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1\"/>
    </mc:Choice>
  </mc:AlternateContent>
  <xr:revisionPtr revIDLastSave="0" documentId="8_{B85C9AA5-F738-4F30-BAF8-6DA7F74C6440}"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Z25" i="5"/>
  <c r="AB25" i="5"/>
  <c r="AA25" i="5"/>
  <c r="Y25" i="5"/>
  <c r="X25" i="5"/>
  <c r="W25" i="5"/>
  <c r="V25" i="5"/>
  <c r="T25" i="5"/>
  <c r="U25" i="5"/>
  <c r="S25" i="5"/>
  <c r="R25" i="5"/>
  <c r="F25" i="5"/>
  <c r="H25" i="5"/>
  <c r="I25" i="5"/>
  <c r="J25" i="5"/>
  <c r="K25" i="5"/>
  <c r="L25" i="5"/>
  <c r="M25" i="5"/>
  <c r="N25" i="5"/>
  <c r="O25" i="5"/>
  <c r="P25" i="5"/>
  <c r="Q25" i="5"/>
  <c r="G25" i="5"/>
  <c r="E25" i="5"/>
  <c r="D25" i="5"/>
  <c r="C25" i="5"/>
  <c r="P7" i="55"/>
  <c r="P6" i="55"/>
  <c r="P5" i="55"/>
  <c r="P4" i="55"/>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F9" i="18"/>
  <c r="F10"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V36" i="18"/>
  <c r="U36" i="18"/>
  <c r="T36" i="18"/>
  <c r="I9" i="18"/>
  <c r="S36" i="18"/>
  <c r="E9" i="18"/>
  <c r="R36" i="18"/>
  <c r="Q36" i="18"/>
  <c r="P36" i="18"/>
  <c r="C9" i="18"/>
  <c r="O36" i="18"/>
  <c r="N36" i="18"/>
  <c r="B9"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D20" i="18"/>
  <c r="G12" i="18"/>
  <c r="F12" i="18"/>
  <c r="E12" i="18"/>
  <c r="D12" i="18"/>
  <c r="C12" i="18"/>
  <c r="L10" i="18"/>
  <c r="K10" i="18"/>
  <c r="G10" i="18"/>
  <c r="D10" i="18"/>
  <c r="B6" i="18"/>
  <c r="B5" i="18"/>
  <c r="B4" i="18"/>
  <c r="G20" i="18"/>
  <c r="K20" i="18"/>
  <c r="B45" i="18"/>
  <c r="I49" i="18"/>
  <c r="H17" i="18"/>
  <c r="J9" i="18"/>
  <c r="O9" i="18"/>
  <c r="B17" i="18"/>
  <c r="B20" i="18"/>
  <c r="C45" i="18"/>
  <c r="H48" i="18"/>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c r="O17" i="48"/>
  <c r="O24" i="48"/>
  <c r="K4" i="48"/>
  <c r="I4" i="48"/>
  <c r="H4" i="48"/>
  <c r="G4" i="48"/>
  <c r="H11" i="48"/>
  <c r="G11" i="48"/>
  <c r="P25" i="48"/>
  <c r="P24" i="48"/>
  <c r="B19" i="6"/>
  <c r="B18" i="6"/>
  <c r="B5" i="6"/>
  <c r="C29" i="14"/>
  <c r="B6" i="6"/>
  <c r="C64" i="14"/>
  <c r="O89" i="14"/>
  <c r="O19" i="55"/>
  <c r="N89" i="14"/>
  <c r="N19" i="55"/>
  <c r="M89" i="14"/>
  <c r="M19" i="55"/>
  <c r="L89" i="14"/>
  <c r="L19" i="55"/>
  <c r="K89" i="14"/>
  <c r="K19" i="55"/>
  <c r="J89" i="14"/>
  <c r="J19" i="55"/>
  <c r="I89" i="14"/>
  <c r="I19" i="55"/>
  <c r="H89" i="14"/>
  <c r="H19" i="55"/>
  <c r="G89" i="14"/>
  <c r="G19" i="55"/>
  <c r="F89" i="14"/>
  <c r="F19" i="55"/>
  <c r="E89" i="14"/>
  <c r="E19" i="55"/>
  <c r="D89" i="14"/>
  <c r="D19" i="55"/>
  <c r="O88" i="14"/>
  <c r="O18" i="55"/>
  <c r="N88" i="14"/>
  <c r="M88" i="14"/>
  <c r="M18" i="55"/>
  <c r="L88" i="14"/>
  <c r="L18" i="55"/>
  <c r="K88" i="14"/>
  <c r="K18" i="55"/>
  <c r="J88" i="14"/>
  <c r="J18" i="55"/>
  <c r="I88" i="14"/>
  <c r="I18" i="55"/>
  <c r="H88" i="14"/>
  <c r="H18" i="55"/>
  <c r="G88" i="14"/>
  <c r="G18" i="55"/>
  <c r="F88" i="14"/>
  <c r="E88" i="14"/>
  <c r="D88" i="14"/>
  <c r="D18" i="55"/>
  <c r="O87" i="14"/>
  <c r="O17" i="55"/>
  <c r="N87" i="14"/>
  <c r="N17" i="55"/>
  <c r="L87" i="14"/>
  <c r="L17" i="55"/>
  <c r="K87" i="14"/>
  <c r="K17" i="55"/>
  <c r="H87" i="14"/>
  <c r="H17" i="55"/>
  <c r="G87" i="14"/>
  <c r="G17" i="55"/>
  <c r="E87" i="14"/>
  <c r="E17" i="55"/>
  <c r="O77" i="14"/>
  <c r="N77" i="14"/>
  <c r="M77" i="14"/>
  <c r="M9" i="55"/>
  <c r="L77" i="14"/>
  <c r="L9" i="55"/>
  <c r="K77" i="14"/>
  <c r="K9" i="55"/>
  <c r="I77" i="14"/>
  <c r="I9" i="55"/>
  <c r="H77" i="14"/>
  <c r="H9" i="55"/>
  <c r="G77" i="14"/>
  <c r="F77" i="14"/>
  <c r="E77" i="14"/>
  <c r="E9" i="55"/>
  <c r="D77" i="14"/>
  <c r="D9" i="55"/>
  <c r="O76" i="14"/>
  <c r="O8" i="55"/>
  <c r="N76" i="14"/>
  <c r="N8" i="55"/>
  <c r="L76" i="14"/>
  <c r="K76" i="14"/>
  <c r="K8" i="55"/>
  <c r="H76" i="14"/>
  <c r="H8" i="55"/>
  <c r="G76" i="14"/>
  <c r="G8" i="55"/>
  <c r="E76" i="14"/>
  <c r="E8" i="55"/>
  <c r="B75" i="14"/>
  <c r="B7" i="55"/>
  <c r="B74" i="14"/>
  <c r="B6" i="55"/>
  <c r="B73" i="14"/>
  <c r="B5" i="55"/>
  <c r="B72" i="14"/>
  <c r="B4" i="55"/>
  <c r="Q54" i="14"/>
  <c r="Q56" i="14"/>
  <c r="P54" i="14"/>
  <c r="P56" i="14"/>
  <c r="L54" i="14"/>
  <c r="L56" i="14"/>
  <c r="J54" i="14"/>
  <c r="I54" i="14"/>
  <c r="H54" i="14"/>
  <c r="H56" i="14"/>
  <c r="Q24" i="14"/>
  <c r="P24" i="14"/>
  <c r="P26" i="14"/>
  <c r="N24" i="14"/>
  <c r="N26"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c r="R90" i="14"/>
  <c r="R78" i="14"/>
  <c r="J56" i="14"/>
  <c r="I56" i="14"/>
  <c r="R44" i="14"/>
  <c r="L26" i="14"/>
  <c r="H26" i="14"/>
  <c r="E25" i="14"/>
  <c r="E55" i="14"/>
  <c r="Q26" i="14"/>
  <c r="J26" i="14"/>
  <c r="I26" i="14"/>
  <c r="D5" i="17"/>
  <c r="P31" i="48"/>
  <c r="O32" i="48"/>
  <c r="D14" i="48"/>
  <c r="P32" i="48"/>
  <c r="R25" i="14"/>
  <c r="O25" i="48"/>
  <c r="B49" i="18"/>
  <c r="C17" i="18"/>
  <c r="D87" i="14"/>
  <c r="D17" i="55"/>
  <c r="D20" i="55"/>
  <c r="L20" i="55"/>
  <c r="F49" i="18"/>
  <c r="G49" i="18"/>
  <c r="I17" i="18"/>
  <c r="J77" i="14"/>
  <c r="J9" i="55"/>
  <c r="H49" i="18"/>
  <c r="H20" i="18"/>
  <c r="M87" i="14"/>
  <c r="M17" i="55"/>
  <c r="M20" i="55"/>
  <c r="C49" i="18"/>
  <c r="E49" i="18"/>
  <c r="E17" i="18"/>
  <c r="K10" i="55"/>
  <c r="C48" i="18"/>
  <c r="E48" i="18"/>
  <c r="E8" i="18"/>
  <c r="G48" i="18"/>
  <c r="I48" i="18"/>
  <c r="H8" i="18"/>
  <c r="B48" i="18"/>
  <c r="C8" i="18"/>
  <c r="D76" i="14"/>
  <c r="D8" i="55"/>
  <c r="D10" i="55"/>
  <c r="D48" i="18"/>
  <c r="F48" i="18"/>
  <c r="F9" i="55"/>
  <c r="N78" i="14"/>
  <c r="N9" i="55"/>
  <c r="N10" i="55"/>
  <c r="E90" i="14"/>
  <c r="E18" i="55"/>
  <c r="E20" i="55"/>
  <c r="H90" i="14"/>
  <c r="E10" i="55"/>
  <c r="G78" i="14"/>
  <c r="G9" i="55"/>
  <c r="G10" i="55"/>
  <c r="O78" i="14"/>
  <c r="O9" i="55"/>
  <c r="O10" i="55"/>
  <c r="H20" i="55"/>
  <c r="F18" i="55"/>
  <c r="N90" i="14"/>
  <c r="N18" i="55"/>
  <c r="N20" i="55"/>
  <c r="L90" i="14"/>
  <c r="L78" i="14"/>
  <c r="L8" i="55"/>
  <c r="L10" i="55"/>
  <c r="H10" i="55"/>
  <c r="G20" i="55"/>
  <c r="K20" i="55"/>
  <c r="O20" i="55"/>
  <c r="H78" i="14"/>
  <c r="C88" i="14"/>
  <c r="C18" i="55"/>
  <c r="C20" i="18"/>
  <c r="E78" i="14"/>
  <c r="G90" i="14"/>
  <c r="O90" i="14"/>
  <c r="Q88" i="14"/>
  <c r="P18" i="55"/>
  <c r="Q89" i="14"/>
  <c r="P19" i="55"/>
  <c r="K78" i="14"/>
  <c r="B88" i="14"/>
  <c r="B18" i="55"/>
  <c r="C89" i="14"/>
  <c r="C19" i="55"/>
  <c r="B89" i="14"/>
  <c r="B19" i="55"/>
  <c r="O27" i="48"/>
  <c r="O31" i="48"/>
  <c r="P27" i="48"/>
  <c r="O30" i="48"/>
  <c r="Q77" i="14"/>
  <c r="D78" i="14"/>
  <c r="K90" i="14"/>
  <c r="M90" i="14"/>
  <c r="Q14" i="48"/>
  <c r="B77" i="14"/>
  <c r="B9" i="55"/>
  <c r="C77" i="14"/>
  <c r="C9" i="55"/>
  <c r="C10" i="18"/>
  <c r="J8" i="18"/>
  <c r="J76" i="14"/>
  <c r="J17" i="18"/>
  <c r="J87" i="14"/>
  <c r="E20" i="18"/>
  <c r="F87" i="14"/>
  <c r="Q87" i="14"/>
  <c r="I8" i="18"/>
  <c r="I10" i="18"/>
  <c r="H10" i="18"/>
  <c r="M76" i="14"/>
  <c r="E10" i="18"/>
  <c r="F76" i="14"/>
  <c r="O17" i="18"/>
  <c r="O20" i="18"/>
  <c r="P9" i="55"/>
  <c r="J20" i="18"/>
  <c r="I20" i="18"/>
  <c r="I87" i="14"/>
  <c r="I17" i="55"/>
  <c r="I20" i="55"/>
  <c r="J10" i="18"/>
  <c r="D90" i="14"/>
  <c r="I76" i="14"/>
  <c r="I8" i="55"/>
  <c r="I10" i="55"/>
  <c r="O8" i="18"/>
  <c r="O10" i="18"/>
  <c r="F17" i="55"/>
  <c r="F20" i="55"/>
  <c r="F90" i="14"/>
  <c r="M8" i="55"/>
  <c r="M10" i="55"/>
  <c r="M78" i="14"/>
  <c r="F8" i="55"/>
  <c r="F10" i="55"/>
  <c r="Q76" i="14"/>
  <c r="F78" i="14"/>
  <c r="J90" i="14"/>
  <c r="J17" i="55"/>
  <c r="J20" i="55"/>
  <c r="J78" i="14"/>
  <c r="J8" i="55"/>
  <c r="J10" i="55"/>
  <c r="Q90" i="14"/>
  <c r="B17" i="6"/>
  <c r="P17" i="55"/>
  <c r="P20" i="55"/>
  <c r="C76" i="14"/>
  <c r="B76" i="14"/>
  <c r="I90" i="14"/>
  <c r="B87" i="14"/>
  <c r="C87" i="14"/>
  <c r="H14" i="15"/>
  <c r="H16" i="15"/>
  <c r="G14" i="15"/>
  <c r="G16" i="15"/>
  <c r="I78" i="14"/>
  <c r="G5" i="48"/>
  <c r="H10" i="14"/>
  <c r="H16" i="14"/>
  <c r="H5" i="48"/>
  <c r="I10" i="14"/>
  <c r="I16" i="14"/>
  <c r="P8" i="55"/>
  <c r="P10" i="55"/>
  <c r="Q78" i="14"/>
  <c r="B9" i="6"/>
  <c r="C90" i="14"/>
  <c r="C17" i="55"/>
  <c r="C20" i="55"/>
  <c r="B90" i="14"/>
  <c r="B17" i="55"/>
  <c r="B20" i="55"/>
  <c r="C78" i="14"/>
  <c r="C8" i="55"/>
  <c r="C10" i="55"/>
  <c r="B78" i="14"/>
  <c r="B8" i="55"/>
  <c r="B10" i="55"/>
  <c r="B4" i="6"/>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c r="D8" i="22"/>
  <c r="D6" i="22"/>
  <c r="B51" i="22"/>
  <c r="D11" i="22"/>
  <c r="D9" i="22"/>
  <c r="D7" i="22"/>
  <c r="E11" i="22"/>
  <c r="B10" i="22"/>
  <c r="E7" i="22"/>
  <c r="B6" i="22"/>
  <c r="B11" i="22"/>
  <c r="E10" i="22"/>
  <c r="B9" i="22"/>
  <c r="E8" i="22"/>
  <c r="B7" i="22"/>
  <c r="E6" i="22"/>
  <c r="E9" i="22"/>
  <c r="B8" i="22"/>
  <c r="B52" i="22"/>
  <c r="O15" i="19"/>
  <c r="O19" i="19"/>
  <c r="P39" i="14"/>
  <c r="P15" i="19"/>
  <c r="P11" i="48"/>
  <c r="P29" i="48"/>
  <c r="Q9" i="14"/>
  <c r="O11" i="48"/>
  <c r="O29" i="48"/>
  <c r="P9" i="14"/>
  <c r="H10" i="22"/>
  <c r="H11" i="22"/>
  <c r="H8" i="22"/>
  <c r="H6" i="22"/>
  <c r="H7" i="22"/>
  <c r="H9" i="22"/>
  <c r="B28" i="17"/>
  <c r="B27" i="17"/>
  <c r="B26" i="17"/>
  <c r="B31" i="19"/>
  <c r="B24" i="19"/>
  <c r="B52" i="13"/>
  <c r="B35" i="19"/>
  <c r="B26" i="19"/>
  <c r="B27" i="19"/>
  <c r="B6" i="13"/>
  <c r="B17" i="17"/>
  <c r="B34" i="17"/>
  <c r="B6" i="16"/>
  <c r="F6" i="17"/>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H5" i="22"/>
  <c r="B29" i="17"/>
  <c r="C29" i="17"/>
  <c r="C28" i="17"/>
  <c r="C27" i="17"/>
  <c r="C26" i="17"/>
  <c r="J5" i="17"/>
  <c r="N10" i="17"/>
  <c r="M10" i="17"/>
  <c r="M12" i="17"/>
  <c r="N54" i="14"/>
  <c r="N56" i="14"/>
  <c r="L10" i="17"/>
  <c r="K10" i="17"/>
  <c r="J10" i="17"/>
  <c r="I10" i="17"/>
  <c r="H10" i="17"/>
  <c r="G10" i="17"/>
  <c r="F10" i="17"/>
  <c r="E10" i="17"/>
  <c r="D10" i="17"/>
  <c r="C6" i="17"/>
  <c r="F5" i="17"/>
  <c r="C5" i="17"/>
  <c r="B5" i="17"/>
  <c r="B8" i="17"/>
  <c r="B51"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H27" i="20"/>
  <c r="G26" i="20"/>
  <c r="E26" i="20"/>
  <c r="E27" i="20"/>
  <c r="D26" i="20"/>
  <c r="D27" i="20"/>
  <c r="B26" i="20"/>
  <c r="B27" i="20"/>
  <c r="N17" i="49"/>
  <c r="M17" i="49"/>
  <c r="L17" i="49"/>
  <c r="K17" i="49"/>
  <c r="J17" i="49"/>
  <c r="I17" i="49"/>
  <c r="F17" i="49"/>
  <c r="E17" i="49"/>
  <c r="D17" i="49"/>
  <c r="B15" i="49"/>
  <c r="N17" i="19"/>
  <c r="M17" i="19"/>
  <c r="L17" i="19"/>
  <c r="K17" i="19"/>
  <c r="J17" i="19"/>
  <c r="I17" i="19"/>
  <c r="F17" i="19"/>
  <c r="E17" i="19"/>
  <c r="D17" i="19"/>
  <c r="P19" i="19"/>
  <c r="Q39" i="14"/>
  <c r="N15" i="19"/>
  <c r="M15" i="19"/>
  <c r="L15" i="19"/>
  <c r="K15" i="19"/>
  <c r="J15" i="19"/>
  <c r="I15" i="19"/>
  <c r="F15" i="19"/>
  <c r="E15" i="19"/>
  <c r="D15" i="19"/>
  <c r="C15" i="19"/>
  <c r="B15" i="19"/>
  <c r="A7" i="31"/>
  <c r="A6" i="31"/>
  <c r="P5" i="13"/>
  <c r="P8" i="13"/>
  <c r="Q11" i="14"/>
  <c r="B37" i="13"/>
  <c r="B67" i="22"/>
  <c r="J19" i="19"/>
  <c r="K39" i="14"/>
  <c r="B36" i="13"/>
  <c r="F5" i="13"/>
  <c r="F8" i="13"/>
  <c r="B35" i="13"/>
  <c r="C35" i="13"/>
  <c r="B34" i="13"/>
  <c r="B33" i="13"/>
  <c r="B32" i="13"/>
  <c r="C34" i="13"/>
  <c r="N19" i="19"/>
  <c r="O39" i="14"/>
  <c r="B6" i="9"/>
  <c r="B8" i="9"/>
  <c r="B6" i="48"/>
  <c r="Q6" i="48"/>
  <c r="B12" i="48"/>
  <c r="Q12" i="48"/>
  <c r="C12" i="14"/>
  <c r="R12" i="14"/>
  <c r="J14" i="15"/>
  <c r="K9" i="14"/>
  <c r="J11" i="48"/>
  <c r="J29" i="48"/>
  <c r="M4" i="48"/>
  <c r="M22" i="48"/>
  <c r="N11" i="14"/>
  <c r="K30" i="48"/>
  <c r="K32" i="48"/>
  <c r="K31" i="48"/>
  <c r="K22" i="48"/>
  <c r="K27" i="48"/>
  <c r="K24" i="48"/>
  <c r="K25" i="48"/>
  <c r="K26" i="48"/>
  <c r="K19" i="14"/>
  <c r="K22" i="14"/>
  <c r="J10" i="48"/>
  <c r="J28" i="48"/>
  <c r="P4" i="48"/>
  <c r="P22" i="48"/>
  <c r="K14" i="15"/>
  <c r="K16" i="15"/>
  <c r="L9" i="14"/>
  <c r="K11" i="48"/>
  <c r="K29" i="48"/>
  <c r="B13" i="48"/>
  <c r="C18" i="14"/>
  <c r="D24" i="48"/>
  <c r="D30" i="48"/>
  <c r="D32" i="48"/>
  <c r="L30" i="48"/>
  <c r="L32" i="48"/>
  <c r="L27" i="48"/>
  <c r="L24" i="48"/>
  <c r="L31" i="48"/>
  <c r="K10" i="48"/>
  <c r="K28" i="48"/>
  <c r="L19" i="14"/>
  <c r="L22" i="14"/>
  <c r="J32" i="48"/>
  <c r="J24" i="48"/>
  <c r="J27" i="48"/>
  <c r="J31" i="48"/>
  <c r="J30" i="48"/>
  <c r="L14" i="15"/>
  <c r="M9" i="14"/>
  <c r="L11" i="48"/>
  <c r="L29" i="48"/>
  <c r="E18" i="14"/>
  <c r="D13" i="48"/>
  <c r="D31" i="48"/>
  <c r="E24" i="48"/>
  <c r="E32" i="48"/>
  <c r="E30" i="48"/>
  <c r="B7" i="48"/>
  <c r="C24" i="14"/>
  <c r="C26" i="14"/>
  <c r="M19" i="14"/>
  <c r="M22" i="14"/>
  <c r="L10" i="48"/>
  <c r="L28" i="48"/>
  <c r="C14" i="15"/>
  <c r="C16" i="15"/>
  <c r="D9" i="14"/>
  <c r="C11" i="48"/>
  <c r="M14" i="15"/>
  <c r="M16" i="15"/>
  <c r="N9" i="14"/>
  <c r="M11" i="48"/>
  <c r="M29" i="48"/>
  <c r="E13" i="48"/>
  <c r="E31" i="48"/>
  <c r="F18" i="14"/>
  <c r="B4" i="48"/>
  <c r="C11" i="14"/>
  <c r="F32" i="48"/>
  <c r="F30" i="48"/>
  <c r="F27" i="48"/>
  <c r="F31" i="48"/>
  <c r="F24" i="48"/>
  <c r="N32" i="48"/>
  <c r="N30" i="48"/>
  <c r="N31" i="48"/>
  <c r="N24" i="48"/>
  <c r="N27" i="48"/>
  <c r="B11" i="16"/>
  <c r="E19" i="14"/>
  <c r="D10" i="48"/>
  <c r="D28" i="48"/>
  <c r="O19" i="14"/>
  <c r="O22" i="14"/>
  <c r="N10" i="48"/>
  <c r="N28" i="48"/>
  <c r="L4" i="48"/>
  <c r="L22" i="48"/>
  <c r="M11" i="14"/>
  <c r="B14" i="15"/>
  <c r="C9" i="14"/>
  <c r="B11" i="48"/>
  <c r="M30" i="48"/>
  <c r="M32" i="48"/>
  <c r="M25" i="48"/>
  <c r="M24" i="48"/>
  <c r="M26" i="48"/>
  <c r="E9" i="14"/>
  <c r="D11" i="48"/>
  <c r="D29" i="48"/>
  <c r="N14" i="15"/>
  <c r="N11" i="48"/>
  <c r="N29" i="48"/>
  <c r="O9" i="14"/>
  <c r="C4" i="48"/>
  <c r="D11" i="14"/>
  <c r="G30" i="48"/>
  <c r="G32" i="48"/>
  <c r="G29" i="48"/>
  <c r="G26" i="48"/>
  <c r="G25" i="48"/>
  <c r="G22" i="48"/>
  <c r="G24" i="48"/>
  <c r="G23" i="48"/>
  <c r="C18" i="16"/>
  <c r="F19" i="14"/>
  <c r="E10" i="48"/>
  <c r="E28" i="48"/>
  <c r="P19" i="14"/>
  <c r="P22" i="14"/>
  <c r="O10" i="48"/>
  <c r="O28" i="48"/>
  <c r="I14" i="15"/>
  <c r="I16" i="15"/>
  <c r="J9" i="14"/>
  <c r="I11" i="48"/>
  <c r="I29" i="48"/>
  <c r="E11" i="14"/>
  <c r="D4" i="48"/>
  <c r="D22" i="48"/>
  <c r="H30" i="48"/>
  <c r="H26" i="48"/>
  <c r="H32" i="48"/>
  <c r="H22" i="48"/>
  <c r="H25" i="48"/>
  <c r="H29" i="48"/>
  <c r="H24" i="48"/>
  <c r="H23" i="48"/>
  <c r="G19" i="14"/>
  <c r="G22" i="14"/>
  <c r="F10" i="48"/>
  <c r="F28" i="48"/>
  <c r="Q19" i="14"/>
  <c r="Q22" i="14"/>
  <c r="P10" i="48"/>
  <c r="P28" i="48"/>
  <c r="D19" i="14"/>
  <c r="D22" i="14"/>
  <c r="C10" i="48"/>
  <c r="E14" i="15"/>
  <c r="F9" i="14"/>
  <c r="E11" i="48"/>
  <c r="E29" i="48"/>
  <c r="F14" i="15"/>
  <c r="F11" i="48"/>
  <c r="F29" i="48"/>
  <c r="G9" i="14"/>
  <c r="O4" i="48"/>
  <c r="O22" i="48"/>
  <c r="P11" i="14"/>
  <c r="I26" i="48"/>
  <c r="I24" i="48"/>
  <c r="I30" i="48"/>
  <c r="I31" i="48"/>
  <c r="I32" i="48"/>
  <c r="I27" i="48"/>
  <c r="I25" i="48"/>
  <c r="I22" i="48"/>
  <c r="H10" i="48"/>
  <c r="H28" i="48"/>
  <c r="I19" i="14"/>
  <c r="J19" i="14"/>
  <c r="J22" i="14"/>
  <c r="I10" i="48"/>
  <c r="I28" i="48"/>
  <c r="Q10" i="14"/>
  <c r="P5" i="48"/>
  <c r="C19" i="14"/>
  <c r="B10" i="48"/>
  <c r="H12" i="22"/>
  <c r="I18" i="14"/>
  <c r="H13" i="48"/>
  <c r="H31" i="48"/>
  <c r="C8" i="48"/>
  <c r="D13" i="14"/>
  <c r="B16" i="16"/>
  <c r="D8" i="17"/>
  <c r="E8" i="16"/>
  <c r="F19" i="19"/>
  <c r="G39" i="14"/>
  <c r="L19" i="19"/>
  <c r="M39" i="14"/>
  <c r="L12" i="13"/>
  <c r="M41" i="14"/>
  <c r="M12" i="13"/>
  <c r="N41" i="14"/>
  <c r="N16" i="16"/>
  <c r="D12" i="22"/>
  <c r="D31" i="20"/>
  <c r="E48" i="14"/>
  <c r="E12" i="22"/>
  <c r="B12" i="22"/>
  <c r="B13" i="16"/>
  <c r="C35" i="16"/>
  <c r="D14" i="15"/>
  <c r="K19" i="19"/>
  <c r="L39" i="14"/>
  <c r="I19" i="19"/>
  <c r="J39" i="14"/>
  <c r="P18" i="16"/>
  <c r="J8" i="17"/>
  <c r="J12" i="17"/>
  <c r="K54" i="14"/>
  <c r="K56" i="14"/>
  <c r="L16" i="16"/>
  <c r="L18" i="16"/>
  <c r="N6" i="17"/>
  <c r="E31" i="20"/>
  <c r="F48" i="14"/>
  <c r="H14" i="22"/>
  <c r="F8" i="17"/>
  <c r="M19" i="19"/>
  <c r="N39" i="14"/>
  <c r="J7" i="15"/>
  <c r="O5" i="16"/>
  <c r="L6" i="17"/>
  <c r="N13" i="15"/>
  <c r="L13" i="15"/>
  <c r="L16" i="15"/>
  <c r="K20" i="15"/>
  <c r="L40" i="14"/>
  <c r="G27" i="20"/>
  <c r="G7" i="22"/>
  <c r="G10" i="22"/>
  <c r="G6" i="22"/>
  <c r="G9" i="22"/>
  <c r="G11" i="22"/>
  <c r="G8" i="22"/>
  <c r="M7" i="22"/>
  <c r="M10" i="22"/>
  <c r="M8" i="22"/>
  <c r="M11" i="22"/>
  <c r="M9" i="22"/>
  <c r="M6" i="22"/>
  <c r="M27" i="20"/>
  <c r="J11" i="15"/>
  <c r="N7" i="15"/>
  <c r="B11" i="15"/>
  <c r="N11" i="15"/>
  <c r="F11" i="15"/>
  <c r="B7" i="15"/>
  <c r="E58" i="22"/>
  <c r="F49" i="14"/>
  <c r="J58" i="22"/>
  <c r="K49" i="14"/>
  <c r="K52" i="14"/>
  <c r="L58" i="22"/>
  <c r="M49" i="14"/>
  <c r="M52" i="14"/>
  <c r="N58" i="22"/>
  <c r="O49" i="14"/>
  <c r="O52" i="14"/>
  <c r="O58" i="22"/>
  <c r="P49" i="14"/>
  <c r="P52" i="14"/>
  <c r="H58" i="22"/>
  <c r="I49" i="14"/>
  <c r="I58" i="22"/>
  <c r="J49" i="14"/>
  <c r="J52" i="14"/>
  <c r="K58" i="22"/>
  <c r="L49" i="14"/>
  <c r="L52" i="14"/>
  <c r="P58" i="22"/>
  <c r="Q49" i="14"/>
  <c r="Q52" i="14"/>
  <c r="D58" i="22"/>
  <c r="E49" i="14"/>
  <c r="F58" i="22"/>
  <c r="G49" i="14"/>
  <c r="G52" i="14"/>
  <c r="H31" i="20"/>
  <c r="I48" i="14"/>
  <c r="G31" i="20"/>
  <c r="H48" i="14"/>
  <c r="C78" i="22"/>
  <c r="G51" i="22"/>
  <c r="E7" i="15"/>
  <c r="E12" i="15"/>
  <c r="O5" i="15"/>
  <c r="O16" i="15"/>
  <c r="M20" i="15"/>
  <c r="N40" i="14"/>
  <c r="G20" i="15"/>
  <c r="H40" i="14"/>
  <c r="H46" i="14"/>
  <c r="H20" i="15"/>
  <c r="I40" i="14"/>
  <c r="I46" i="14"/>
  <c r="F8" i="16"/>
  <c r="J9" i="16"/>
  <c r="F6" i="15"/>
  <c r="F8" i="15"/>
  <c r="N10" i="16"/>
  <c r="E14" i="16"/>
  <c r="D5"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P12" i="13"/>
  <c r="Q41" i="14"/>
  <c r="D12" i="13"/>
  <c r="E41" i="14"/>
  <c r="O12" i="13"/>
  <c r="P41" i="14"/>
  <c r="E5" i="17"/>
  <c r="C8" i="17"/>
  <c r="D16" i="15"/>
  <c r="E10" i="14"/>
  <c r="N46" i="14"/>
  <c r="I5" i="48"/>
  <c r="J10" i="14"/>
  <c r="K5" i="48"/>
  <c r="L10" i="14"/>
  <c r="L16" i="14"/>
  <c r="L27" i="14"/>
  <c r="L46" i="14"/>
  <c r="L61" i="14"/>
  <c r="Q11" i="48"/>
  <c r="P22" i="16"/>
  <c r="Q43" i="14"/>
  <c r="P8" i="48"/>
  <c r="P26" i="48"/>
  <c r="Q13" i="14"/>
  <c r="Q16" i="14"/>
  <c r="Q27" i="14"/>
  <c r="J16" i="14"/>
  <c r="J27" i="14"/>
  <c r="J63" i="14"/>
  <c r="R9" i="14"/>
  <c r="M5" i="48"/>
  <c r="M23" i="48"/>
  <c r="N10" i="14"/>
  <c r="N16" i="14"/>
  <c r="P23" i="48"/>
  <c r="O5" i="48"/>
  <c r="P10" i="14"/>
  <c r="G11" i="14"/>
  <c r="F4" i="48"/>
  <c r="F22" i="48"/>
  <c r="M13" i="48"/>
  <c r="M31" i="48"/>
  <c r="N18" i="14"/>
  <c r="G12" i="22"/>
  <c r="G13" i="48"/>
  <c r="H18" i="14"/>
  <c r="H9" i="48"/>
  <c r="I20" i="14"/>
  <c r="I22" i="14"/>
  <c r="I27" i="14"/>
  <c r="J7" i="48"/>
  <c r="J25" i="48"/>
  <c r="K24" i="14"/>
  <c r="K26" i="14"/>
  <c r="C7" i="48"/>
  <c r="D24" i="14"/>
  <c r="E24" i="14"/>
  <c r="E26" i="14"/>
  <c r="D7" i="48"/>
  <c r="D25" i="48"/>
  <c r="M13" i="14"/>
  <c r="L8" i="48"/>
  <c r="L26" i="48"/>
  <c r="G24" i="14"/>
  <c r="G26" i="14"/>
  <c r="F7" i="48"/>
  <c r="F25" i="48"/>
  <c r="D12" i="17"/>
  <c r="E54" i="14"/>
  <c r="E56" i="14"/>
  <c r="M10" i="14"/>
  <c r="L5" i="48"/>
  <c r="D10" i="14"/>
  <c r="C5" i="48"/>
  <c r="F12" i="17"/>
  <c r="G54" i="14"/>
  <c r="G56" i="14"/>
  <c r="L5" i="17"/>
  <c r="L8" i="17"/>
  <c r="N5" i="17"/>
  <c r="N8" i="17"/>
  <c r="M31" i="20"/>
  <c r="N48" i="14"/>
  <c r="M12" i="22"/>
  <c r="O18" i="16"/>
  <c r="E5" i="13"/>
  <c r="E8" i="13"/>
  <c r="L22" i="16"/>
  <c r="M43" i="14"/>
  <c r="E8" i="17"/>
  <c r="D18" i="16"/>
  <c r="B14" i="22"/>
  <c r="E14" i="22"/>
  <c r="D14" i="22"/>
  <c r="M51" i="22"/>
  <c r="M50" i="22"/>
  <c r="M54" i="22"/>
  <c r="G50" i="22"/>
  <c r="G54" i="22"/>
  <c r="H18" i="22"/>
  <c r="I50" i="14"/>
  <c r="I52" i="14"/>
  <c r="I61" i="14"/>
  <c r="M5" i="22"/>
  <c r="G5" i="22"/>
  <c r="G14"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D5" i="48"/>
  <c r="D20" i="15"/>
  <c r="E40" i="14"/>
  <c r="C15" i="48"/>
  <c r="P15" i="48"/>
  <c r="L63" i="14"/>
  <c r="P33" i="48"/>
  <c r="P13" i="14"/>
  <c r="P16" i="14"/>
  <c r="P27" i="14"/>
  <c r="K15" i="48"/>
  <c r="K23" i="48"/>
  <c r="K33" i="48"/>
  <c r="I23" i="48"/>
  <c r="I33" i="48"/>
  <c r="I15" i="48"/>
  <c r="Q63" i="14"/>
  <c r="O8" i="48"/>
  <c r="O26" i="48"/>
  <c r="O15" i="48"/>
  <c r="O23" i="48"/>
  <c r="K11" i="14"/>
  <c r="J4" i="48"/>
  <c r="J22" i="48"/>
  <c r="O11" i="14"/>
  <c r="N4" i="48"/>
  <c r="N22" i="48"/>
  <c r="E12" i="13"/>
  <c r="F41" i="14"/>
  <c r="F11" i="14"/>
  <c r="E4" i="48"/>
  <c r="R18" i="14"/>
  <c r="I63" i="14"/>
  <c r="M10" i="48"/>
  <c r="M28" i="48"/>
  <c r="N19" i="14"/>
  <c r="G31" i="48"/>
  <c r="Q13" i="48"/>
  <c r="H19" i="14"/>
  <c r="G10" i="48"/>
  <c r="B9" i="48"/>
  <c r="C20" i="14"/>
  <c r="H20" i="14"/>
  <c r="G9" i="48"/>
  <c r="D9" i="48"/>
  <c r="D27" i="48"/>
  <c r="E20" i="14"/>
  <c r="E22" i="14"/>
  <c r="E9" i="48"/>
  <c r="E27" i="48"/>
  <c r="F20" i="14"/>
  <c r="F22" i="14"/>
  <c r="H15" i="48"/>
  <c r="H27" i="48"/>
  <c r="H33" i="48"/>
  <c r="E7" i="48"/>
  <c r="E25" i="48"/>
  <c r="F24" i="14"/>
  <c r="F26" i="14"/>
  <c r="E12" i="17"/>
  <c r="F54" i="14"/>
  <c r="F56" i="14"/>
  <c r="B8" i="48"/>
  <c r="C13" i="14"/>
  <c r="D22" i="16"/>
  <c r="E43" i="14"/>
  <c r="E13" i="14"/>
  <c r="D8" i="48"/>
  <c r="D26" i="48"/>
  <c r="D26" i="14"/>
  <c r="O24" i="14"/>
  <c r="O26" i="14"/>
  <c r="N7" i="48"/>
  <c r="N25" i="48"/>
  <c r="L7" i="48"/>
  <c r="L25" i="48"/>
  <c r="M24" i="14"/>
  <c r="M26" i="14"/>
  <c r="C10" i="14"/>
  <c r="B5" i="48"/>
  <c r="G10" i="14"/>
  <c r="F5" i="48"/>
  <c r="O10" i="14"/>
  <c r="N5" i="48"/>
  <c r="L12" i="17"/>
  <c r="M54" i="14"/>
  <c r="M56" i="14"/>
  <c r="N12" i="17"/>
  <c r="O54" i="14"/>
  <c r="O56" i="14"/>
  <c r="E16" i="15"/>
  <c r="J16" i="15"/>
  <c r="J20" i="15"/>
  <c r="K40" i="14"/>
  <c r="M14" i="22"/>
  <c r="O22" i="16"/>
  <c r="P43" i="14"/>
  <c r="P46" i="14"/>
  <c r="P61" i="14"/>
  <c r="D18" i="22"/>
  <c r="E50" i="14"/>
  <c r="E52" i="14"/>
  <c r="E18" i="22"/>
  <c r="F50" i="14"/>
  <c r="F52" i="14"/>
  <c r="M58" i="22"/>
  <c r="N49" i="14"/>
  <c r="G18" i="22"/>
  <c r="H50" i="14"/>
  <c r="G58" i="22"/>
  <c r="H49" i="14"/>
  <c r="N20" i="15"/>
  <c r="O40" i="14"/>
  <c r="F20" i="15"/>
  <c r="G40" i="14"/>
  <c r="N5" i="16"/>
  <c r="E5" i="16"/>
  <c r="J5" i="16"/>
  <c r="F5" i="16"/>
  <c r="N12" i="13"/>
  <c r="O41" i="14"/>
  <c r="J12" i="13"/>
  <c r="K41" i="14"/>
  <c r="L20" i="15"/>
  <c r="M40" i="14"/>
  <c r="P63" i="14"/>
  <c r="H22" i="14"/>
  <c r="H27" i="14"/>
  <c r="O33" i="48"/>
  <c r="R19" i="14"/>
  <c r="R11" i="14"/>
  <c r="E22" i="48"/>
  <c r="Q4" i="48"/>
  <c r="H52" i="14"/>
  <c r="H61" i="14"/>
  <c r="H63" i="14"/>
  <c r="G28" i="48"/>
  <c r="Q10" i="48"/>
  <c r="M18" i="22"/>
  <c r="N50" i="14"/>
  <c r="N52" i="14"/>
  <c r="N61" i="14"/>
  <c r="M9" i="48"/>
  <c r="Q9" i="48"/>
  <c r="N20" i="14"/>
  <c r="N22" i="14"/>
  <c r="N27" i="14"/>
  <c r="C22" i="14"/>
  <c r="G27" i="48"/>
  <c r="G15" i="48"/>
  <c r="B15" i="48"/>
  <c r="D15" i="48"/>
  <c r="J5" i="48"/>
  <c r="K10" i="14"/>
  <c r="E20" i="15"/>
  <c r="F40" i="14"/>
  <c r="E5" i="48"/>
  <c r="F10" i="14"/>
  <c r="L15" i="48"/>
  <c r="Q7" i="48"/>
  <c r="R24" i="14"/>
  <c r="R26" i="14"/>
  <c r="J18" i="16"/>
  <c r="N18" i="16"/>
  <c r="E18" i="16"/>
  <c r="F18" i="16"/>
  <c r="F22" i="16"/>
  <c r="G43" i="14"/>
  <c r="G33" i="48"/>
  <c r="N63" i="14"/>
  <c r="M27" i="48"/>
  <c r="M33" i="48"/>
  <c r="M15" i="48"/>
  <c r="R20" i="14"/>
  <c r="R22" i="14"/>
  <c r="E22" i="16"/>
  <c r="F43" i="14"/>
  <c r="F46" i="14"/>
  <c r="F61" i="14"/>
  <c r="E8" i="48"/>
  <c r="E26" i="48"/>
  <c r="F13" i="14"/>
  <c r="F16" i="14"/>
  <c r="F27" i="14"/>
  <c r="K13" i="14"/>
  <c r="K16" i="14"/>
  <c r="K27" i="14"/>
  <c r="J8" i="48"/>
  <c r="J26" i="48"/>
  <c r="J23" i="48"/>
  <c r="E23" i="48"/>
  <c r="E15" i="48"/>
  <c r="F8" i="48"/>
  <c r="G13" i="14"/>
  <c r="N8" i="48"/>
  <c r="O13" i="14"/>
  <c r="N22" i="16"/>
  <c r="O43" i="14"/>
  <c r="J22" i="16"/>
  <c r="K43" i="14"/>
  <c r="K46" i="14"/>
  <c r="K61" i="14"/>
  <c r="E33" i="48"/>
  <c r="K63" i="14"/>
  <c r="F63" i="14"/>
  <c r="J33" i="48"/>
  <c r="J15" i="48"/>
  <c r="N26" i="48"/>
  <c r="N15" i="48"/>
  <c r="R13" i="14"/>
  <c r="F26" i="48"/>
  <c r="F15" i="48"/>
  <c r="Q8" i="48"/>
  <c r="M16" i="14"/>
  <c r="M27" i="14"/>
  <c r="D16" i="14"/>
  <c r="D27" i="14"/>
  <c r="B20" i="6"/>
  <c r="Q5" i="48"/>
  <c r="Q15" i="48"/>
  <c r="O16" i="14"/>
  <c r="O27" i="14"/>
  <c r="E16" i="14"/>
  <c r="E27" i="14"/>
  <c r="L23" i="48"/>
  <c r="L33" i="48"/>
  <c r="G16" i="14"/>
  <c r="G27" i="14"/>
  <c r="R10" i="14"/>
  <c r="R16" i="14"/>
  <c r="R27" i="14"/>
  <c r="C16" i="14"/>
  <c r="C27" i="14"/>
  <c r="B3" i="6"/>
  <c r="E46" i="14"/>
  <c r="E61" i="14"/>
  <c r="O46" i="14"/>
  <c r="O61" i="14"/>
  <c r="G46" i="14"/>
  <c r="G61" i="14"/>
  <c r="M46" i="14"/>
  <c r="M61" i="14"/>
  <c r="M63" i="14"/>
  <c r="O63" i="14"/>
  <c r="N23" i="48"/>
  <c r="N33" i="48"/>
  <c r="G63" i="14"/>
  <c r="E63" i="14"/>
  <c r="F23" i="48"/>
  <c r="F33" i="48"/>
  <c r="D23" i="48"/>
  <c r="D33" i="48"/>
  <c r="B22" i="6"/>
  <c r="C22" i="55"/>
  <c r="B12" i="6"/>
  <c r="C12" i="55"/>
  <c r="C10" i="13"/>
  <c r="C17" i="48"/>
  <c r="C32" i="48"/>
  <c r="C29" i="20"/>
  <c r="C17" i="49"/>
  <c r="C17" i="19"/>
  <c r="C19" i="19"/>
  <c r="D39" i="14"/>
  <c r="C18" i="15"/>
  <c r="C20" i="15"/>
  <c r="D40" i="14"/>
  <c r="C16" i="22"/>
  <c r="C10" i="17"/>
  <c r="C12" i="17"/>
  <c r="D54" i="14"/>
  <c r="D56" i="14"/>
  <c r="C20" i="16"/>
  <c r="C22" i="16"/>
  <c r="D43" i="14"/>
  <c r="C56" i="22"/>
  <c r="C58" i="22"/>
  <c r="D49" i="14"/>
  <c r="D52" i="14"/>
  <c r="C55" i="14"/>
  <c r="R55" i="14"/>
  <c r="B20" i="16"/>
  <c r="B22" i="16"/>
  <c r="C43" i="14"/>
  <c r="B17" i="49"/>
  <c r="B19" i="49"/>
  <c r="C42" i="14"/>
  <c r="B10" i="13"/>
  <c r="B17" i="48"/>
  <c r="B32" i="48"/>
  <c r="B10" i="9"/>
  <c r="B12" i="9"/>
  <c r="B17" i="19"/>
  <c r="B19" i="19"/>
  <c r="C39" i="14"/>
  <c r="B56" i="22"/>
  <c r="B58" i="22"/>
  <c r="C49" i="14"/>
  <c r="B29" i="20"/>
  <c r="B31" i="20"/>
  <c r="C48" i="14"/>
  <c r="B16" i="22"/>
  <c r="B18" i="22"/>
  <c r="C50" i="14"/>
  <c r="B18" i="15"/>
  <c r="B20" i="15"/>
  <c r="B10" i="17"/>
  <c r="B12" i="17"/>
  <c r="C54" i="14"/>
  <c r="Q32" i="48"/>
  <c r="C24" i="48"/>
  <c r="C22" i="48"/>
  <c r="C30" i="48"/>
  <c r="C31" i="48"/>
  <c r="C26" i="48"/>
  <c r="C29" i="48"/>
  <c r="C25" i="48"/>
  <c r="C28" i="48"/>
  <c r="C27" i="48"/>
  <c r="C23" i="48"/>
  <c r="C40" i="14"/>
  <c r="B12" i="13"/>
  <c r="C41" i="14"/>
  <c r="C12" i="13"/>
  <c r="D41" i="14"/>
  <c r="D46" i="14"/>
  <c r="D61" i="14"/>
  <c r="D63" i="14"/>
  <c r="C33" i="48"/>
  <c r="R49" i="14"/>
  <c r="R50" i="14"/>
  <c r="R43" i="14"/>
  <c r="R42" i="14"/>
  <c r="B24" i="48"/>
  <c r="Q24" i="48"/>
  <c r="B29" i="48"/>
  <c r="Q29" i="48"/>
  <c r="B30" i="48"/>
  <c r="Q30" i="48"/>
  <c r="B27" i="48"/>
  <c r="Q27" i="48"/>
  <c r="B26" i="48"/>
  <c r="Q26" i="48"/>
  <c r="B28" i="48"/>
  <c r="Q28" i="48"/>
  <c r="B22" i="48"/>
  <c r="B25" i="48"/>
  <c r="Q25" i="48"/>
  <c r="B31" i="48"/>
  <c r="Q31" i="48"/>
  <c r="B23" i="48"/>
  <c r="Q23" i="48"/>
  <c r="C52" i="14"/>
  <c r="R48" i="14"/>
  <c r="R52" i="14"/>
  <c r="R39" i="14"/>
  <c r="R54" i="14"/>
  <c r="R56" i="14"/>
  <c r="C56" i="14"/>
  <c r="R40" i="14"/>
  <c r="R41" i="14"/>
  <c r="B33" i="48"/>
  <c r="Q22" i="48"/>
  <c r="Q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<sst xmlns="http://schemas.openxmlformats.org/spreadsheetml/2006/main" count="2513" uniqueCount="962">
  <si>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</si>
  <si>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</si>
  <si>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</si>
  <si>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</si>
  <si>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</si>
  <si>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</si>
  <si>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</si>
  <si>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</si>
  <si>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</si>
  <si>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</si>
  <si>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</si>
  <si>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</si>
  <si>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</si>
  <si>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</si>
  <si>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</si>
  <si>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</si>
  <si>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</si>
  <si>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</si>
  <si>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</si>
  <si>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</si>
  <si>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</si>
  <si>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</si>
  <si>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</si>
  <si>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</si>
  <si>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</si>
  <si>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</si>
  <si>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</si>
  <si>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</si>
  <si>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</si>
  <si>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</si>
  <si>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</si>
  <si>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</si>
  <si>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</si>
  <si>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</si>
  <si>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</si>
  <si>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</si>
  <si>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</si>
  <si>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</si>
  <si>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</si>
  <si>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</si>
  <si>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</si>
  <si>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</si>
  <si>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</si>
  <si>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</si>
  <si>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</si>
  <si>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</si>
  <si>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</si>
  <si>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</si>
  <si>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</si>
  <si>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</si>
  <si>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</si>
  <si>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</si>
  <si>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</si>
  <si>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</si>
  <si>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</si>
  <si>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</si>
  <si>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</si>
  <si>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</si>
  <si>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</si>
  <si>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</si>
  <si>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</si>
  <si>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</si>
  <si>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</si>
  <si>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</si>
  <si>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</si>
  <si>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</si>
  <si>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</si>
  <si>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</si>
  <si>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</si>
  <si>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</si>
  <si>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</si>
  <si>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</si>
  <si>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</si>
  <si>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</si>
  <si>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</si>
  <si>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</si>
  <si>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</si>
  <si>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</si>
  <si>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</si>
  <si>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</si>
  <si>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</si>
  <si>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</si>
  <si>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</si>
  <si>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</si>
  <si>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</si>
  <si>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</si>
  <si>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</si>
  <si>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</si>
  <si>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</si>
  <si>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</si>
  <si>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</si>
  <si>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</si>
  <si>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</si>
  <si>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</si>
  <si>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</si>
  <si>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</si>
  <si>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</si>
  <si>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</si>
  <si>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</si>
  <si>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</si>
  <si>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</si>
  <si>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</si>
  <si>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</si>
  <si>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</si>
  <si>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</si>
  <si>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</si>
  <si>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</si>
  <si>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</si>
  <si>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</si>
  <si>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</si>
  <si>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</si>
  <si>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</si>
  <si>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</si>
  <si>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</si>
  <si>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</si>
  <si>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</si>
  <si>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</si>
  <si>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</si>
  <si>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</si>
  <si>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</si>
  <si>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</si>
  <si>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</si>
  <si>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</si>
  <si>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</si>
  <si>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</si>
  <si>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</si>
  <si>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</si>
  <si>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</si>
  <si>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</si>
  <si>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</si>
  <si>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</si>
  <si>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</si>
  <si>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</si>
  <si>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</si>
  <si>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</si>
  <si>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</si>
  <si>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</si>
  <si>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</si>
  <si>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</si>
  <si>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</si>
  <si>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</si>
  <si>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</si>
  <si>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</si>
  <si>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</si>
  <si>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</si>
  <si>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</si>
  <si>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</si>
  <si>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</si>
  <si>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</si>
  <si>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</si>
  <si>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</si>
  <si>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</si>
  <si>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</si>
  <si>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</si>
  <si>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</si>
  <si>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</si>
  <si>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</si>
  <si>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</si>
  <si>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</si>
  <si>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</si>
  <si>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</si>
  <si>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</si>
  <si>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</si>
  <si>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</si>
  <si>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</si>
  <si>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</si>
  <si>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</si>
  <si>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</si>
  <si>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</si>
  <si>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</si>
  <si>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</si>
  <si>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</si>
  <si>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</si>
  <si>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</si>
  <si>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</si>
  <si>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</si>
  <si>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</si>
  <si>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</si>
  <si>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</si>
  <si>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</si>
  <si>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</si>
  <si>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</si>
  <si>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</si>
  <si>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</si>
  <si>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</si>
  <si>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</si>
  <si>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</si>
  <si>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</si>
  <si>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</si>
  <si>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</si>
  <si>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</si>
  <si>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</si>
  <si>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</si>
  <si>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</si>
  <si>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</si>
  <si>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</si>
  <si>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</si>
  <si>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</si>
  <si>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</si>
  <si>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</si>
  <si>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</si>
  <si>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</si>
  <si>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</si>
  <si>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</si>
  <si>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</si>
  <si>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</si>
  <si>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</si>
  <si>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</si>
  <si>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</si>
  <si>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</si>
  <si>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</si>
  <si>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</si>
  <si>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</si>
  <si>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</si>
  <si>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</si>
  <si>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</si>
  <si>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</si>
  <si>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</si>
  <si>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</si>
  <si>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</si>
  <si>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</si>
  <si>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</si>
  <si>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</si>
  <si>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</si>
  <si>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</si>
  <si>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</si>
  <si>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</si>
  <si>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</si>
  <si>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</si>
  <si>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</si>
  <si>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</si>
  <si>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</si>
  <si>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</si>
  <si>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</si>
  <si>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</si>
  <si>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</si>
  <si>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</si>
  <si>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</si>
  <si>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</si>
  <si>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</si>
  <si>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</si>
  <si>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</si>
  <si>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</si>
  <si>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</si>
  <si>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</si>
  <si>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</si>
  <si>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</si>
  <si>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</si>
  <si>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</si>
  <si>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</si>
  <si>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</si>
  <si>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</si>
  <si>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</si>
  <si>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</si>
  <si>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</si>
  <si>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</si>
  <si>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</si>
  <si>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</si>
  <si>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</si>
  <si>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</si>
  <si>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</si>
  <si>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</si>
  <si>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</si>
  <si>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</si>
  <si>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</si>
  <si>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</si>
  <si>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</si>
  <si>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</si>
  <si>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</si>
  <si>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</si>
  <si>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</si>
  <si>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</si>
  <si>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</si>
  <si>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</si>
  <si>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</si>
  <si>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</si>
  <si>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</si>
  <si>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</si>
  <si>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</si>
  <si>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</si>
  <si>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</si>
  <si>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</si>
  <si>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</si>
  <si>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</si>
  <si>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</si>
  <si>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</si>
  <si>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</si>
  <si>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</si>
  <si>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</si>
  <si>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</si>
  <si>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</si>
  <si>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</si>
  <si>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</si>
  <si>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</si>
  <si>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</si>
  <si>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</si>
  <si>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</si>
  <si>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</si>
  <si>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</si>
  <si>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</si>
  <si>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</si>
  <si>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</si>
  <si>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</si>
  <si>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</si>
  <si>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</si>
  <si>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</si>
  <si>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</si>
  <si>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</si>
  <si>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</si>
  <si>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</si>
  <si>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</si>
  <si>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</si>
  <si>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</si>
  <si>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</si>
  <si>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</si>
  <si>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</si>
  <si>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</si>
  <si>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</si>
  <si>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</si>
  <si>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</si>
  <si>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</si>
  <si>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</si>
  <si>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</si>
  <si>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</si>
  <si>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</si>
  <si>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</si>
  <si>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</si>
  <si>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</si>
  <si>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</si>
  <si>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</si>
  <si>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</si>
  <si>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</si>
  <si>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</si>
  <si>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</si>
  <si>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</si>
  <si>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</si>
  <si>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</si>
  <si>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</si>
  <si>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</si>
  <si>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</si>
  <si>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</si>
  <si>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</si>
  <si>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</si>
  <si>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</si>
  <si>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</si>
  <si>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</si>
  <si>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</si>
  <si>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</si>
  <si>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</si>
  <si>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</si>
  <si>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</si>
  <si>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</si>
  <si>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</si>
  <si>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</si>
  <si>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</si>
  <si>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</si>
  <si>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</si>
  <si>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</si>
  <si>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</si>
  <si>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</si>
  <si>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</si>
  <si>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</si>
  <si>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</si>
  <si>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</si>
  <si>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</si>
  <si>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</si>
  <si>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</si>
  <si>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</si>
  <si>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</si>
  <si>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</si>
  <si>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</si>
  <si>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</si>
  <si>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</si>
  <si>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</si>
  <si>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</si>
  <si>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</si>
  <si>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</si>
  <si>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</si>
  <si>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</si>
  <si>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</si>
  <si>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</si>
  <si>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</si>
  <si>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</si>
  <si>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</si>
  <si>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</si>
  <si>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</si>
  <si>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</si>
  <si>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</si>
  <si>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</si>
  <si>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</si>
  <si>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</si>
  <si>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</si>
  <si>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</si>
  <si>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</si>
  <si>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</si>
  <si>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</si>
  <si>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</si>
  <si>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</si>
  <si>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</si>
  <si>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</si>
  <si>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</si>
  <si>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</si>
  <si>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</si>
  <si>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</si>
  <si>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</si>
  <si>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</si>
  <si>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</si>
  <si>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</si>
  <si>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</si>
  <si>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</si>
  <si>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</si>
  <si>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</si>
  <si>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</si>
  <si>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</si>
  <si>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</si>
  <si>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</si>
  <si>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</si>
  <si>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</si>
  <si>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</si>
  <si>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</si>
  <si>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</si>
  <si>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</si>
  <si>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</si>
  <si>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</si>
  <si>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</si>
  <si>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</si>
  <si>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</si>
  <si>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</si>
  <si>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</si>
  <si>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</si>
  <si>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</si>
  <si>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</si>
  <si>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</si>
  <si>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</si>
  <si>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</si>
  <si>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</si>
  <si>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</si>
  <si>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</si>
  <si>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</si>
  <si>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</si>
  <si>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</si>
  <si>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</si>
  <si>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</si>
  <si>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</si>
  <si>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</si>
  <si>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</si>
  <si>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</si>
  <si>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</si>
  <si>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</si>
  <si>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</si>
  <si>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</si>
  <si>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</si>
  <si>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</si>
  <si>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</si>
  <si>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</si>
  <si>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</si>
  <si>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</si>
  <si>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</si>
  <si>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</si>
  <si>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</si>
  <si>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</si>
  <si>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</si>
  <si>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</si>
  <si>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</si>
  <si>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</si>
  <si>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</si>
  <si>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</si>
  <si>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</si>
  <si>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</si>
  <si>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</si>
  <si>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</si>
  <si>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</si>
  <si>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</si>
  <si>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</si>
  <si>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</si>
  <si>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</si>
  <si>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</si>
  <si>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</si>
  <si>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</si>
  <si>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</si>
  <si>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</si>
  <si>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</si>
  <si>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</si>
  <si>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</si>
  <si>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</si>
  <si>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</si>
  <si>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</si>
  <si>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</si>
  <si>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</si>
  <si>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</si>
  <si>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</si>
  <si>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</si>
  <si>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</si>
  <si>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</si>
  <si>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</si>
  <si>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</si>
  <si>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</si>
  <si>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</si>
  <si>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</si>
  <si>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</si>
  <si>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</si>
  <si>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</si>
  <si>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</si>
  <si>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</si>
  <si>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</si>
  <si>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</si>
  <si>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</si>
  <si>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</si>
  <si>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</si>
  <si>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</si>
  <si>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</si>
  <si>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</si>
  <si>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</si>
  <si>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</si>
  <si>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</si>
  <si>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</si>
  <si>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</si>
  <si>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</si>
  <si>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</si>
  <si>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</si>
  <si>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</si>
  <si>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</si>
  <si>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</si>
  <si>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</si>
  <si>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</si>
  <si>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</si>
  <si>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</si>
  <si>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</si>
  <si>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</si>
  <si>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</si>
  <si>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</si>
  <si>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</si>
  <si>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</si>
  <si>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</si>
  <si>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</si>
  <si>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</si>
  <si>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</si>
  <si>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</si>
  <si>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</si>
  <si>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</si>
  <si>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</si>
  <si>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</si>
  <si>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</si>
  <si>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</si>
  <si>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</si>
  <si>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</si>
  <si>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</si>
  <si>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</si>
  <si>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</si>
  <si>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</si>
  <si>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</si>
  <si>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</si>
  <si>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</si>
  <si>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</si>
  <si>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</si>
  <si>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</si>
  <si>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</si>
  <si>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</si>
  <si>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</si>
  <si>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</si>
  <si>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</si>
  <si>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</si>
  <si>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</si>
  <si>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</si>
  <si>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</si>
  <si>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</si>
  <si>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</si>
  <si>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</si>
  <si>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</si>
  <si>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</si>
  <si>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</si>
  <si>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</si>
  <si>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</si>
  <si>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</si>
  <si>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</si>
  <si>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</si>
  <si>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</si>
  <si>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</si>
  <si>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</si>
  <si>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</si>
  <si>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</si>
  <si>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</si>
  <si>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</si>
  <si>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</si>
  <si>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</si>
  <si>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</si>
  <si>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</si>
  <si>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</si>
  <si>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</si>
  <si>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</si>
  <si>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</si>
  <si>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</si>
  <si>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</si>
  <si>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</si>
  <si>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</si>
  <si>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</si>
  <si>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</si>
  <si>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</si>
  <si>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</si>
  <si>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</si>
  <si>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</si>
  <si>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</si>
  <si>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</si>
  <si>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</si>
  <si>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</si>
  <si>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</si>
  <si>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</si>
  <si>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</si>
  <si>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</si>
  <si>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</si>
  <si>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</si>
  <si>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</si>
  <si>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</si>
  <si>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</si>
  <si>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</si>
  <si>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</si>
  <si>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</si>
  <si>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</si>
  <si>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</si>
  <si>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</si>
  <si>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</si>
  <si>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</si>
  <si>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</si>
  <si>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</si>
  <si>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</si>
  <si>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</si>
  <si>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</si>
  <si>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</si>
  <si>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</si>
  <si>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</si>
  <si>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</si>
  <si>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</si>
  <si>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</si>
  <si>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</si>
  <si>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</si>
  <si>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</si>
  <si>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</si>
  <si>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</si>
  <si>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</si>
  <si>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</si>
  <si>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</si>
  <si>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</si>
  <si>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</si>
  <si>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</si>
  <si>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</si>
  <si>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</si>
  <si>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</si>
  <si>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</si>
  <si>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</si>
  <si>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</si>
  <si>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</si>
  <si>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</si>
  <si>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</si>
  <si>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</si>
  <si>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</si>
  <si>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</si>
  <si>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</si>
  <si>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</si>
  <si>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</si>
  <si>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</si>
  <si>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</si>
  <si>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</si>
  <si>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</si>
  <si>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</si>
  <si>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</si>
  <si>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</si>
  <si>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</si>
  <si>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</si>
  <si>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</si>
  <si>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</si>
  <si>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</si>
  <si>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</si>
  <si>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</si>
  <si>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</si>
  <si>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</si>
  <si>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</si>
  <si>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</si>
  <si>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</si>
  <si>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</si>
  <si>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</si>
  <si>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</si>
  <si>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</si>
  <si>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</si>
  <si>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</si>
  <si>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</si>
  <si>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</si>
  <si>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</si>
  <si>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</si>
  <si>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</si>
  <si>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</si>
  <si>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</si>
  <si>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</si>
  <si>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</si>
  <si>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</si>
  <si>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</si>
  <si>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</si>
  <si>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</si>
  <si>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</si>
  <si>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</si>
  <si>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</si>
  <si>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</si>
  <si>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</si>
  <si>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</si>
  <si>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</si>
  <si>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</si>
  <si>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</si>
  <si>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</si>
  <si>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</si>
  <si>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</si>
  <si>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</si>
  <si>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</si>
  <si>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</si>
  <si>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</si>
  <si>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</si>
  <si>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</si>
  <si>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</si>
  <si>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</si>
  <si>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</si>
  <si>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</si>
  <si>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</si>
  <si>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</si>
  <si>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</si>
  <si>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</si>
  <si>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</si>
  <si>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</si>
  <si>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</si>
  <si>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</si>
  <si>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</si>
  <si>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</si>
  <si>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</si>
  <si>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</si>
  <si>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</si>
  <si>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</si>
  <si>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</si>
  <si>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</si>
  <si>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</si>
  <si>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</si>
  <si>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</si>
  <si>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</si>
  <si>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</si>
  <si>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</si>
  <si>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</si>
  <si>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</si>
  <si>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</si>
  <si>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</si>
  <si>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</si>
  <si>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</si>
  <si>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</si>
  <si>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</si>
  <si>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</si>
  <si>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</si>
  <si>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</si>
  <si>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</si>
  <si>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</si>
  <si>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</si>
  <si>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</si>
  <si>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</si>
  <si>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</si>
  <si>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</si>
  <si>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</si>
  <si>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</si>
  <si>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</si>
  <si>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</si>
  <si>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</si>
  <si>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</si>
  <si>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</si>
  <si>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</si>
  <si>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</si>
  <si>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</si>
  <si>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</si>
  <si>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</si>
  <si>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</si>
  <si>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</si>
  <si>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</si>
  <si>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</si>
  <si>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</si>
  <si>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</si>
  <si>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</si>
  <si>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</si>
  <si>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</si>
  <si>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</si>
  <si>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</si>
  <si>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</si>
  <si>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</si>
  <si>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</si>
  <si>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</si>
  <si>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</si>
  <si>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</si>
  <si>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</si>
  <si>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</si>
  <si>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</si>
  <si>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</si>
  <si>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</si>
  <si>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</si>
  <si>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</si>
  <si>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</si>
  <si>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</si>
  <si>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</si>
  <si>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</si>
  <si>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</si>
  <si>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</si>
  <si>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</si>
  <si>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</si>
  <si>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</si>
  <si>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</si>
  <si>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</si>
  <si>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</si>
  <si>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</si>
  <si>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</si>
  <si>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</si>
  <si>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</si>
  <si>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</si>
  <si>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</si>
  <si>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</si>
  <si>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</si>
  <si>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</si>
  <si>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</si>
  <si>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</si>
  <si>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</si>
  <si>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</si>
  <si>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</si>
  <si>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</si>
  <si>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</si>
  <si>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</si>
  <si>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</si>
  <si>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</si>
  <si>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</si>
  <si>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</si>
  <si>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</si>
  <si>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</si>
  <si>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</si>
  <si>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</si>
  <si>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</si>
  <si>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</si>
  <si>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</si>
  <si>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</si>
  <si>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</si>
  <si>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</si>
  <si>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</si>
  <si>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</si>
  <si>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</si>
  <si>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</si>
  <si>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</si>
  <si>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</si>
  <si>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</si>
  <si>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</si>
  <si>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</si>
  <si>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</si>
  <si>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</si>
  <si>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</si>
  <si>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</si>
  <si>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</si>
  <si>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</si>
  <si>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</si>
  <si>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</si>
  <si>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</si>
  <si>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</si>
  <si>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</si>
  <si>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</si>
  <si>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</si>
  <si>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</si>
  <si>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</si>
  <si>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</si>
  <si>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</si>
  <si>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</si>
  <si>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</si>
  <si>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</si>
  <si>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</si>
  <si>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</si>
  <si>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</si>
  <si>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</si>
  <si>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</si>
  <si>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</si>
  <si>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</si>
  <si>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</si>
  <si>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</si>
  <si>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</si>
  <si>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</si>
  <si>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</si>
  <si>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</si>
  <si>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</si>
  <si>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</si>
  <si>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</si>
  <si>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</si>
  <si>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</si>
  <si>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</si>
  <si>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</si>
  <si>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</si>
  <si>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</si>
  <si>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</si>
  <si>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</si>
  <si>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</si>
  <si>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</si>
  <si>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</si>
  <si>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</si>
  <si>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</si>
  <si>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</si>
  <si>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</si>
  <si>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</si>
  <si>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</si>
  <si>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</si>
  <si>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</si>
  <si>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</si>
  <si>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</si>
  <si>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</si>
  <si>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</si>
  <si>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</si>
  <si>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Bron: CH4 vee-model  (VMM, januari 2021)</t>
  </si>
  <si>
    <t>Diesel hybride</t>
  </si>
  <si>
    <t>Fuel Cell H2</t>
  </si>
  <si>
    <t>H2</t>
  </si>
  <si>
    <t>Diesel Hybrid PHEV</t>
  </si>
  <si>
    <t>Petrol Hybrid CS</t>
  </si>
  <si>
    <t>Petrol Hybrid PHEV</t>
  </si>
  <si>
    <t>COPERT 5.4</t>
  </si>
  <si>
    <t>verdeling hybride/diesel aangeleverd door De Lijn</t>
  </si>
  <si>
    <t>Jaarverslag van De Lijn 2012</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</si>
  <si>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</si>
  <si>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</si>
  <si>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</si>
  <si>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</si>
  <si>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</si>
  <si>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</si>
  <si>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</si>
  <si>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</si>
  <si>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</si>
  <si>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</si>
  <si>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</si>
  <si>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</si>
  <si>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</si>
  <si>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</si>
  <si>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</si>
  <si>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</si>
  <si>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</si>
  <si>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</si>
  <si>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</si>
  <si>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</si>
  <si>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</si>
  <si>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versie: 2011_18</t>
  </si>
  <si>
    <t>2011_18</t>
  </si>
  <si>
    <t>N2O uit bodem (landbouw): aanpassing totale uitstoot Vlaanderen</t>
  </si>
  <si>
    <t>VITO Energiebalans Vlaanderen (december 2021)</t>
  </si>
  <si>
    <t>update Energiebalans Vlaanderen voor huishoudens, tertiair, landbouw (industrie niet-ETS niet beschikbaar!)</t>
  </si>
  <si>
    <t>Energiebalans Vlaandere</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</si>
  <si>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</si>
  <si>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</si>
  <si>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</si>
  <si>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</si>
  <si>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</si>
  <si>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</si>
  <si>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</si>
  <si>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</si>
  <si>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</si>
  <si>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</si>
  <si>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</si>
  <si>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</si>
  <si>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</si>
  <si>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72043</t>
  </si>
  <si>
    <t>PELT</t>
  </si>
  <si>
    <t>Paarden&amp;pony's 200 - 600 kg</t>
  </si>
  <si>
    <t>Paarden&amp;pony's &lt; 200 kg</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</si>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</sst>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2" fillId="0" borderId="176" applyNumberFormat="0" applyFill="0" applyAlignment="0" applyProtection="0"/>
    <xf numFmtId="0" fontId="103" fillId="26" borderId="0" applyNumberFormat="0" applyBorder="0" applyAlignment="0" applyProtection="0"/>
    <xf numFmtId="0" fontId="104" fillId="27" borderId="0" applyNumberFormat="0" applyBorder="0" applyAlignment="0" applyProtection="0"/>
    <xf numFmtId="0" fontId="105" fillId="28" borderId="0" applyNumberFormat="0" applyBorder="0" applyAlignment="0" applyProtection="0"/>
    <xf numFmtId="0" fontId="106" fillId="29" borderId="177" applyNumberFormat="0" applyAlignment="0" applyProtection="0"/>
    <xf numFmtId="0" fontId="107" fillId="30" borderId="178" applyNumberFormat="0" applyAlignment="0" applyProtection="0"/>
    <xf numFmtId="0" fontId="108" fillId="30" borderId="177" applyNumberFormat="0" applyAlignment="0" applyProtection="0"/>
    <xf numFmtId="0" fontId="109"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0"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1" fillId="0" borderId="0"/>
    <xf numFmtId="0" fontId="1" fillId="0" borderId="0" applyNumberFormat="0" applyFill="0" applyBorder="0" applyAlignment="0" applyProtection="0"/>
    <xf numFmtId="0" fontId="112" fillId="0" borderId="176" applyNumberFormat="0" applyFill="0" applyAlignment="0" applyProtection="0"/>
    <xf numFmtId="0" fontId="113" fillId="28" borderId="0" applyNumberFormat="0" applyBorder="0" applyAlignment="0" applyProtection="0"/>
    <xf numFmtId="0" fontId="111" fillId="34" borderId="0" applyNumberFormat="0" applyBorder="0" applyAlignment="0" applyProtection="0"/>
    <xf numFmtId="9" fontId="111"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4" fillId="0" borderId="13" applyFill="0" applyBorder="0" applyProtection="0">
      <alignment horizontal="right" vertical="center"/>
    </xf>
    <xf numFmtId="0" fontId="115"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4" fillId="0" borderId="183" applyNumberFormat="0" applyFill="0" applyBorder="0" applyProtection="0">
      <alignment horizontal="left" vertical="center"/>
    </xf>
    <xf numFmtId="0" fontId="25" fillId="0" borderId="183" applyNumberFormat="0" applyFill="0" applyAlignment="0" applyProtection="0"/>
    <xf numFmtId="0" fontId="116"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5"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4"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4"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4"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4" fillId="0" borderId="209" applyNumberFormat="0" applyFill="0" applyBorder="0" applyProtection="0">
      <alignment horizontal="left" vertical="center"/>
    </xf>
    <xf numFmtId="49" fontId="114"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4"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4"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4"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3"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0" fillId="0" borderId="0"/>
    <xf numFmtId="0" fontId="131" fillId="0" borderId="0"/>
    <xf numFmtId="0" fontId="132" fillId="63" borderId="217">
      <alignment horizontal="center"/>
    </xf>
    <xf numFmtId="0" fontId="133" fillId="64" borderId="217"/>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7" fillId="0" borderId="0"/>
    <xf numFmtId="0" fontId="128" fillId="63" borderId="217">
      <alignment horizontal="center"/>
    </xf>
    <xf numFmtId="0" fontId="129" fillId="64" borderId="217"/>
    <xf numFmtId="0" fontId="129" fillId="65" borderId="217"/>
    <xf numFmtId="0" fontId="111" fillId="0" borderId="0"/>
    <xf numFmtId="0" fontId="128" fillId="63" borderId="217">
      <alignment horizontal="center"/>
    </xf>
    <xf numFmtId="0" fontId="129" fillId="64" borderId="217"/>
    <xf numFmtId="0" fontId="129" fillId="65" borderId="217"/>
    <xf numFmtId="0" fontId="4" fillId="0" borderId="0"/>
    <xf numFmtId="0" fontId="111" fillId="0" borderId="0"/>
    <xf numFmtId="9" fontId="111"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4"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4" fillId="0" borderId="221" applyNumberFormat="0" applyFill="0" applyBorder="0" applyProtection="0">
      <alignment horizontal="left" vertical="center"/>
    </xf>
    <xf numFmtId="0" fontId="127"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0" fontId="111" fillId="0" borderId="0"/>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4"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29"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29" fillId="64" borderId="217"/>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4"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4"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28"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1" fillId="0" borderId="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25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0" fontId="74" fillId="12" borderId="86" xfId="0" applyNumberFormat="1" applyFont="1" applyFill="1" applyBorder="1" applyAlignment="1">
      <alignment horizontal="left" vertical="center" wrapText="1"/>
    </xf>
    <xf numFmtId="172" fontId="99"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7"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0"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18"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19" fillId="0" borderId="193" xfId="0" applyNumberFormat="1" applyFont="1" applyBorder="1" applyAlignment="1">
      <alignment horizontal="left" vertical="top"/>
    </xf>
    <xf numFmtId="3" fontId="0" fillId="0" borderId="194" xfId="0" applyNumberFormat="1" applyBorder="1"/>
    <xf numFmtId="3" fontId="118"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548AE1C-E310-4B1C-8C72-ECB08EFF9AF6}"/>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7" Type="http://schemas.openxmlformats.org/officeDocument/2006/relationships/printerSettings" Target="../printerSettings/printerSettings22.bin"/><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680</v>
      </c>
      <c r="B2" s="386"/>
      <c r="C2" s="387"/>
    </row>
    <row r="3" spans="1:7" s="11" customFormat="1" ht="15" customHeight="1">
      <c r="A3" s="93"/>
      <c r="B3" s="74"/>
      <c r="C3" s="94"/>
    </row>
    <row r="4" spans="1:7" s="11" customFormat="1" ht="15.75" customHeight="1" thickBot="1">
      <c r="A4" s="105" t="s">
        <v>938</v>
      </c>
      <c r="B4" s="106"/>
      <c r="C4" s="107"/>
    </row>
    <row r="5" spans="1:7" s="380" customFormat="1" ht="15.75" customHeight="1">
      <c r="A5" s="377" t="s">
        <v>0</v>
      </c>
      <c r="B5" s="378"/>
      <c r="C5" s="379"/>
    </row>
    <row r="6" spans="1:7" s="380" customFormat="1" ht="15" customHeight="1">
      <c r="A6" s="381" t="str">
        <f>txtNIS</f>
        <v>72043</v>
      </c>
      <c r="B6" s="382"/>
      <c r="C6" s="383"/>
    </row>
    <row r="7" spans="1:7" s="380" customFormat="1" ht="15.75" customHeight="1">
      <c r="A7" s="384" t="str">
        <f>txtMunicipality</f>
        <v>PELT</v>
      </c>
      <c r="B7" s="382"/>
      <c r="C7" s="383"/>
    </row>
    <row r="8" spans="1:7" ht="15.75" thickBot="1">
      <c r="A8" s="45"/>
      <c r="B8" s="108"/>
      <c r="C8" s="109"/>
    </row>
    <row r="9" spans="1:7" s="373" customFormat="1" ht="15.75" thickBot="1">
      <c r="A9" s="397" t="s">
        <v>344</v>
      </c>
      <c r="B9" s="400"/>
      <c r="C9" s="401"/>
    </row>
    <row r="10" spans="1:7" s="15" customFormat="1" ht="57.75" customHeight="1" thickBot="1">
      <c r="A10" s="1004" t="s">
        <v>937</v>
      </c>
      <c r="B10" s="1005"/>
      <c r="C10" s="1006"/>
    </row>
    <row r="11" spans="1:7" s="374" customFormat="1" ht="15.75" thickBot="1">
      <c r="A11" s="397" t="s">
        <v>347</v>
      </c>
      <c r="B11" s="400"/>
      <c r="C11" s="401"/>
      <c r="G11" s="375"/>
    </row>
    <row r="12" spans="1:7">
      <c r="A12" s="44"/>
      <c r="B12" s="43"/>
      <c r="C12" s="96"/>
    </row>
    <row r="13" spans="1:7" s="374" customFormat="1">
      <c r="A13" s="714" t="s">
        <v>586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348</v>
      </c>
      <c r="B16" s="1007" t="s">
        <v>514</v>
      </c>
      <c r="C16" s="1008"/>
    </row>
    <row r="17" spans="1:3" s="15" customFormat="1" ht="15.75">
      <c r="A17" s="98"/>
      <c r="B17" s="70"/>
      <c r="C17" s="99"/>
    </row>
    <row r="18" spans="1:3">
      <c r="A18" s="95" t="s">
        <v>351</v>
      </c>
      <c r="B18" s="69" t="s">
        <v>363</v>
      </c>
      <c r="C18" s="100" t="s">
        <v>362</v>
      </c>
    </row>
    <row r="19" spans="1:3" s="330" customFormat="1">
      <c r="A19" s="364" t="s">
        <v>349</v>
      </c>
      <c r="B19" s="365" t="s">
        <v>665</v>
      </c>
      <c r="C19" s="366" t="s">
        <v>512</v>
      </c>
    </row>
    <row r="20" spans="1:3" s="330" customFormat="1">
      <c r="A20" s="367"/>
      <c r="B20" s="327"/>
      <c r="C20" s="368"/>
    </row>
    <row r="21" spans="1:3" s="330" customFormat="1">
      <c r="A21" s="369" t="s">
        <v>350</v>
      </c>
      <c r="B21" s="365" t="s">
        <v>509</v>
      </c>
      <c r="C21" s="366" t="s">
        <v>513</v>
      </c>
    </row>
    <row r="22" spans="1:3" s="330" customFormat="1">
      <c r="A22" s="370"/>
      <c r="B22" s="327"/>
      <c r="C22" s="368"/>
    </row>
    <row r="23" spans="1:3" s="330" customFormat="1" ht="30">
      <c r="A23" s="364" t="s">
        <v>431</v>
      </c>
      <c r="B23" s="436" t="s">
        <v>435</v>
      </c>
      <c r="C23" s="366" t="s">
        <v>510</v>
      </c>
    </row>
    <row r="24" spans="1:3" s="330" customFormat="1">
      <c r="A24" s="370"/>
      <c r="B24" s="327"/>
      <c r="C24" s="368"/>
    </row>
    <row r="25" spans="1:3" s="330" customFormat="1">
      <c r="A25" s="364" t="s">
        <v>433</v>
      </c>
      <c r="B25" s="365" t="s">
        <v>432</v>
      </c>
      <c r="C25" s="366" t="s">
        <v>511</v>
      </c>
    </row>
    <row r="26" spans="1:3" s="330" customFormat="1">
      <c r="A26" s="370"/>
      <c r="B26" s="327"/>
      <c r="C26" s="368"/>
    </row>
    <row r="27" spans="1:3" s="330" customFormat="1">
      <c r="A27" s="364" t="s">
        <v>405</v>
      </c>
      <c r="B27" s="365" t="s">
        <v>430</v>
      </c>
      <c r="C27" s="366"/>
    </row>
    <row r="28" spans="1:3" s="330" customFormat="1">
      <c r="A28" s="370"/>
      <c r="B28" s="327" t="s">
        <v>566</v>
      </c>
      <c r="C28" s="368"/>
    </row>
    <row r="29" spans="1:3" ht="15.75" thickBot="1">
      <c r="A29" s="44"/>
      <c r="B29" s="43"/>
      <c r="C29" s="96"/>
    </row>
    <row r="30" spans="1:3" s="373" customFormat="1" ht="15.75" thickBot="1">
      <c r="A30" s="397" t="s">
        <v>360</v>
      </c>
      <c r="B30" s="398"/>
      <c r="C30" s="399"/>
    </row>
    <row r="31" spans="1:3" s="15" customFormat="1" ht="15.75">
      <c r="A31" s="98"/>
      <c r="B31" s="71"/>
      <c r="C31" s="102"/>
    </row>
    <row r="32" spans="1:3" s="15" customFormat="1">
      <c r="A32" s="103" t="s">
        <v>361</v>
      </c>
      <c r="B32" s="73" t="s">
        <v>363</v>
      </c>
      <c r="C32" s="104"/>
    </row>
    <row r="33" spans="1:3" s="391" customFormat="1">
      <c r="A33" s="388" t="s">
        <v>352</v>
      </c>
      <c r="B33" s="389" t="s">
        <v>364</v>
      </c>
      <c r="C33" s="390"/>
    </row>
    <row r="34" spans="1:3" s="391" customFormat="1">
      <c r="A34" s="392" t="s">
        <v>353</v>
      </c>
      <c r="B34" s="393" t="s">
        <v>354</v>
      </c>
      <c r="C34" s="394"/>
    </row>
    <row r="35" spans="1:3" s="391" customFormat="1">
      <c r="A35" s="395" t="s">
        <v>355</v>
      </c>
      <c r="B35" s="393" t="s">
        <v>356</v>
      </c>
      <c r="C35" s="394"/>
    </row>
    <row r="36" spans="1:3" s="391" customFormat="1">
      <c r="A36" s="396" t="s">
        <v>357</v>
      </c>
      <c r="B36" s="393" t="s">
        <v>358</v>
      </c>
      <c r="C36" s="394"/>
    </row>
    <row r="37" spans="1:3" s="391" customFormat="1" ht="30">
      <c r="A37" s="424" t="s">
        <v>359</v>
      </c>
      <c r="B37" s="393" t="s">
        <v>463</v>
      </c>
      <c r="C37" s="394"/>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373</v>
      </c>
      <c r="B2" s="737"/>
      <c r="C2" s="401"/>
    </row>
    <row r="3" spans="1:3" s="15" customFormat="1" ht="15.75">
      <c r="A3" s="98"/>
      <c r="B3" s="70"/>
      <c r="C3" s="99"/>
    </row>
    <row r="4" spans="1:3" s="324" customFormat="1">
      <c r="A4" s="381" t="s">
        <v>351</v>
      </c>
      <c r="B4" s="403" t="s">
        <v>363</v>
      </c>
      <c r="C4" s="404" t="s">
        <v>362</v>
      </c>
    </row>
    <row r="5" spans="1:3" s="324" customFormat="1">
      <c r="A5" s="405"/>
      <c r="B5" s="330"/>
      <c r="C5" s="357"/>
    </row>
    <row r="6" spans="1:3" s="324" customFormat="1">
      <c r="A6" s="406" t="s">
        <v>346</v>
      </c>
      <c r="B6" s="407" t="s">
        <v>667</v>
      </c>
      <c r="C6" s="408" t="s">
        <v>345</v>
      </c>
    </row>
    <row r="7" spans="1:3" s="324" customFormat="1">
      <c r="A7" s="409" t="s">
        <v>666</v>
      </c>
      <c r="B7" s="410" t="s">
        <v>577</v>
      </c>
      <c r="C7" s="411" t="s">
        <v>576</v>
      </c>
    </row>
    <row r="8" spans="1:3" s="324" customFormat="1">
      <c r="A8" s="438"/>
      <c r="B8" s="410"/>
      <c r="C8" s="411"/>
    </row>
    <row r="9" spans="1:3" ht="21">
      <c r="A9" s="125" t="s">
        <v>464</v>
      </c>
      <c r="B9" s="124"/>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81" t="s">
        <v>210</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40"/>
      <c r="B4" s="440"/>
      <c r="C4" s="63"/>
      <c r="D4" s="63"/>
      <c r="E4" s="63"/>
      <c r="F4" s="63"/>
      <c r="G4" s="63"/>
      <c r="H4" s="63"/>
      <c r="I4" s="63"/>
      <c r="J4" s="63"/>
      <c r="K4" s="63"/>
      <c r="L4" s="63"/>
      <c r="M4" s="63"/>
      <c r="N4" s="63"/>
      <c r="O4" s="63"/>
      <c r="P4" s="63"/>
      <c r="Q4" s="63"/>
      <c r="R4" s="63"/>
    </row>
    <row r="5" spans="1:19" ht="16.5" thickBot="1">
      <c r="A5" s="1083" t="s">
        <v>211</v>
      </c>
      <c r="B5" s="740"/>
      <c r="C5" s="1086" t="s">
        <v>330</v>
      </c>
      <c r="D5" s="1087"/>
      <c r="E5" s="1087"/>
      <c r="F5" s="1087"/>
      <c r="G5" s="1087"/>
      <c r="H5" s="1087"/>
      <c r="I5" s="1087"/>
      <c r="J5" s="1087"/>
      <c r="K5" s="1087"/>
      <c r="L5" s="1087"/>
      <c r="M5" s="1087"/>
      <c r="N5" s="1087"/>
      <c r="O5" s="1087"/>
      <c r="P5" s="1087"/>
      <c r="Q5" s="1087"/>
      <c r="R5" s="1088"/>
    </row>
    <row r="6" spans="1:19" ht="16.5" thickTop="1">
      <c r="A6" s="1084"/>
      <c r="B6" s="741"/>
      <c r="C6" s="1089" t="s">
        <v>20</v>
      </c>
      <c r="D6" s="1091" t="s">
        <v>189</v>
      </c>
      <c r="E6" s="1093" t="s">
        <v>190</v>
      </c>
      <c r="F6" s="1094"/>
      <c r="G6" s="1094"/>
      <c r="H6" s="1094"/>
      <c r="I6" s="1094"/>
      <c r="J6" s="1094"/>
      <c r="K6" s="1094"/>
      <c r="L6" s="1095"/>
      <c r="M6" s="1093" t="s">
        <v>191</v>
      </c>
      <c r="N6" s="1094"/>
      <c r="O6" s="1094"/>
      <c r="P6" s="1094"/>
      <c r="Q6" s="1094"/>
      <c r="R6" s="1096" t="s">
        <v>109</v>
      </c>
    </row>
    <row r="7" spans="1:19" ht="45.75" thickBot="1">
      <c r="A7" s="1085"/>
      <c r="B7" s="742"/>
      <c r="C7" s="1090"/>
      <c r="D7" s="1092"/>
      <c r="E7" s="912" t="s">
        <v>192</v>
      </c>
      <c r="F7" s="912" t="s">
        <v>193</v>
      </c>
      <c r="G7" s="64" t="s">
        <v>194</v>
      </c>
      <c r="H7" s="912" t="s">
        <v>195</v>
      </c>
      <c r="I7" s="912" t="s">
        <v>113</v>
      </c>
      <c r="J7" s="912" t="s">
        <v>196</v>
      </c>
      <c r="K7" s="437" t="s">
        <v>197</v>
      </c>
      <c r="L7" s="437" t="s">
        <v>198</v>
      </c>
      <c r="M7" s="64" t="s">
        <v>199</v>
      </c>
      <c r="N7" s="65" t="s">
        <v>200</v>
      </c>
      <c r="O7" s="65" t="s">
        <v>201</v>
      </c>
      <c r="P7" s="65" t="s">
        <v>202</v>
      </c>
      <c r="Q7" s="66" t="s">
        <v>203</v>
      </c>
      <c r="R7" s="1097"/>
    </row>
    <row r="8" spans="1:19" ht="18.75" customHeight="1" thickTop="1">
      <c r="A8" s="748" t="s">
        <v>331</v>
      </c>
      <c r="B8" s="753"/>
      <c r="C8" s="1068"/>
      <c r="D8" s="1068"/>
      <c r="E8" s="1068"/>
      <c r="F8" s="1068"/>
      <c r="G8" s="1068"/>
      <c r="H8" s="1068"/>
      <c r="I8" s="1068"/>
      <c r="J8" s="1068"/>
      <c r="K8" s="1068"/>
      <c r="L8" s="1068"/>
      <c r="M8" s="1068"/>
      <c r="N8" s="1068"/>
      <c r="O8" s="1068"/>
      <c r="P8" s="1068"/>
      <c r="Q8" s="1068"/>
      <c r="R8" s="300"/>
    </row>
    <row r="9" spans="1:19" s="441" customFormat="1">
      <c r="A9" s="749" t="s">
        <v>212</v>
      </c>
      <c r="B9" s="754"/>
      <c r="C9" s="635">
        <f>'Eigen gebouwen'!B15</f>
        <v>0</v>
      </c>
      <c r="D9" s="635">
        <f>'Eigen gebouwen'!C15</f>
        <v>0</v>
      </c>
      <c r="E9" s="635">
        <f>'Eigen gebouwen'!D15</f>
        <v>0</v>
      </c>
      <c r="F9" s="635">
        <f>'Eigen gebouwen'!E15</f>
        <v>0</v>
      </c>
      <c r="G9" s="635">
        <f>'Eigen gebouwen'!F15</f>
        <v>0</v>
      </c>
      <c r="H9" s="635">
        <f>'Eigen gebouwen'!G15</f>
        <v>0</v>
      </c>
      <c r="I9" s="635">
        <f>'Eigen gebouwen'!H15</f>
        <v>0</v>
      </c>
      <c r="J9" s="635">
        <f>'Eigen gebouwen'!I15</f>
        <v>0</v>
      </c>
      <c r="K9" s="635">
        <f>'Eigen gebouwen'!J15</f>
        <v>0</v>
      </c>
      <c r="L9" s="635">
        <f>'Eigen gebouwen'!K15</f>
        <v>0</v>
      </c>
      <c r="M9" s="635">
        <f>'Eigen gebouwen'!L15</f>
        <v>0</v>
      </c>
      <c r="N9" s="635">
        <f>'Eigen gebouwen'!M15</f>
        <v>0</v>
      </c>
      <c r="O9" s="635">
        <f>'Eigen gebouwen'!N15</f>
        <v>0</v>
      </c>
      <c r="P9" s="635">
        <f>'Eigen gebouwen'!O15</f>
        <v>0</v>
      </c>
      <c r="Q9" s="636">
        <f>'Eigen gebouwen'!P15</f>
        <v>0</v>
      </c>
      <c r="R9" s="637">
        <f>SUM(C9:Q9)</f>
        <v>0</v>
      </c>
      <c r="S9" s="67"/>
    </row>
    <row r="10" spans="1:19" s="441" customFormat="1">
      <c r="A10" s="750" t="s">
        <v>213</v>
      </c>
      <c r="B10" s="755"/>
      <c r="C10" s="635">
        <f ca="1">tertiair!B16+'openbare verlichting'!B8</f>
        <v>41208.585999999996</v>
      </c>
      <c r="D10" s="635">
        <f ca="1">tertiair!C16</f>
        <v>0</v>
      </c>
      <c r="E10" s="635">
        <f ca="1">tertiair!D16</f>
        <v>41913.924030000002</v>
      </c>
      <c r="F10" s="635">
        <f>tertiair!E16</f>
        <v>919.58701771230483</v>
      </c>
      <c r="G10" s="635">
        <f ca="1">tertiair!F16</f>
        <v>8235.920957124792</v>
      </c>
      <c r="H10" s="635">
        <f>tertiair!G16</f>
        <v>0</v>
      </c>
      <c r="I10" s="635">
        <f>tertiair!H16</f>
        <v>0</v>
      </c>
      <c r="J10" s="635">
        <f>tertiair!I16</f>
        <v>0</v>
      </c>
      <c r="K10" s="635">
        <f>tertiair!J16</f>
        <v>0</v>
      </c>
      <c r="L10" s="635">
        <f>tertiair!K16</f>
        <v>0</v>
      </c>
      <c r="M10" s="635">
        <f ca="1">tertiair!L16</f>
        <v>0</v>
      </c>
      <c r="N10" s="635">
        <f>tertiair!M16</f>
        <v>0</v>
      </c>
      <c r="O10" s="635">
        <f ca="1">tertiair!N16</f>
        <v>1310.425263806728</v>
      </c>
      <c r="P10" s="635">
        <f>tertiair!O16</f>
        <v>0</v>
      </c>
      <c r="Q10" s="636">
        <f>tertiair!P16</f>
        <v>0</v>
      </c>
      <c r="R10" s="638">
        <f ca="1">SUM(C10:Q10)</f>
        <v>93588.443268643823</v>
      </c>
      <c r="S10" s="67"/>
    </row>
    <row r="11" spans="1:19" s="441" customFormat="1">
      <c r="A11" s="749" t="s">
        <v>214</v>
      </c>
      <c r="B11" s="754"/>
      <c r="C11" s="635">
        <f>huishoudens!B8</f>
        <v>59682.605029217455</v>
      </c>
      <c r="D11" s="635">
        <f>huishoudens!C8</f>
        <v>0</v>
      </c>
      <c r="E11" s="635">
        <f>huishoudens!D8</f>
        <v>116980.71734800001</v>
      </c>
      <c r="F11" s="635">
        <f>huishoudens!E8</f>
        <v>2581.4139638753295</v>
      </c>
      <c r="G11" s="635">
        <f>huishoudens!F8</f>
        <v>88115.005557369761</v>
      </c>
      <c r="H11" s="635">
        <f>huishoudens!G8</f>
        <v>0</v>
      </c>
      <c r="I11" s="635">
        <f>huishoudens!H8</f>
        <v>0</v>
      </c>
      <c r="J11" s="635">
        <f>huishoudens!I8</f>
        <v>0</v>
      </c>
      <c r="K11" s="635">
        <f>huishoudens!J8</f>
        <v>1984.1265283077489</v>
      </c>
      <c r="L11" s="635">
        <f>huishoudens!K8</f>
        <v>0</v>
      </c>
      <c r="M11" s="635">
        <f>huishoudens!L8</f>
        <v>0</v>
      </c>
      <c r="N11" s="635">
        <f>huishoudens!M8</f>
        <v>0</v>
      </c>
      <c r="O11" s="635">
        <f>huishoudens!N8</f>
        <v>14981.033662287911</v>
      </c>
      <c r="P11" s="635">
        <f>huishoudens!O8</f>
        <v>276.70999999999998</v>
      </c>
      <c r="Q11" s="636">
        <f>huishoudens!P8</f>
        <v>324.13333333333333</v>
      </c>
      <c r="R11" s="638">
        <f>SUM(C11:Q11)</f>
        <v>284925.74542239157</v>
      </c>
      <c r="S11" s="67"/>
    </row>
    <row r="12" spans="1:19" s="441" customFormat="1">
      <c r="A12" s="749" t="s">
        <v>496</v>
      </c>
      <c r="B12" s="754"/>
      <c r="C12" s="635">
        <f>'Eigen openbare verlichting'!B15</f>
        <v>0</v>
      </c>
      <c r="D12" s="635"/>
      <c r="E12" s="635"/>
      <c r="F12" s="635"/>
      <c r="G12" s="635"/>
      <c r="H12" s="635"/>
      <c r="I12" s="635"/>
      <c r="J12" s="635"/>
      <c r="K12" s="635"/>
      <c r="L12" s="635"/>
      <c r="M12" s="635"/>
      <c r="N12" s="635"/>
      <c r="O12" s="635"/>
      <c r="P12" s="635"/>
      <c r="Q12" s="635"/>
      <c r="R12" s="638">
        <f>SUM(C12:Q12)</f>
        <v>0</v>
      </c>
      <c r="S12" s="67"/>
    </row>
    <row r="13" spans="1:19" s="441" customFormat="1">
      <c r="A13" s="749" t="s">
        <v>616</v>
      </c>
      <c r="B13" s="758" t="s">
        <v>614</v>
      </c>
      <c r="C13" s="635">
        <f>industrie!B18</f>
        <v>70383.042000000001</v>
      </c>
      <c r="D13" s="635">
        <f>industrie!C18</f>
        <v>0</v>
      </c>
      <c r="E13" s="635">
        <f>industrie!D18</f>
        <v>128844.030612</v>
      </c>
      <c r="F13" s="635">
        <f>industrie!E18</f>
        <v>807.27773797258669</v>
      </c>
      <c r="G13" s="635">
        <f>industrie!F18</f>
        <v>20859.496496055057</v>
      </c>
      <c r="H13" s="635">
        <f>industrie!G18</f>
        <v>0</v>
      </c>
      <c r="I13" s="635">
        <f>industrie!H18</f>
        <v>0</v>
      </c>
      <c r="J13" s="635">
        <f>industrie!I18</f>
        <v>0</v>
      </c>
      <c r="K13" s="635">
        <f>industrie!J18</f>
        <v>646.1099726919349</v>
      </c>
      <c r="L13" s="635">
        <f>industrie!K18</f>
        <v>0</v>
      </c>
      <c r="M13" s="635">
        <f>industrie!L18</f>
        <v>0</v>
      </c>
      <c r="N13" s="635">
        <f>industrie!M18</f>
        <v>0</v>
      </c>
      <c r="O13" s="635">
        <f>industrie!N18</f>
        <v>1623.8575029886645</v>
      </c>
      <c r="P13" s="635">
        <f>industrie!O18</f>
        <v>0</v>
      </c>
      <c r="Q13" s="636">
        <f>industrie!P18</f>
        <v>0</v>
      </c>
      <c r="R13" s="638">
        <f>SUM(C13:Q13)</f>
        <v>223163.81432170825</v>
      </c>
      <c r="S13" s="67"/>
    </row>
    <row r="14" spans="1:19" s="441" customFormat="1">
      <c r="A14" s="749"/>
      <c r="B14" s="758" t="s">
        <v>615</v>
      </c>
      <c r="C14" s="635"/>
      <c r="D14" s="635"/>
      <c r="E14" s="635"/>
      <c r="F14" s="635"/>
      <c r="G14" s="635"/>
      <c r="H14" s="635"/>
      <c r="I14" s="635"/>
      <c r="J14" s="635"/>
      <c r="K14" s="635"/>
      <c r="L14" s="635"/>
      <c r="M14" s="635"/>
      <c r="N14" s="635"/>
      <c r="O14" s="635"/>
      <c r="P14" s="635"/>
      <c r="Q14" s="635"/>
      <c r="R14" s="638"/>
      <c r="S14" s="67"/>
    </row>
    <row r="15" spans="1:19" s="441" customFormat="1" ht="15" thickBot="1">
      <c r="A15" s="922" t="s">
        <v>862</v>
      </c>
      <c r="B15" s="923"/>
      <c r="C15" s="924"/>
      <c r="D15" s="924"/>
      <c r="E15" s="924"/>
      <c r="F15" s="924"/>
      <c r="G15" s="924"/>
      <c r="H15" s="924"/>
      <c r="I15" s="924"/>
      <c r="J15" s="924"/>
      <c r="K15" s="924"/>
      <c r="L15" s="924"/>
      <c r="M15" s="924"/>
      <c r="N15" s="924"/>
      <c r="O15" s="924"/>
      <c r="P15" s="924"/>
      <c r="Q15" s="925"/>
      <c r="R15" s="637"/>
      <c r="S15" s="67"/>
    </row>
    <row r="16" spans="1:19" s="441" customFormat="1" ht="15.75" thickBot="1">
      <c r="A16" s="639" t="s">
        <v>215</v>
      </c>
      <c r="B16" s="756"/>
      <c r="C16" s="668">
        <f ca="1">SUM(C9:C15)</f>
        <v>171274.23302921746</v>
      </c>
      <c r="D16" s="668">
        <f t="shared" ref="D16:R16" ca="1" si="0">SUM(D9:D15)</f>
        <v>0</v>
      </c>
      <c r="E16" s="668">
        <f t="shared" ca="1" si="0"/>
        <v>287738.67199</v>
      </c>
      <c r="F16" s="668">
        <f t="shared" si="0"/>
        <v>4308.2787195602214</v>
      </c>
      <c r="G16" s="668">
        <f t="shared" ca="1" si="0"/>
        <v>117210.42301054961</v>
      </c>
      <c r="H16" s="668">
        <f t="shared" si="0"/>
        <v>0</v>
      </c>
      <c r="I16" s="668">
        <f t="shared" si="0"/>
        <v>0</v>
      </c>
      <c r="J16" s="668">
        <f t="shared" si="0"/>
        <v>0</v>
      </c>
      <c r="K16" s="668">
        <f t="shared" si="0"/>
        <v>2630.2365009996838</v>
      </c>
      <c r="L16" s="668">
        <f t="shared" si="0"/>
        <v>0</v>
      </c>
      <c r="M16" s="668">
        <f t="shared" ca="1" si="0"/>
        <v>0</v>
      </c>
      <c r="N16" s="668">
        <f t="shared" si="0"/>
        <v>0</v>
      </c>
      <c r="O16" s="668">
        <f t="shared" ca="1" si="0"/>
        <v>17915.316429083305</v>
      </c>
      <c r="P16" s="668">
        <f t="shared" si="0"/>
        <v>276.70999999999998</v>
      </c>
      <c r="Q16" s="668">
        <f t="shared" si="0"/>
        <v>324.13333333333333</v>
      </c>
      <c r="R16" s="668">
        <f t="shared" ca="1" si="0"/>
        <v>601678.00301274366</v>
      </c>
      <c r="S16" s="67"/>
    </row>
    <row r="17" spans="1:19" s="441" customFormat="1" ht="15.75">
      <c r="A17" s="751" t="s">
        <v>216</v>
      </c>
      <c r="B17" s="672"/>
      <c r="C17" s="1069"/>
      <c r="D17" s="1069"/>
      <c r="E17" s="1069"/>
      <c r="F17" s="1069"/>
      <c r="G17" s="1069"/>
      <c r="H17" s="1069"/>
      <c r="I17" s="1069"/>
      <c r="J17" s="1069"/>
      <c r="K17" s="1069"/>
      <c r="L17" s="1069"/>
      <c r="M17" s="1069"/>
      <c r="N17" s="1069"/>
      <c r="O17" s="1069"/>
      <c r="P17" s="1069"/>
      <c r="Q17" s="1069"/>
      <c r="R17" s="640"/>
      <c r="S17" s="67"/>
    </row>
    <row r="18" spans="1:19" s="441" customFormat="1">
      <c r="A18" s="749" t="s">
        <v>217</v>
      </c>
      <c r="B18" s="754"/>
      <c r="C18" s="635">
        <f>'Eigen vloot'!B27</f>
        <v>0</v>
      </c>
      <c r="D18" s="635">
        <f>'Eigen vloot'!C27</f>
        <v>0</v>
      </c>
      <c r="E18" s="635">
        <f>'Eigen vloot'!D27</f>
        <v>0</v>
      </c>
      <c r="F18" s="635">
        <f>'Eigen vloot'!E27</f>
        <v>0</v>
      </c>
      <c r="G18" s="635">
        <f>'Eigen vloot'!F27</f>
        <v>0</v>
      </c>
      <c r="H18" s="635">
        <f>'Eigen vloot'!G27</f>
        <v>0</v>
      </c>
      <c r="I18" s="635">
        <f>'Eigen vloot'!H27</f>
        <v>0</v>
      </c>
      <c r="J18" s="635">
        <f>'Eigen vloot'!I27</f>
        <v>0</v>
      </c>
      <c r="K18" s="635">
        <f>'Eigen vloot'!J27</f>
        <v>0</v>
      </c>
      <c r="L18" s="635">
        <f>'Eigen vloot'!K27</f>
        <v>0</v>
      </c>
      <c r="M18" s="635">
        <f>'Eigen vloot'!L27</f>
        <v>0</v>
      </c>
      <c r="N18" s="635">
        <f>'Eigen vloot'!M27</f>
        <v>0</v>
      </c>
      <c r="O18" s="635">
        <f>'Eigen vloot'!N27</f>
        <v>0</v>
      </c>
      <c r="P18" s="635">
        <f>'Eigen vloot'!O27</f>
        <v>0</v>
      </c>
      <c r="Q18" s="636">
        <f>'Eigen vloot'!P27</f>
        <v>0</v>
      </c>
      <c r="R18" s="638">
        <f>SUM(C18:Q18)</f>
        <v>0</v>
      </c>
      <c r="S18" s="67"/>
    </row>
    <row r="19" spans="1:19" s="441" customFormat="1">
      <c r="A19" s="749" t="s">
        <v>218</v>
      </c>
      <c r="B19" s="754"/>
      <c r="C19" s="635">
        <f>transport!B54</f>
        <v>19.260823283954977</v>
      </c>
      <c r="D19" s="635">
        <f>transport!C54</f>
        <v>0</v>
      </c>
      <c r="E19" s="635">
        <f>transport!D54</f>
        <v>0</v>
      </c>
      <c r="F19" s="635">
        <f>transport!E54</f>
        <v>0</v>
      </c>
      <c r="G19" s="635">
        <f>transport!F54</f>
        <v>0</v>
      </c>
      <c r="H19" s="635">
        <f>transport!G54</f>
        <v>4178.4422355164734</v>
      </c>
      <c r="I19" s="635">
        <f>transport!H54</f>
        <v>0</v>
      </c>
      <c r="J19" s="635">
        <f>transport!I54</f>
        <v>0</v>
      </c>
      <c r="K19" s="635">
        <f>transport!J54</f>
        <v>0</v>
      </c>
      <c r="L19" s="635">
        <f>transport!K54</f>
        <v>0</v>
      </c>
      <c r="M19" s="635">
        <f>transport!L54</f>
        <v>0</v>
      </c>
      <c r="N19" s="635">
        <f>transport!M54</f>
        <v>178.90484608764078</v>
      </c>
      <c r="O19" s="635">
        <f>transport!N54</f>
        <v>0</v>
      </c>
      <c r="P19" s="635">
        <f>transport!O54</f>
        <v>0</v>
      </c>
      <c r="Q19" s="636">
        <f>transport!P54</f>
        <v>0</v>
      </c>
      <c r="R19" s="638">
        <f>SUM(C19:Q19)</f>
        <v>4376.6079048880692</v>
      </c>
      <c r="S19" s="67"/>
    </row>
    <row r="20" spans="1:19" s="441" customFormat="1">
      <c r="A20" s="749" t="s">
        <v>296</v>
      </c>
      <c r="B20" s="754"/>
      <c r="C20" s="635">
        <f>transport!B14</f>
        <v>1.8525649040404168</v>
      </c>
      <c r="D20" s="635">
        <f>transport!C14</f>
        <v>0</v>
      </c>
      <c r="E20" s="635">
        <f>transport!D14</f>
        <v>6.6517050662340962</v>
      </c>
      <c r="F20" s="635">
        <f>transport!E14</f>
        <v>675.25074360091548</v>
      </c>
      <c r="G20" s="635">
        <f>transport!F14</f>
        <v>0</v>
      </c>
      <c r="H20" s="635">
        <f>transport!G14</f>
        <v>124420.69675733005</v>
      </c>
      <c r="I20" s="635">
        <f>transport!H14</f>
        <v>22667.927527656328</v>
      </c>
      <c r="J20" s="635">
        <f>transport!I14</f>
        <v>0</v>
      </c>
      <c r="K20" s="635">
        <f>transport!J14</f>
        <v>0</v>
      </c>
      <c r="L20" s="635">
        <f>transport!K14</f>
        <v>0</v>
      </c>
      <c r="M20" s="635">
        <f>transport!L14</f>
        <v>0</v>
      </c>
      <c r="N20" s="635">
        <f>transport!M14</f>
        <v>6403.2340465011812</v>
      </c>
      <c r="O20" s="635">
        <f>transport!N14</f>
        <v>0</v>
      </c>
      <c r="P20" s="635">
        <f>transport!O14</f>
        <v>0</v>
      </c>
      <c r="Q20" s="636">
        <f>transport!P14</f>
        <v>0</v>
      </c>
      <c r="R20" s="638">
        <f>SUM(C20:Q20)</f>
        <v>154175.61334505878</v>
      </c>
      <c r="S20" s="67"/>
    </row>
    <row r="21" spans="1:19" s="441" customFormat="1" ht="15" thickBot="1">
      <c r="A21" s="771" t="s">
        <v>863</v>
      </c>
      <c r="B21" s="923"/>
      <c r="C21" s="924"/>
      <c r="D21" s="924"/>
      <c r="E21" s="924"/>
      <c r="F21" s="924"/>
      <c r="G21" s="924"/>
      <c r="H21" s="924"/>
      <c r="I21" s="924"/>
      <c r="J21" s="924"/>
      <c r="K21" s="924"/>
      <c r="L21" s="924"/>
      <c r="M21" s="924"/>
      <c r="N21" s="924"/>
      <c r="O21" s="924"/>
      <c r="P21" s="924"/>
      <c r="Q21" s="925"/>
      <c r="R21" s="637"/>
      <c r="S21" s="67"/>
    </row>
    <row r="22" spans="1:19" s="441" customFormat="1" ht="15.75" thickBot="1">
      <c r="A22" s="641" t="s">
        <v>219</v>
      </c>
      <c r="B22" s="757"/>
      <c r="C22" s="752">
        <f>SUM(C18:C21)</f>
        <v>21.113388187995394</v>
      </c>
      <c r="D22" s="752">
        <f t="shared" ref="D22:R22" si="1">SUM(D18:D21)</f>
        <v>0</v>
      </c>
      <c r="E22" s="752">
        <f t="shared" si="1"/>
        <v>6.6517050662340962</v>
      </c>
      <c r="F22" s="752">
        <f t="shared" si="1"/>
        <v>675.25074360091548</v>
      </c>
      <c r="G22" s="752">
        <f t="shared" si="1"/>
        <v>0</v>
      </c>
      <c r="H22" s="752">
        <f t="shared" si="1"/>
        <v>128599.13899284652</v>
      </c>
      <c r="I22" s="752">
        <f t="shared" si="1"/>
        <v>22667.927527656328</v>
      </c>
      <c r="J22" s="752">
        <f t="shared" si="1"/>
        <v>0</v>
      </c>
      <c r="K22" s="752">
        <f t="shared" si="1"/>
        <v>0</v>
      </c>
      <c r="L22" s="752">
        <f t="shared" si="1"/>
        <v>0</v>
      </c>
      <c r="M22" s="752">
        <f t="shared" si="1"/>
        <v>0</v>
      </c>
      <c r="N22" s="752">
        <f t="shared" si="1"/>
        <v>6582.1388925888223</v>
      </c>
      <c r="O22" s="752">
        <f t="shared" si="1"/>
        <v>0</v>
      </c>
      <c r="P22" s="752">
        <f t="shared" si="1"/>
        <v>0</v>
      </c>
      <c r="Q22" s="752">
        <f t="shared" si="1"/>
        <v>0</v>
      </c>
      <c r="R22" s="752">
        <f t="shared" si="1"/>
        <v>158552.22124994686</v>
      </c>
      <c r="S22" s="67"/>
    </row>
    <row r="23" spans="1:19" s="441" customFormat="1" ht="15.75">
      <c r="A23" s="751" t="s">
        <v>226</v>
      </c>
      <c r="B23" s="672"/>
      <c r="C23" s="1069"/>
      <c r="D23" s="1069"/>
      <c r="E23" s="1069"/>
      <c r="F23" s="1069"/>
      <c r="G23" s="1069"/>
      <c r="H23" s="1069"/>
      <c r="I23" s="1069"/>
      <c r="J23" s="1069"/>
      <c r="K23" s="1069"/>
      <c r="L23" s="1069"/>
      <c r="M23" s="1069"/>
      <c r="N23" s="1069"/>
      <c r="O23" s="1069"/>
      <c r="P23" s="1069"/>
      <c r="Q23" s="1069"/>
      <c r="R23" s="640"/>
      <c r="S23" s="67"/>
    </row>
    <row r="24" spans="1:19" s="441" customFormat="1">
      <c r="A24" s="749" t="s">
        <v>609</v>
      </c>
      <c r="B24" s="754"/>
      <c r="C24" s="635">
        <f>+landbouw!B8</f>
        <v>2004.954</v>
      </c>
      <c r="D24" s="635">
        <f>+landbouw!C8</f>
        <v>0</v>
      </c>
      <c r="E24" s="635">
        <f>+landbouw!D8</f>
        <v>99.208274000000003</v>
      </c>
      <c r="F24" s="635">
        <f>+landbouw!E8</f>
        <v>18.067179602397474</v>
      </c>
      <c r="G24" s="635">
        <f>+landbouw!F8</f>
        <v>7512.6237870721261</v>
      </c>
      <c r="H24" s="635">
        <f>+landbouw!G8</f>
        <v>0</v>
      </c>
      <c r="I24" s="635">
        <f>+landbouw!H8</f>
        <v>0</v>
      </c>
      <c r="J24" s="635">
        <f>+landbouw!I8</f>
        <v>0</v>
      </c>
      <c r="K24" s="635">
        <f>+landbouw!J8</f>
        <v>202.89305254180297</v>
      </c>
      <c r="L24" s="635">
        <f>+landbouw!K8</f>
        <v>0</v>
      </c>
      <c r="M24" s="635">
        <f>+landbouw!L8</f>
        <v>0</v>
      </c>
      <c r="N24" s="635">
        <f>+landbouw!M8</f>
        <v>0</v>
      </c>
      <c r="O24" s="635">
        <f>+landbouw!N8</f>
        <v>0</v>
      </c>
      <c r="P24" s="635">
        <f>+landbouw!O8</f>
        <v>0</v>
      </c>
      <c r="Q24" s="636">
        <f>+landbouw!P8</f>
        <v>0</v>
      </c>
      <c r="R24" s="638">
        <f>SUM(C24:Q24)</f>
        <v>9837.7462932163271</v>
      </c>
      <c r="S24" s="67"/>
    </row>
    <row r="25" spans="1:19" s="441" customFormat="1" ht="15" thickBot="1">
      <c r="A25" s="771" t="s">
        <v>864</v>
      </c>
      <c r="B25" s="923"/>
      <c r="C25" s="924">
        <f>IF(Onbekend_ele_kWh="---",0,Onbekend_ele_kWh)/1000+IF(REST_rest_ele_kWh="---",0,REST_rest_ele_kWh)/1000</f>
        <v>4087.8690000000001</v>
      </c>
      <c r="D25" s="924"/>
      <c r="E25" s="924">
        <f>IF(onbekend_gas_kWh="---",0,onbekend_gas_kWh)/1000+IF(REST_rest_gas_kWh="---",0,REST_rest_gas_kWh)/1000</f>
        <v>4480.0969999999998</v>
      </c>
      <c r="F25" s="924"/>
      <c r="G25" s="924"/>
      <c r="H25" s="924"/>
      <c r="I25" s="924"/>
      <c r="J25" s="924"/>
      <c r="K25" s="924"/>
      <c r="L25" s="924"/>
      <c r="M25" s="924"/>
      <c r="N25" s="924"/>
      <c r="O25" s="924"/>
      <c r="P25" s="924"/>
      <c r="Q25" s="925"/>
      <c r="R25" s="638">
        <f>SUM(C25:Q25)</f>
        <v>8567.9660000000003</v>
      </c>
      <c r="S25" s="67"/>
    </row>
    <row r="26" spans="1:19" s="441" customFormat="1" ht="15.75" thickBot="1">
      <c r="A26" s="641" t="s">
        <v>865</v>
      </c>
      <c r="B26" s="757"/>
      <c r="C26" s="752">
        <f>SUM(C24:C25)</f>
        <v>6092.8230000000003</v>
      </c>
      <c r="D26" s="752">
        <f t="shared" ref="D26:R26" si="2">SUM(D24:D25)</f>
        <v>0</v>
      </c>
      <c r="E26" s="752">
        <f t="shared" si="2"/>
        <v>4579.3052739999994</v>
      </c>
      <c r="F26" s="752">
        <f t="shared" si="2"/>
        <v>18.067179602397474</v>
      </c>
      <c r="G26" s="752">
        <f t="shared" si="2"/>
        <v>7512.6237870721261</v>
      </c>
      <c r="H26" s="752">
        <f t="shared" si="2"/>
        <v>0</v>
      </c>
      <c r="I26" s="752">
        <f t="shared" si="2"/>
        <v>0</v>
      </c>
      <c r="J26" s="752">
        <f t="shared" si="2"/>
        <v>0</v>
      </c>
      <c r="K26" s="752">
        <f t="shared" si="2"/>
        <v>202.89305254180297</v>
      </c>
      <c r="L26" s="752">
        <f t="shared" si="2"/>
        <v>0</v>
      </c>
      <c r="M26" s="752">
        <f t="shared" si="2"/>
        <v>0</v>
      </c>
      <c r="N26" s="752">
        <f t="shared" si="2"/>
        <v>0</v>
      </c>
      <c r="O26" s="752">
        <f t="shared" si="2"/>
        <v>0</v>
      </c>
      <c r="P26" s="752">
        <f t="shared" si="2"/>
        <v>0</v>
      </c>
      <c r="Q26" s="752">
        <f t="shared" si="2"/>
        <v>0</v>
      </c>
      <c r="R26" s="752">
        <f t="shared" si="2"/>
        <v>18405.712293216326</v>
      </c>
      <c r="S26" s="67"/>
    </row>
    <row r="27" spans="1:19" s="441" customFormat="1" ht="17.25" thickTop="1" thickBot="1">
      <c r="A27" s="642" t="s">
        <v>109</v>
      </c>
      <c r="B27" s="744"/>
      <c r="C27" s="643">
        <f ca="1">C22+C16+C26</f>
        <v>177388.16941740547</v>
      </c>
      <c r="D27" s="643">
        <f t="shared" ref="D27:R27" ca="1" si="3">D22+D16+D26</f>
        <v>0</v>
      </c>
      <c r="E27" s="643">
        <f t="shared" ca="1" si="3"/>
        <v>292324.62896906619</v>
      </c>
      <c r="F27" s="643">
        <f t="shared" si="3"/>
        <v>5001.596642763534</v>
      </c>
      <c r="G27" s="643">
        <f t="shared" ca="1" si="3"/>
        <v>124723.04679762173</v>
      </c>
      <c r="H27" s="643">
        <f t="shared" si="3"/>
        <v>128599.13899284652</v>
      </c>
      <c r="I27" s="643">
        <f t="shared" si="3"/>
        <v>22667.927527656328</v>
      </c>
      <c r="J27" s="643">
        <f t="shared" si="3"/>
        <v>0</v>
      </c>
      <c r="K27" s="643">
        <f t="shared" si="3"/>
        <v>2833.129553541487</v>
      </c>
      <c r="L27" s="643">
        <f t="shared" si="3"/>
        <v>0</v>
      </c>
      <c r="M27" s="643">
        <f t="shared" ca="1" si="3"/>
        <v>0</v>
      </c>
      <c r="N27" s="643">
        <f t="shared" si="3"/>
        <v>6582.1388925888223</v>
      </c>
      <c r="O27" s="643">
        <f t="shared" ca="1" si="3"/>
        <v>17915.316429083305</v>
      </c>
      <c r="P27" s="643">
        <f t="shared" si="3"/>
        <v>276.70999999999998</v>
      </c>
      <c r="Q27" s="643">
        <f t="shared" si="3"/>
        <v>324.13333333333333</v>
      </c>
      <c r="R27" s="643">
        <f t="shared" ca="1" si="3"/>
        <v>778635.9365559069</v>
      </c>
      <c r="S27" s="67"/>
    </row>
    <row r="28" spans="1:19" ht="15.75" customHeight="1" thickBot="1">
      <c r="A28" s="644"/>
      <c r="B28" s="644"/>
      <c r="C28" s="645"/>
      <c r="D28" s="645"/>
      <c r="E28" s="645"/>
      <c r="F28" s="645"/>
      <c r="G28" s="645"/>
      <c r="H28" s="645"/>
      <c r="I28" s="645"/>
      <c r="J28" s="645"/>
      <c r="K28" s="645"/>
      <c r="L28" s="645"/>
      <c r="M28" s="645"/>
      <c r="N28" s="645"/>
      <c r="O28" s="645"/>
      <c r="P28" s="645"/>
      <c r="Q28" s="645"/>
      <c r="R28" s="645"/>
    </row>
    <row r="29" spans="1:19" ht="41.25" customHeight="1" thickTop="1" thickBot="1">
      <c r="A29" s="646" t="s">
        <v>332</v>
      </c>
      <c r="B29" s="646"/>
      <c r="C29" s="647">
        <f>'EF ele_warmte'!B5</f>
        <v>0</v>
      </c>
      <c r="D29" s="648"/>
      <c r="E29" s="649"/>
      <c r="F29" s="648"/>
      <c r="G29" s="648"/>
      <c r="H29" s="648"/>
      <c r="I29" s="648"/>
      <c r="J29" s="648"/>
      <c r="K29" s="648"/>
      <c r="L29" s="648"/>
      <c r="M29" s="648"/>
      <c r="N29" s="648"/>
      <c r="O29" s="648"/>
      <c r="P29" s="648"/>
      <c r="Q29" s="648"/>
      <c r="R29" s="648"/>
    </row>
    <row r="30" spans="1:19" ht="31.5" thickTop="1" thickBot="1">
      <c r="A30" s="650" t="s">
        <v>333</v>
      </c>
      <c r="B30" s="650"/>
      <c r="C30" s="651" t="s">
        <v>204</v>
      </c>
      <c r="D30" s="652"/>
      <c r="E30" s="652"/>
      <c r="F30" s="652"/>
      <c r="G30" s="652"/>
      <c r="H30" s="653"/>
      <c r="I30" s="654"/>
      <c r="J30" s="654"/>
      <c r="K30" s="654"/>
      <c r="L30" s="654"/>
      <c r="M30" s="654"/>
      <c r="N30" s="654"/>
      <c r="O30" s="654"/>
      <c r="P30" s="654"/>
      <c r="Q30" s="654"/>
      <c r="R30" s="654"/>
    </row>
    <row r="31" spans="1:19" ht="15" thickTop="1">
      <c r="A31" s="1070"/>
      <c r="B31" s="1070"/>
      <c r="C31" s="1070"/>
      <c r="D31" s="655"/>
      <c r="E31" s="654"/>
      <c r="F31" s="654"/>
      <c r="G31" s="654"/>
      <c r="H31" s="654"/>
      <c r="I31" s="654"/>
      <c r="J31" s="654"/>
      <c r="K31" s="654"/>
      <c r="L31" s="654"/>
      <c r="M31" s="654"/>
      <c r="N31" s="654"/>
      <c r="O31" s="654"/>
      <c r="P31" s="654"/>
      <c r="Q31" s="654"/>
      <c r="R31" s="654"/>
    </row>
    <row r="32" spans="1:19" ht="15.75">
      <c r="A32" s="656" t="s">
        <v>220</v>
      </c>
      <c r="B32" s="656"/>
      <c r="C32" s="655"/>
      <c r="D32" s="655"/>
      <c r="E32" s="654"/>
      <c r="F32" s="654"/>
      <c r="G32" s="654"/>
      <c r="H32" s="654"/>
      <c r="I32" s="654"/>
      <c r="J32" s="654"/>
      <c r="K32" s="654"/>
      <c r="L32" s="654"/>
      <c r="M32" s="654"/>
      <c r="N32" s="654"/>
      <c r="O32" s="654"/>
      <c r="P32" s="654"/>
      <c r="Q32" s="654"/>
      <c r="R32" s="654"/>
    </row>
    <row r="33" spans="1:18">
      <c r="A33" s="1033"/>
      <c r="B33" s="1033"/>
      <c r="C33" s="1033"/>
      <c r="D33" s="1033"/>
      <c r="E33" s="1033"/>
      <c r="F33" s="1033"/>
      <c r="G33" s="1033"/>
      <c r="H33" s="1033"/>
      <c r="I33" s="1033"/>
      <c r="J33" s="1033"/>
      <c r="K33" s="1033"/>
      <c r="L33" s="1033"/>
      <c r="M33" s="1033"/>
      <c r="N33" s="1033"/>
      <c r="O33" s="1033"/>
      <c r="P33" s="1033"/>
      <c r="Q33" s="1033"/>
      <c r="R33" s="1033"/>
    </row>
    <row r="34" spans="1:18" ht="15.75" thickBot="1">
      <c r="A34" s="657"/>
      <c r="B34" s="657"/>
      <c r="C34" s="658"/>
      <c r="D34" s="658"/>
      <c r="E34" s="658"/>
      <c r="F34" s="658"/>
      <c r="G34" s="658"/>
      <c r="H34" s="658"/>
      <c r="I34" s="658"/>
      <c r="J34" s="658"/>
      <c r="K34" s="658"/>
      <c r="L34" s="658"/>
      <c r="M34" s="658"/>
      <c r="N34" s="658"/>
      <c r="O34" s="658"/>
      <c r="P34" s="658"/>
      <c r="Q34" s="658"/>
      <c r="R34" s="658"/>
    </row>
    <row r="35" spans="1:18" ht="17.25" thickTop="1" thickBot="1">
      <c r="A35" s="1071"/>
      <c r="B35" s="759"/>
      <c r="C35" s="1073" t="s">
        <v>334</v>
      </c>
      <c r="D35" s="1074"/>
      <c r="E35" s="1074"/>
      <c r="F35" s="1074"/>
      <c r="G35" s="1074"/>
      <c r="H35" s="1074"/>
      <c r="I35" s="1074"/>
      <c r="J35" s="1074"/>
      <c r="K35" s="1074"/>
      <c r="L35" s="1074"/>
      <c r="M35" s="1074"/>
      <c r="N35" s="1074"/>
      <c r="O35" s="1074"/>
      <c r="P35" s="1074"/>
      <c r="Q35" s="1074"/>
      <c r="R35" s="1075"/>
    </row>
    <row r="36" spans="1:18" ht="16.5" thickTop="1">
      <c r="A36" s="1072"/>
      <c r="B36" s="760"/>
      <c r="C36" s="1076" t="s">
        <v>20</v>
      </c>
      <c r="D36" s="1019" t="s">
        <v>221</v>
      </c>
      <c r="E36" s="1078" t="s">
        <v>190</v>
      </c>
      <c r="F36" s="1079"/>
      <c r="G36" s="1079"/>
      <c r="H36" s="1079"/>
      <c r="I36" s="1079"/>
      <c r="J36" s="1079"/>
      <c r="K36" s="1079"/>
      <c r="L36" s="1080"/>
      <c r="M36" s="1078" t="s">
        <v>191</v>
      </c>
      <c r="N36" s="1079"/>
      <c r="O36" s="1079"/>
      <c r="P36" s="1079"/>
      <c r="Q36" s="1079"/>
      <c r="R36" s="1034" t="s">
        <v>109</v>
      </c>
    </row>
    <row r="37" spans="1:18" ht="45.75" thickBot="1">
      <c r="A37" s="1072"/>
      <c r="B37" s="760"/>
      <c r="C37" s="1077"/>
      <c r="D37" s="1022"/>
      <c r="E37" s="659" t="s">
        <v>192</v>
      </c>
      <c r="F37" s="659" t="s">
        <v>193</v>
      </c>
      <c r="G37" s="659" t="s">
        <v>194</v>
      </c>
      <c r="H37" s="659" t="s">
        <v>195</v>
      </c>
      <c r="I37" s="659" t="s">
        <v>113</v>
      </c>
      <c r="J37" s="659" t="s">
        <v>196</v>
      </c>
      <c r="K37" s="660" t="s">
        <v>222</v>
      </c>
      <c r="L37" s="660" t="s">
        <v>198</v>
      </c>
      <c r="M37" s="64" t="s">
        <v>199</v>
      </c>
      <c r="N37" s="65" t="s">
        <v>200</v>
      </c>
      <c r="O37" s="659" t="s">
        <v>223</v>
      </c>
      <c r="P37" s="659" t="s">
        <v>224</v>
      </c>
      <c r="Q37" s="660" t="s">
        <v>203</v>
      </c>
      <c r="R37" s="1036"/>
    </row>
    <row r="38" spans="1:18" ht="17.25" thickTop="1" thickBot="1">
      <c r="A38" s="772" t="s">
        <v>331</v>
      </c>
      <c r="B38" s="773"/>
      <c r="C38" s="661" t="s">
        <v>225</v>
      </c>
      <c r="D38" s="662"/>
      <c r="E38" s="663"/>
      <c r="F38" s="663"/>
      <c r="G38" s="663"/>
      <c r="H38" s="663"/>
      <c r="I38" s="663"/>
      <c r="J38" s="663"/>
      <c r="K38" s="663"/>
      <c r="L38" s="663"/>
      <c r="M38" s="926"/>
      <c r="N38" s="926"/>
      <c r="O38" s="663"/>
      <c r="P38" s="926"/>
      <c r="Q38" s="664"/>
      <c r="R38" s="665"/>
    </row>
    <row r="39" spans="1:18" ht="15" thickTop="1">
      <c r="A39" s="745" t="s">
        <v>212</v>
      </c>
      <c r="B39" s="769"/>
      <c r="C39" s="635">
        <f ca="1">'Eigen gebouwen'!B19</f>
        <v>0</v>
      </c>
      <c r="D39" s="635">
        <f ca="1">'Eigen gebouwen'!C19</f>
        <v>0</v>
      </c>
      <c r="E39" s="635">
        <f>'Eigen gebouwen'!D19</f>
        <v>0</v>
      </c>
      <c r="F39" s="635">
        <f>'Eigen gebouwen'!E19</f>
        <v>0</v>
      </c>
      <c r="G39" s="635">
        <f>'Eigen gebouwen'!F19</f>
        <v>0</v>
      </c>
      <c r="H39" s="635">
        <f>'Eigen gebouwen'!G19</f>
        <v>0</v>
      </c>
      <c r="I39" s="635">
        <f>'Eigen gebouwen'!H19</f>
        <v>0</v>
      </c>
      <c r="J39" s="635">
        <f>'Eigen gebouwen'!I19</f>
        <v>0</v>
      </c>
      <c r="K39" s="635">
        <f>'Eigen gebouwen'!J19</f>
        <v>0</v>
      </c>
      <c r="L39" s="635">
        <f>'Eigen gebouwen'!K19</f>
        <v>0</v>
      </c>
      <c r="M39" s="635">
        <f>'Eigen gebouwen'!L19</f>
        <v>0</v>
      </c>
      <c r="N39" s="635">
        <f>'Eigen gebouwen'!M19</f>
        <v>0</v>
      </c>
      <c r="O39" s="635">
        <f>'Eigen gebouwen'!N19</f>
        <v>0</v>
      </c>
      <c r="P39" s="635">
        <f>'Eigen gebouwen'!O19</f>
        <v>0</v>
      </c>
      <c r="Q39" s="710">
        <f>'Eigen gebouwen'!P19</f>
        <v>0</v>
      </c>
      <c r="R39" s="927">
        <f t="shared" ref="R39:R44" ca="1" si="4">SUM(C39:Q39)</f>
        <v>0</v>
      </c>
    </row>
    <row r="40" spans="1:18">
      <c r="A40" s="750" t="s">
        <v>213</v>
      </c>
      <c r="B40" s="770"/>
      <c r="C40" s="635">
        <f ca="1">tertiair!B20+'openbare verlichting'!B12</f>
        <v>8504.6043032948401</v>
      </c>
      <c r="D40" s="635">
        <f ca="1">tertiair!C20</f>
        <v>0</v>
      </c>
      <c r="E40" s="635">
        <f ca="1">tertiair!D20</f>
        <v>8466.6126540600017</v>
      </c>
      <c r="F40" s="635">
        <f>tertiair!E20</f>
        <v>208.74625302069319</v>
      </c>
      <c r="G40" s="635">
        <f ca="1">tertiair!F20</f>
        <v>2198.9908955523197</v>
      </c>
      <c r="H40" s="635">
        <f>tertiair!G20</f>
        <v>0</v>
      </c>
      <c r="I40" s="635">
        <f>tertiair!H20</f>
        <v>0</v>
      </c>
      <c r="J40" s="635">
        <f>tertiair!I20</f>
        <v>0</v>
      </c>
      <c r="K40" s="635">
        <f>tertiair!J20</f>
        <v>0</v>
      </c>
      <c r="L40" s="635">
        <f>tertiair!K20</f>
        <v>0</v>
      </c>
      <c r="M40" s="635">
        <f ca="1">tertiair!L20</f>
        <v>0</v>
      </c>
      <c r="N40" s="635">
        <f>tertiair!M20</f>
        <v>0</v>
      </c>
      <c r="O40" s="635">
        <f ca="1">tertiair!N20</f>
        <v>0</v>
      </c>
      <c r="P40" s="635">
        <f>tertiair!O20</f>
        <v>0</v>
      </c>
      <c r="Q40" s="710">
        <f>tertiair!P20</f>
        <v>0</v>
      </c>
      <c r="R40" s="790">
        <f t="shared" ca="1" si="4"/>
        <v>19378.954105927856</v>
      </c>
    </row>
    <row r="41" spans="1:18">
      <c r="A41" s="762" t="s">
        <v>214</v>
      </c>
      <c r="B41" s="769"/>
      <c r="C41" s="635">
        <f ca="1">huishoudens!B12</f>
        <v>12317.261736748966</v>
      </c>
      <c r="D41" s="635">
        <f ca="1">huishoudens!C12</f>
        <v>0</v>
      </c>
      <c r="E41" s="635">
        <f>huishoudens!D12</f>
        <v>23630.104904296004</v>
      </c>
      <c r="F41" s="635">
        <f>huishoudens!E12</f>
        <v>585.98096979969978</v>
      </c>
      <c r="G41" s="635">
        <f>huishoudens!F12</f>
        <v>23526.706483817728</v>
      </c>
      <c r="H41" s="635">
        <f>huishoudens!G12</f>
        <v>0</v>
      </c>
      <c r="I41" s="635">
        <f>huishoudens!H12</f>
        <v>0</v>
      </c>
      <c r="J41" s="635">
        <f>huishoudens!I12</f>
        <v>0</v>
      </c>
      <c r="K41" s="635">
        <f>huishoudens!J12</f>
        <v>702.38079102094309</v>
      </c>
      <c r="L41" s="635">
        <f>huishoudens!K12</f>
        <v>0</v>
      </c>
      <c r="M41" s="635">
        <f>huishoudens!L12</f>
        <v>0</v>
      </c>
      <c r="N41" s="635">
        <f>huishoudens!M12</f>
        <v>0</v>
      </c>
      <c r="O41" s="635">
        <f>huishoudens!N12</f>
        <v>0</v>
      </c>
      <c r="P41" s="635">
        <f>huishoudens!O12</f>
        <v>0</v>
      </c>
      <c r="Q41" s="710">
        <f>huishoudens!P12</f>
        <v>0</v>
      </c>
      <c r="R41" s="790">
        <f t="shared" ca="1" si="4"/>
        <v>60762.434885683339</v>
      </c>
    </row>
    <row r="42" spans="1:18">
      <c r="A42" s="762" t="s">
        <v>496</v>
      </c>
      <c r="B42" s="769"/>
      <c r="C42" s="635">
        <f ca="1">'Eigen openbare verlichting'!B19</f>
        <v>0</v>
      </c>
      <c r="D42" s="635"/>
      <c r="E42" s="635"/>
      <c r="F42" s="635"/>
      <c r="G42" s="635"/>
      <c r="H42" s="635"/>
      <c r="I42" s="635"/>
      <c r="J42" s="635"/>
      <c r="K42" s="635"/>
      <c r="L42" s="635"/>
      <c r="M42" s="635"/>
      <c r="N42" s="635"/>
      <c r="O42" s="635"/>
      <c r="P42" s="635"/>
      <c r="Q42" s="710"/>
      <c r="R42" s="790">
        <f t="shared" ca="1" si="4"/>
        <v>0</v>
      </c>
    </row>
    <row r="43" spans="1:18">
      <c r="A43" s="762" t="s">
        <v>617</v>
      </c>
      <c r="B43" s="777" t="s">
        <v>614</v>
      </c>
      <c r="C43" s="635">
        <f ca="1">industrie!B22</f>
        <v>14525.61177110473</v>
      </c>
      <c r="D43" s="635">
        <f ca="1">industrie!C22</f>
        <v>0</v>
      </c>
      <c r="E43" s="635">
        <f>industrie!D22</f>
        <v>26026.494183624003</v>
      </c>
      <c r="F43" s="635">
        <f>industrie!E22</f>
        <v>183.2520465197772</v>
      </c>
      <c r="G43" s="635">
        <f>industrie!F22</f>
        <v>5569.4855644467007</v>
      </c>
      <c r="H43" s="635">
        <f>industrie!G22</f>
        <v>0</v>
      </c>
      <c r="I43" s="635">
        <f>industrie!H22</f>
        <v>0</v>
      </c>
      <c r="J43" s="635">
        <f>industrie!I22</f>
        <v>0</v>
      </c>
      <c r="K43" s="635">
        <f>industrie!J22</f>
        <v>228.72293033294494</v>
      </c>
      <c r="L43" s="635">
        <f>industrie!K22</f>
        <v>0</v>
      </c>
      <c r="M43" s="635">
        <f>industrie!L22</f>
        <v>0</v>
      </c>
      <c r="N43" s="635">
        <f>industrie!M22</f>
        <v>0</v>
      </c>
      <c r="O43" s="635">
        <f>industrie!N22</f>
        <v>0</v>
      </c>
      <c r="P43" s="635">
        <f>industrie!O22</f>
        <v>0</v>
      </c>
      <c r="Q43" s="710">
        <f>industrie!P22</f>
        <v>0</v>
      </c>
      <c r="R43" s="789">
        <f t="shared" ca="1" si="4"/>
        <v>46533.56649602815</v>
      </c>
    </row>
    <row r="44" spans="1:18">
      <c r="A44" s="762"/>
      <c r="B44" s="769" t="s">
        <v>615</v>
      </c>
      <c r="C44" s="635"/>
      <c r="D44" s="635"/>
      <c r="E44" s="635"/>
      <c r="F44" s="635"/>
      <c r="G44" s="635"/>
      <c r="H44" s="635"/>
      <c r="I44" s="635"/>
      <c r="J44" s="635"/>
      <c r="K44" s="635"/>
      <c r="L44" s="635"/>
      <c r="M44" s="635"/>
      <c r="N44" s="635"/>
      <c r="O44" s="635"/>
      <c r="P44" s="635"/>
      <c r="Q44" s="710"/>
      <c r="R44" s="790">
        <f t="shared" si="4"/>
        <v>0</v>
      </c>
    </row>
    <row r="45" spans="1:18" ht="15" thickBot="1">
      <c r="A45" s="922" t="s">
        <v>862</v>
      </c>
      <c r="B45" s="928"/>
      <c r="C45" s="924"/>
      <c r="D45" s="924"/>
      <c r="E45" s="924"/>
      <c r="F45" s="924"/>
      <c r="G45" s="924"/>
      <c r="H45" s="924"/>
      <c r="I45" s="924"/>
      <c r="J45" s="924"/>
      <c r="K45" s="924"/>
      <c r="L45" s="924"/>
      <c r="M45" s="924"/>
      <c r="N45" s="924"/>
      <c r="O45" s="924"/>
      <c r="P45" s="924"/>
      <c r="Q45" s="925"/>
      <c r="R45" s="929"/>
    </row>
    <row r="46" spans="1:18" ht="15.75" thickBot="1">
      <c r="A46" s="763" t="s">
        <v>215</v>
      </c>
      <c r="B46" s="776"/>
      <c r="C46" s="668">
        <f ca="1">SUM(C39:C45)</f>
        <v>35347.477811148536</v>
      </c>
      <c r="D46" s="668">
        <f t="shared" ref="D46:Q46" ca="1" si="5">SUM(D39:D45)</f>
        <v>0</v>
      </c>
      <c r="E46" s="668">
        <f t="shared" ca="1" si="5"/>
        <v>58123.211741980005</v>
      </c>
      <c r="F46" s="668">
        <f t="shared" si="5"/>
        <v>977.97926934017016</v>
      </c>
      <c r="G46" s="668">
        <f t="shared" ca="1" si="5"/>
        <v>31295.182943816748</v>
      </c>
      <c r="H46" s="668">
        <f t="shared" si="5"/>
        <v>0</v>
      </c>
      <c r="I46" s="668">
        <f t="shared" si="5"/>
        <v>0</v>
      </c>
      <c r="J46" s="668">
        <f t="shared" si="5"/>
        <v>0</v>
      </c>
      <c r="K46" s="668">
        <f t="shared" si="5"/>
        <v>931.10372135388798</v>
      </c>
      <c r="L46" s="668">
        <f t="shared" si="5"/>
        <v>0</v>
      </c>
      <c r="M46" s="668">
        <f t="shared" ca="1" si="5"/>
        <v>0</v>
      </c>
      <c r="N46" s="668">
        <f t="shared" si="5"/>
        <v>0</v>
      </c>
      <c r="O46" s="668">
        <f t="shared" ca="1" si="5"/>
        <v>0</v>
      </c>
      <c r="P46" s="668">
        <f t="shared" si="5"/>
        <v>0</v>
      </c>
      <c r="Q46" s="668">
        <f t="shared" si="5"/>
        <v>0</v>
      </c>
      <c r="R46" s="668">
        <f ca="1">SUM(R39:R45)</f>
        <v>126674.95548763935</v>
      </c>
    </row>
    <row r="47" spans="1:18" ht="15.75">
      <c r="A47" s="764" t="s">
        <v>216</v>
      </c>
      <c r="B47" s="774"/>
      <c r="C47" s="661"/>
      <c r="D47" s="662"/>
      <c r="E47" s="662"/>
      <c r="F47" s="662"/>
      <c r="G47" s="662"/>
      <c r="H47" s="662"/>
      <c r="I47" s="662"/>
      <c r="J47" s="662"/>
      <c r="K47" s="662"/>
      <c r="L47" s="662"/>
      <c r="M47" s="671"/>
      <c r="N47" s="671"/>
      <c r="O47" s="662"/>
      <c r="P47" s="671"/>
      <c r="Q47" s="671"/>
      <c r="R47" s="665"/>
    </row>
    <row r="48" spans="1:18">
      <c r="A48" s="762" t="s">
        <v>217</v>
      </c>
      <c r="B48" s="769"/>
      <c r="C48" s="635">
        <f ca="1">'Eigen vloot'!B31</f>
        <v>0</v>
      </c>
      <c r="D48" s="635">
        <f>'Eigen vloot'!C31</f>
        <v>0</v>
      </c>
      <c r="E48" s="635">
        <f>'Eigen vloot'!D31</f>
        <v>0</v>
      </c>
      <c r="F48" s="635">
        <f>'Eigen vloot'!E31</f>
        <v>0</v>
      </c>
      <c r="G48" s="635">
        <f>'Eigen vloot'!F31</f>
        <v>0</v>
      </c>
      <c r="H48" s="635">
        <f>'Eigen vloot'!G31</f>
        <v>0</v>
      </c>
      <c r="I48" s="635">
        <f>'Eigen vloot'!H31</f>
        <v>0</v>
      </c>
      <c r="J48" s="635">
        <f>'Eigen vloot'!I31</f>
        <v>0</v>
      </c>
      <c r="K48" s="635">
        <f>'Eigen vloot'!J31</f>
        <v>0</v>
      </c>
      <c r="L48" s="635">
        <f>'Eigen vloot'!K31</f>
        <v>0</v>
      </c>
      <c r="M48" s="635">
        <f>'Eigen vloot'!L31</f>
        <v>0</v>
      </c>
      <c r="N48" s="635">
        <f>'Eigen vloot'!M31</f>
        <v>0</v>
      </c>
      <c r="O48" s="635">
        <f>'Eigen vloot'!N31</f>
        <v>0</v>
      </c>
      <c r="P48" s="635">
        <f>'Eigen vloot'!O31</f>
        <v>0</v>
      </c>
      <c r="Q48" s="635">
        <f>'Eigen vloot'!P31</f>
        <v>0</v>
      </c>
      <c r="R48" s="666">
        <f ca="1">SUM(C48:Q48)</f>
        <v>0</v>
      </c>
    </row>
    <row r="49" spans="1:18">
      <c r="A49" s="762" t="s">
        <v>218</v>
      </c>
      <c r="B49" s="769"/>
      <c r="C49" s="635">
        <f ca="1">transport!B58</f>
        <v>3.9750376435077142</v>
      </c>
      <c r="D49" s="635">
        <f ca="1">transport!C58</f>
        <v>0</v>
      </c>
      <c r="E49" s="635">
        <f>transport!D58</f>
        <v>0</v>
      </c>
      <c r="F49" s="635">
        <f>transport!E58</f>
        <v>0</v>
      </c>
      <c r="G49" s="635">
        <f>transport!F58</f>
        <v>0</v>
      </c>
      <c r="H49" s="635">
        <f>transport!G58</f>
        <v>1115.6440768828984</v>
      </c>
      <c r="I49" s="635">
        <f>transport!H58</f>
        <v>0</v>
      </c>
      <c r="J49" s="635">
        <f>transport!I58</f>
        <v>0</v>
      </c>
      <c r="K49" s="635">
        <f>transport!J58</f>
        <v>0</v>
      </c>
      <c r="L49" s="635">
        <f>transport!K58</f>
        <v>0</v>
      </c>
      <c r="M49" s="635">
        <f>transport!L58</f>
        <v>0</v>
      </c>
      <c r="N49" s="635">
        <f>transport!M58</f>
        <v>0</v>
      </c>
      <c r="O49" s="635">
        <f>transport!N58</f>
        <v>0</v>
      </c>
      <c r="P49" s="635">
        <f>transport!O58</f>
        <v>0</v>
      </c>
      <c r="Q49" s="636">
        <f>transport!P58</f>
        <v>0</v>
      </c>
      <c r="R49" s="666">
        <f ca="1">SUM(C49:Q49)</f>
        <v>1119.6191145264061</v>
      </c>
    </row>
    <row r="50" spans="1:18">
      <c r="A50" s="765" t="s">
        <v>296</v>
      </c>
      <c r="B50" s="775"/>
      <c r="C50" s="930">
        <f ca="1">transport!B18</f>
        <v>0.38233128055000781</v>
      </c>
      <c r="D50" s="930">
        <f>transport!C18</f>
        <v>0</v>
      </c>
      <c r="E50" s="930">
        <f>transport!D18</f>
        <v>1.3436444233792875</v>
      </c>
      <c r="F50" s="930">
        <f>transport!E18</f>
        <v>153.28191879740783</v>
      </c>
      <c r="G50" s="930">
        <f>transport!F18</f>
        <v>0</v>
      </c>
      <c r="H50" s="930">
        <f>transport!G18</f>
        <v>33220.326034207123</v>
      </c>
      <c r="I50" s="930">
        <f>transport!H18</f>
        <v>5644.3139543864254</v>
      </c>
      <c r="J50" s="930">
        <f>transport!I18</f>
        <v>0</v>
      </c>
      <c r="K50" s="930">
        <f>transport!J18</f>
        <v>0</v>
      </c>
      <c r="L50" s="930">
        <f>transport!K18</f>
        <v>0</v>
      </c>
      <c r="M50" s="930">
        <f>transport!L18</f>
        <v>0</v>
      </c>
      <c r="N50" s="930">
        <f>transport!M18</f>
        <v>0</v>
      </c>
      <c r="O50" s="930">
        <f>transport!N18</f>
        <v>0</v>
      </c>
      <c r="P50" s="930">
        <f>transport!O18</f>
        <v>0</v>
      </c>
      <c r="Q50" s="931">
        <f>transport!P18</f>
        <v>0</v>
      </c>
      <c r="R50" s="667">
        <f ca="1">SUM(C50:Q50)</f>
        <v>39019.647883094884</v>
      </c>
    </row>
    <row r="51" spans="1:18" ht="15" thickBot="1">
      <c r="A51" s="762" t="s">
        <v>863</v>
      </c>
      <c r="B51" s="769"/>
      <c r="C51" s="635"/>
      <c r="D51" s="635"/>
      <c r="E51" s="635"/>
      <c r="F51" s="635"/>
      <c r="G51" s="635"/>
      <c r="H51" s="635"/>
      <c r="I51" s="635"/>
      <c r="J51" s="635"/>
      <c r="K51" s="635"/>
      <c r="L51" s="635"/>
      <c r="M51" s="635"/>
      <c r="N51" s="635"/>
      <c r="O51" s="635"/>
      <c r="P51" s="635"/>
      <c r="Q51" s="636"/>
      <c r="R51" s="666"/>
    </row>
    <row r="52" spans="1:18" ht="15.75" thickBot="1">
      <c r="A52" s="763" t="s">
        <v>219</v>
      </c>
      <c r="B52" s="776"/>
      <c r="C52" s="668">
        <f ca="1">SUM(C48:C51)</f>
        <v>4.357368924057722</v>
      </c>
      <c r="D52" s="668">
        <f t="shared" ref="D52:Q52" ca="1" si="6">SUM(D48:D51)</f>
        <v>0</v>
      </c>
      <c r="E52" s="668">
        <f t="shared" si="6"/>
        <v>1.3436444233792875</v>
      </c>
      <c r="F52" s="668">
        <f t="shared" si="6"/>
        <v>153.28191879740783</v>
      </c>
      <c r="G52" s="668">
        <f t="shared" si="6"/>
        <v>0</v>
      </c>
      <c r="H52" s="668">
        <f t="shared" si="6"/>
        <v>34335.970111090021</v>
      </c>
      <c r="I52" s="668">
        <f t="shared" si="6"/>
        <v>5644.3139543864254</v>
      </c>
      <c r="J52" s="668">
        <f t="shared" si="6"/>
        <v>0</v>
      </c>
      <c r="K52" s="668">
        <f t="shared" si="6"/>
        <v>0</v>
      </c>
      <c r="L52" s="668">
        <f t="shared" si="6"/>
        <v>0</v>
      </c>
      <c r="M52" s="668">
        <f t="shared" si="6"/>
        <v>0</v>
      </c>
      <c r="N52" s="668">
        <f t="shared" si="6"/>
        <v>0</v>
      </c>
      <c r="O52" s="668">
        <f t="shared" si="6"/>
        <v>0</v>
      </c>
      <c r="P52" s="668">
        <f t="shared" si="6"/>
        <v>0</v>
      </c>
      <c r="Q52" s="668">
        <f t="shared" si="6"/>
        <v>0</v>
      </c>
      <c r="R52" s="668">
        <f ca="1">SUM(R48:R51)</f>
        <v>40139.266997621293</v>
      </c>
    </row>
    <row r="53" spans="1:18" ht="15.75">
      <c r="A53" s="764" t="s">
        <v>226</v>
      </c>
      <c r="B53" s="743"/>
      <c r="C53" s="661"/>
      <c r="D53" s="662"/>
      <c r="E53" s="662"/>
      <c r="F53" s="662"/>
      <c r="G53" s="662"/>
      <c r="H53" s="662"/>
      <c r="I53" s="662"/>
      <c r="J53" s="662"/>
      <c r="K53" s="662"/>
      <c r="L53" s="662"/>
      <c r="M53" s="671"/>
      <c r="N53" s="671"/>
      <c r="O53" s="662"/>
      <c r="P53" s="671"/>
      <c r="Q53" s="671"/>
      <c r="R53" s="665"/>
    </row>
    <row r="54" spans="1:18">
      <c r="A54" s="765" t="s">
        <v>609</v>
      </c>
      <c r="B54" s="775"/>
      <c r="C54" s="930">
        <f ca="1">+landbouw!B12</f>
        <v>413.78125462271879</v>
      </c>
      <c r="D54" s="930">
        <f ca="1">+landbouw!C12</f>
        <v>0</v>
      </c>
      <c r="E54" s="930">
        <f>+landbouw!D12</f>
        <v>20.040071348000001</v>
      </c>
      <c r="F54" s="930">
        <f>+landbouw!E12</f>
        <v>4.1012497697442267</v>
      </c>
      <c r="G54" s="930">
        <f>+landbouw!F12</f>
        <v>2005.8705511482578</v>
      </c>
      <c r="H54" s="930">
        <f>+landbouw!G12</f>
        <v>0</v>
      </c>
      <c r="I54" s="930">
        <f>+landbouw!H12</f>
        <v>0</v>
      </c>
      <c r="J54" s="930">
        <f>+landbouw!I12</f>
        <v>0</v>
      </c>
      <c r="K54" s="930">
        <f>+landbouw!J12</f>
        <v>71.824140599798255</v>
      </c>
      <c r="L54" s="930">
        <f>+landbouw!K12</f>
        <v>0</v>
      </c>
      <c r="M54" s="930">
        <f>+landbouw!L12</f>
        <v>0</v>
      </c>
      <c r="N54" s="930">
        <f>+landbouw!M12</f>
        <v>0</v>
      </c>
      <c r="O54" s="930">
        <f>+landbouw!N12</f>
        <v>0</v>
      </c>
      <c r="P54" s="930">
        <f>+landbouw!O12</f>
        <v>0</v>
      </c>
      <c r="Q54" s="931">
        <f>+landbouw!P12</f>
        <v>0</v>
      </c>
      <c r="R54" s="667">
        <f ca="1">SUM(C54:Q54)</f>
        <v>2515.6172674885192</v>
      </c>
    </row>
    <row r="55" spans="1:18" ht="15" thickBot="1">
      <c r="A55" s="765" t="s">
        <v>864</v>
      </c>
      <c r="B55" s="775"/>
      <c r="C55" s="930">
        <f ca="1">C25*'EF ele_warmte'!B12</f>
        <v>843.65205563485199</v>
      </c>
      <c r="D55" s="930"/>
      <c r="E55" s="930">
        <f>E25*EF_CO2_aardgas</f>
        <v>904.97959400000002</v>
      </c>
      <c r="F55" s="930"/>
      <c r="G55" s="930"/>
      <c r="H55" s="930"/>
      <c r="I55" s="930"/>
      <c r="J55" s="930"/>
      <c r="K55" s="930"/>
      <c r="L55" s="930"/>
      <c r="M55" s="930"/>
      <c r="N55" s="930"/>
      <c r="O55" s="930"/>
      <c r="P55" s="930"/>
      <c r="Q55" s="931"/>
      <c r="R55" s="667">
        <f ca="1">SUM(C55:Q55)</f>
        <v>1748.631649634852</v>
      </c>
    </row>
    <row r="56" spans="1:18" ht="15.75" thickBot="1">
      <c r="A56" s="763" t="s">
        <v>865</v>
      </c>
      <c r="B56" s="776"/>
      <c r="C56" s="668">
        <f ca="1">SUM(C54:C55)</f>
        <v>1257.4333102575708</v>
      </c>
      <c r="D56" s="668">
        <f t="shared" ref="D56:Q56" ca="1" si="7">SUM(D54:D55)</f>
        <v>0</v>
      </c>
      <c r="E56" s="668">
        <f t="shared" si="7"/>
        <v>925.01966534799999</v>
      </c>
      <c r="F56" s="668">
        <f t="shared" si="7"/>
        <v>4.1012497697442267</v>
      </c>
      <c r="G56" s="668">
        <f t="shared" si="7"/>
        <v>2005.8705511482578</v>
      </c>
      <c r="H56" s="668">
        <f t="shared" si="7"/>
        <v>0</v>
      </c>
      <c r="I56" s="668">
        <f t="shared" si="7"/>
        <v>0</v>
      </c>
      <c r="J56" s="668">
        <f t="shared" si="7"/>
        <v>0</v>
      </c>
      <c r="K56" s="668">
        <f t="shared" si="7"/>
        <v>71.824140599798255</v>
      </c>
      <c r="L56" s="668">
        <f t="shared" si="7"/>
        <v>0</v>
      </c>
      <c r="M56" s="668">
        <f t="shared" si="7"/>
        <v>0</v>
      </c>
      <c r="N56" s="668">
        <f t="shared" si="7"/>
        <v>0</v>
      </c>
      <c r="O56" s="668">
        <f t="shared" si="7"/>
        <v>0</v>
      </c>
      <c r="P56" s="668">
        <f t="shared" si="7"/>
        <v>0</v>
      </c>
      <c r="Q56" s="669">
        <f t="shared" si="7"/>
        <v>0</v>
      </c>
      <c r="R56" s="670">
        <f ca="1">SUM(R54:R55)</f>
        <v>4264.248917123371</v>
      </c>
    </row>
    <row r="57" spans="1:18" ht="15.75">
      <c r="A57" s="743" t="s">
        <v>610</v>
      </c>
      <c r="B57" s="743"/>
      <c r="C57" s="673"/>
      <c r="D57" s="662"/>
      <c r="E57" s="662"/>
      <c r="F57" s="662"/>
      <c r="G57" s="662"/>
      <c r="H57" s="662"/>
      <c r="I57" s="662"/>
      <c r="J57" s="662"/>
      <c r="K57" s="662"/>
      <c r="L57" s="662"/>
      <c r="M57" s="671"/>
      <c r="N57" s="671"/>
      <c r="O57" s="662"/>
      <c r="P57" s="671"/>
      <c r="Q57" s="671"/>
      <c r="R57" s="665"/>
    </row>
    <row r="58" spans="1:18" ht="15">
      <c r="A58" s="766" t="s">
        <v>227</v>
      </c>
      <c r="B58" s="780"/>
      <c r="C58" s="1064"/>
      <c r="D58" s="1065"/>
      <c r="E58" s="1065"/>
      <c r="F58" s="1065"/>
      <c r="G58" s="1065"/>
      <c r="H58" s="1065"/>
      <c r="I58" s="1065"/>
      <c r="J58" s="1065"/>
      <c r="K58" s="1065"/>
      <c r="L58" s="1065"/>
      <c r="M58" s="1065"/>
      <c r="N58" s="1065"/>
      <c r="O58" s="1065"/>
      <c r="P58" s="1065"/>
      <c r="Q58" s="1065"/>
      <c r="R58" s="674"/>
    </row>
    <row r="59" spans="1:18" ht="15">
      <c r="A59" s="767" t="s">
        <v>228</v>
      </c>
      <c r="B59" s="754"/>
      <c r="C59" s="1066"/>
      <c r="D59" s="1067"/>
      <c r="E59" s="1067"/>
      <c r="F59" s="1067"/>
      <c r="G59" s="1067"/>
      <c r="H59" s="1067"/>
      <c r="I59" s="1067"/>
      <c r="J59" s="1067"/>
      <c r="K59" s="1067"/>
      <c r="L59" s="1067"/>
      <c r="M59" s="1067"/>
      <c r="N59" s="1067"/>
      <c r="O59" s="1067"/>
      <c r="P59" s="1067"/>
      <c r="Q59" s="1067"/>
      <c r="R59" s="675"/>
    </row>
    <row r="60" spans="1:18" ht="15" thickBot="1">
      <c r="A60" s="778" t="s">
        <v>229</v>
      </c>
      <c r="B60" s="779"/>
      <c r="C60" s="1066"/>
      <c r="D60" s="1067"/>
      <c r="E60" s="1067"/>
      <c r="F60" s="1067"/>
      <c r="G60" s="1067"/>
      <c r="H60" s="1067"/>
      <c r="I60" s="1067"/>
      <c r="J60" s="1067"/>
      <c r="K60" s="1067"/>
      <c r="L60" s="1067"/>
      <c r="M60" s="1067"/>
      <c r="N60" s="1067"/>
      <c r="O60" s="1067"/>
      <c r="P60" s="1067"/>
      <c r="Q60" s="1067"/>
      <c r="R60" s="667"/>
    </row>
    <row r="61" spans="1:18" ht="16.5" thickBot="1">
      <c r="A61" s="781" t="s">
        <v>109</v>
      </c>
      <c r="B61" s="782"/>
      <c r="C61" s="676">
        <f ca="1">C46+C52+C56</f>
        <v>36609.268490330163</v>
      </c>
      <c r="D61" s="676">
        <f t="shared" ref="D61:Q61" ca="1" si="8">D46+D52+D56</f>
        <v>0</v>
      </c>
      <c r="E61" s="676">
        <f t="shared" ca="1" si="8"/>
        <v>59049.575051751388</v>
      </c>
      <c r="F61" s="676">
        <f t="shared" si="8"/>
        <v>1135.3624379073224</v>
      </c>
      <c r="G61" s="676">
        <f t="shared" ca="1" si="8"/>
        <v>33301.053494965003</v>
      </c>
      <c r="H61" s="676">
        <f t="shared" si="8"/>
        <v>34335.970111090021</v>
      </c>
      <c r="I61" s="676">
        <f t="shared" si="8"/>
        <v>5644.3139543864254</v>
      </c>
      <c r="J61" s="676">
        <f t="shared" si="8"/>
        <v>0</v>
      </c>
      <c r="K61" s="676">
        <f t="shared" si="8"/>
        <v>1002.9278619536863</v>
      </c>
      <c r="L61" s="676">
        <f t="shared" si="8"/>
        <v>0</v>
      </c>
      <c r="M61" s="676">
        <f t="shared" ca="1" si="8"/>
        <v>0</v>
      </c>
      <c r="N61" s="676">
        <f t="shared" si="8"/>
        <v>0</v>
      </c>
      <c r="O61" s="676">
        <f t="shared" ca="1" si="8"/>
        <v>0</v>
      </c>
      <c r="P61" s="676">
        <f t="shared" si="8"/>
        <v>0</v>
      </c>
      <c r="Q61" s="676">
        <f t="shared" si="8"/>
        <v>0</v>
      </c>
      <c r="R61" s="676">
        <f ca="1">R46+R52+R56</f>
        <v>171078.47140238399</v>
      </c>
    </row>
    <row r="62" spans="1:18" ht="15.75" thickTop="1" thickBot="1">
      <c r="A62" s="910"/>
      <c r="B62" s="910"/>
      <c r="C62" s="677"/>
      <c r="D62" s="677"/>
      <c r="E62" s="678"/>
      <c r="F62" s="678"/>
      <c r="G62" s="678"/>
      <c r="H62" s="678"/>
      <c r="I62" s="678"/>
      <c r="J62" s="678"/>
      <c r="K62" s="678"/>
      <c r="L62" s="678"/>
      <c r="M62" s="678"/>
      <c r="N62" s="678"/>
      <c r="O62" s="678"/>
      <c r="P62" s="678"/>
      <c r="Q62" s="678"/>
      <c r="R62" s="678"/>
    </row>
    <row r="63" spans="1:18" ht="20.25" thickTop="1" thickBot="1">
      <c r="A63" s="679" t="s">
        <v>335</v>
      </c>
      <c r="B63" s="761"/>
      <c r="C63" s="720">
        <f t="shared" ref="C63:Q63" ca="1" si="9">IF(ISERROR(C61/C27),0,C61/C27)</f>
        <v>0.20637942547445914</v>
      </c>
      <c r="D63" s="720">
        <f t="shared" ca="1" si="9"/>
        <v>0</v>
      </c>
      <c r="E63" s="932">
        <f t="shared" ca="1" si="9"/>
        <v>0.20200000000000007</v>
      </c>
      <c r="F63" s="720">
        <f t="shared" si="9"/>
        <v>0.22700000000000004</v>
      </c>
      <c r="G63" s="720">
        <f t="shared" ca="1" si="9"/>
        <v>0.26700000000000002</v>
      </c>
      <c r="H63" s="720">
        <f t="shared" si="9"/>
        <v>0.26700000000000002</v>
      </c>
      <c r="I63" s="720">
        <f t="shared" si="9"/>
        <v>0.249</v>
      </c>
      <c r="J63" s="720">
        <f t="shared" si="9"/>
        <v>0</v>
      </c>
      <c r="K63" s="720">
        <f t="shared" si="9"/>
        <v>0.35399999999999993</v>
      </c>
      <c r="L63" s="720">
        <f t="shared" si="9"/>
        <v>0</v>
      </c>
      <c r="M63" s="720">
        <f t="shared" ca="1" si="9"/>
        <v>0</v>
      </c>
      <c r="N63" s="720">
        <f t="shared" si="9"/>
        <v>0</v>
      </c>
      <c r="O63" s="720">
        <f t="shared" ca="1" si="9"/>
        <v>0</v>
      </c>
      <c r="P63" s="720">
        <f t="shared" si="9"/>
        <v>0</v>
      </c>
      <c r="Q63" s="720">
        <f t="shared" si="9"/>
        <v>0</v>
      </c>
      <c r="R63" s="678"/>
    </row>
    <row r="64" spans="1:18" ht="33" thickTop="1" thickBot="1">
      <c r="A64" s="768" t="s">
        <v>336</v>
      </c>
      <c r="B64" s="746"/>
      <c r="C64" s="721">
        <f>'EF ele_warmte'!B6</f>
        <v>0.221</v>
      </c>
      <c r="D64" s="722"/>
      <c r="E64" s="723"/>
      <c r="F64" s="724"/>
      <c r="G64" s="724"/>
      <c r="H64" s="724"/>
      <c r="I64" s="724"/>
      <c r="J64" s="724"/>
      <c r="K64" s="724"/>
      <c r="L64" s="724"/>
      <c r="M64" s="724"/>
      <c r="N64" s="724"/>
      <c r="O64" s="724"/>
      <c r="P64" s="724"/>
      <c r="Q64" s="724"/>
      <c r="R64" s="678"/>
    </row>
    <row r="65" spans="1:18" ht="15" thickTop="1">
      <c r="A65" s="680"/>
      <c r="B65" s="680"/>
      <c r="C65" s="678"/>
      <c r="D65" s="678"/>
      <c r="E65" s="678"/>
      <c r="F65" s="678"/>
      <c r="G65" s="678"/>
      <c r="H65" s="678"/>
      <c r="I65" s="678"/>
      <c r="J65" s="678"/>
      <c r="K65" s="678"/>
      <c r="L65" s="678"/>
      <c r="M65" s="678"/>
      <c r="N65" s="678"/>
      <c r="O65" s="678"/>
      <c r="P65" s="678"/>
      <c r="Q65" s="678"/>
      <c r="R65" s="678"/>
    </row>
    <row r="66" spans="1:18" ht="18.75">
      <c r="A66" s="681" t="s">
        <v>337</v>
      </c>
      <c r="B66" s="681"/>
      <c r="C66" s="654"/>
      <c r="D66" s="682"/>
      <c r="E66" s="654"/>
      <c r="F66" s="654"/>
      <c r="G66" s="654"/>
      <c r="H66" s="654"/>
      <c r="I66" s="654"/>
      <c r="J66" s="654"/>
      <c r="K66" s="654"/>
      <c r="L66" s="654"/>
      <c r="M66" s="654"/>
      <c r="N66" s="654"/>
      <c r="O66" s="654"/>
      <c r="P66" s="683"/>
      <c r="Q66" s="683"/>
      <c r="R66" s="683"/>
    </row>
    <row r="67" spans="1:18">
      <c r="A67" s="1033"/>
      <c r="B67" s="1033"/>
      <c r="C67" s="1033"/>
      <c r="D67" s="1033"/>
      <c r="E67" s="1033"/>
      <c r="F67" s="1033"/>
      <c r="G67" s="1033"/>
      <c r="H67" s="1033"/>
      <c r="I67" s="1033"/>
      <c r="J67" s="1033"/>
      <c r="K67" s="1033"/>
      <c r="L67" s="1033"/>
      <c r="M67" s="1033"/>
      <c r="N67" s="1033"/>
      <c r="O67" s="1033"/>
      <c r="P67" s="1033"/>
      <c r="Q67" s="1033"/>
      <c r="R67" s="684"/>
    </row>
    <row r="68" spans="1:18" ht="16.5" customHeight="1" thickBot="1">
      <c r="A68" s="657"/>
      <c r="B68" s="657"/>
      <c r="C68" s="658"/>
      <c r="D68" s="658"/>
      <c r="E68" s="658"/>
      <c r="F68" s="658"/>
      <c r="G68" s="658"/>
      <c r="H68" s="658"/>
      <c r="I68" s="658"/>
      <c r="J68" s="658"/>
      <c r="K68" s="658"/>
      <c r="L68" s="658"/>
      <c r="M68" s="658"/>
      <c r="N68" s="658"/>
      <c r="O68" s="658"/>
      <c r="P68" s="658"/>
      <c r="Q68" s="658"/>
      <c r="R68" s="658"/>
    </row>
    <row r="69" spans="1:18" ht="48.75" customHeight="1" thickTop="1" thickBot="1">
      <c r="A69" s="1034" t="s">
        <v>230</v>
      </c>
      <c r="B69" s="1012" t="s">
        <v>338</v>
      </c>
      <c r="C69" s="1013"/>
      <c r="D69" s="1056" t="s">
        <v>339</v>
      </c>
      <c r="E69" s="1057"/>
      <c r="F69" s="1057"/>
      <c r="G69" s="1057"/>
      <c r="H69" s="1057"/>
      <c r="I69" s="1057"/>
      <c r="J69" s="1057"/>
      <c r="K69" s="1057"/>
      <c r="L69" s="1057"/>
      <c r="M69" s="1057"/>
      <c r="N69" s="1057"/>
      <c r="O69" s="1058"/>
      <c r="P69" s="933" t="s">
        <v>620</v>
      </c>
      <c r="Q69" s="1059" t="s">
        <v>619</v>
      </c>
      <c r="R69" s="1060"/>
    </row>
    <row r="70" spans="1:18" ht="61.5" thickTop="1" thickBot="1">
      <c r="A70" s="1035"/>
      <c r="B70" s="1054"/>
      <c r="C70" s="1055"/>
      <c r="D70" s="1061" t="s">
        <v>190</v>
      </c>
      <c r="E70" s="1062"/>
      <c r="F70" s="1062"/>
      <c r="G70" s="1062"/>
      <c r="H70" s="1063"/>
      <c r="I70" s="903" t="s">
        <v>235</v>
      </c>
      <c r="J70" s="903" t="s">
        <v>223</v>
      </c>
      <c r="K70" s="903" t="s">
        <v>202</v>
      </c>
      <c r="L70" s="903" t="s">
        <v>203</v>
      </c>
      <c r="M70" s="685" t="s">
        <v>234</v>
      </c>
      <c r="N70" s="903" t="s">
        <v>236</v>
      </c>
      <c r="O70" s="905" t="s">
        <v>120</v>
      </c>
      <c r="P70" s="934"/>
      <c r="Q70" s="796"/>
      <c r="R70" s="797"/>
    </row>
    <row r="71" spans="1:18" ht="95.25" customHeight="1" thickTop="1" thickBot="1">
      <c r="A71" s="1036"/>
      <c r="B71" s="908" t="s">
        <v>618</v>
      </c>
      <c r="C71" s="908" t="s">
        <v>866</v>
      </c>
      <c r="D71" s="935" t="s">
        <v>192</v>
      </c>
      <c r="E71" s="936" t="s">
        <v>193</v>
      </c>
      <c r="F71" s="903" t="s">
        <v>194</v>
      </c>
      <c r="G71" s="900" t="s">
        <v>196</v>
      </c>
      <c r="H71" s="937" t="s">
        <v>197</v>
      </c>
      <c r="I71" s="904"/>
      <c r="J71" s="904"/>
      <c r="K71" s="904"/>
      <c r="L71" s="904"/>
      <c r="M71" s="901"/>
      <c r="N71" s="904"/>
      <c r="O71" s="909"/>
      <c r="P71" s="938"/>
      <c r="Q71" s="911" t="s">
        <v>621</v>
      </c>
      <c r="R71" s="909" t="s">
        <v>622</v>
      </c>
    </row>
    <row r="72" spans="1:18" ht="15.75" thickTop="1">
      <c r="A72" s="686" t="s">
        <v>238</v>
      </c>
      <c r="B72" s="783">
        <f>'lokale energieproductie'!B4</f>
        <v>0</v>
      </c>
      <c r="C72" s="1052"/>
      <c r="D72" s="1052"/>
      <c r="E72" s="1053"/>
      <c r="F72" s="1053"/>
      <c r="G72" s="1043"/>
      <c r="H72" s="1046"/>
      <c r="I72" s="1049"/>
      <c r="J72" s="906"/>
      <c r="K72" s="1027"/>
      <c r="L72" s="1027"/>
      <c r="M72" s="1027"/>
      <c r="N72" s="1027"/>
      <c r="O72" s="1030"/>
      <c r="P72" s="791">
        <v>0</v>
      </c>
      <c r="Q72" s="939"/>
      <c r="R72" s="791">
        <v>0</v>
      </c>
    </row>
    <row r="73" spans="1:18" ht="15">
      <c r="A73" s="687" t="s">
        <v>239</v>
      </c>
      <c r="B73" s="686">
        <f>'lokale energieproductie'!B5</f>
        <v>0</v>
      </c>
      <c r="C73" s="1050"/>
      <c r="D73" s="1050"/>
      <c r="E73" s="1028"/>
      <c r="F73" s="1028"/>
      <c r="G73" s="1044"/>
      <c r="H73" s="1047"/>
      <c r="I73" s="1050"/>
      <c r="J73" s="907"/>
      <c r="K73" s="1028"/>
      <c r="L73" s="1028"/>
      <c r="M73" s="1028"/>
      <c r="N73" s="1028"/>
      <c r="O73" s="1031"/>
      <c r="P73" s="792">
        <v>0</v>
      </c>
      <c r="Q73" s="798"/>
      <c r="R73" s="792">
        <v>0</v>
      </c>
    </row>
    <row r="74" spans="1:18" ht="15">
      <c r="A74" s="687" t="s">
        <v>240</v>
      </c>
      <c r="B74" s="686">
        <f>'lokale energieproductie'!B6</f>
        <v>11735.370818626439</v>
      </c>
      <c r="C74" s="1050"/>
      <c r="D74" s="1050"/>
      <c r="E74" s="1028"/>
      <c r="F74" s="1028"/>
      <c r="G74" s="1044"/>
      <c r="H74" s="1047"/>
      <c r="I74" s="1050"/>
      <c r="J74" s="907"/>
      <c r="K74" s="1028"/>
      <c r="L74" s="1028"/>
      <c r="M74" s="1028"/>
      <c r="N74" s="1028"/>
      <c r="O74" s="1031"/>
      <c r="P74" s="792">
        <v>0</v>
      </c>
      <c r="Q74" s="798"/>
      <c r="R74" s="792">
        <v>0</v>
      </c>
    </row>
    <row r="75" spans="1:18" ht="15.75" thickBot="1">
      <c r="A75" s="687" t="s">
        <v>859</v>
      </c>
      <c r="B75" s="686">
        <f>'lokale energieproductie'!B7</f>
        <v>0</v>
      </c>
      <c r="C75" s="1051"/>
      <c r="D75" s="1051"/>
      <c r="E75" s="1029"/>
      <c r="F75" s="1029"/>
      <c r="G75" s="1045"/>
      <c r="H75" s="1048"/>
      <c r="I75" s="1051"/>
      <c r="J75" s="940"/>
      <c r="K75" s="1029"/>
      <c r="L75" s="1029"/>
      <c r="M75" s="1029"/>
      <c r="N75" s="1029"/>
      <c r="O75" s="1032"/>
      <c r="P75" s="792">
        <v>0</v>
      </c>
      <c r="Q75" s="941"/>
      <c r="R75" s="792">
        <v>0</v>
      </c>
    </row>
    <row r="76" spans="1:18" ht="15">
      <c r="A76" s="688" t="s">
        <v>241</v>
      </c>
      <c r="B76" s="686">
        <f>'lokale energieproductie'!B8*IFERROR(SUM(I76:O76)/SUM(D76:O76),0)</f>
        <v>0</v>
      </c>
      <c r="C76" s="686">
        <f>'lokale energieproductie'!B8*IFERROR(SUM(D76:H76)/SUM(D76:O76),0)</f>
        <v>0</v>
      </c>
      <c r="D76" s="942">
        <f>'lokale energieproductie'!C8</f>
        <v>0</v>
      </c>
      <c r="E76" s="943">
        <f>'lokale energieproductie'!D8</f>
        <v>0</v>
      </c>
      <c r="F76" s="943">
        <f>'lokale energieproductie'!E8</f>
        <v>0</v>
      </c>
      <c r="G76" s="943">
        <f>'lokale energieproductie'!F8</f>
        <v>0</v>
      </c>
      <c r="H76" s="943">
        <f>'lokale energieproductie'!G8</f>
        <v>0</v>
      </c>
      <c r="I76" s="943">
        <f>'lokale energieproductie'!I8</f>
        <v>0</v>
      </c>
      <c r="J76" s="943">
        <f>'lokale energieproductie'!J8</f>
        <v>0</v>
      </c>
      <c r="K76" s="943">
        <f>'lokale energieproductie'!M8</f>
        <v>0</v>
      </c>
      <c r="L76" s="943">
        <f>'lokale energieproductie'!N8</f>
        <v>0</v>
      </c>
      <c r="M76" s="943">
        <f>'lokale energieproductie'!H8</f>
        <v>0</v>
      </c>
      <c r="N76" s="943">
        <f>'lokale energieproductie'!K8</f>
        <v>0</v>
      </c>
      <c r="O76" s="944">
        <f>'lokale energieproductie'!L8</f>
        <v>0</v>
      </c>
      <c r="P76" s="945"/>
      <c r="Q76" s="793">
        <f>D76*EF_CO2_aardgas+E76*EF_VLgas_CO2+'SEAP template'!F76*EF_stookolie_CO2+EF_bruinkool_CO2*'SEAP template'!G76+'SEAP template'!H76*EF_steenkool_CO2+'EF brandstof'!M4*'SEAP template'!M76+'SEAP template'!O76*EF_anderfossiel_CO2</f>
        <v>0</v>
      </c>
      <c r="R76" s="792">
        <v>0</v>
      </c>
    </row>
    <row r="77" spans="1:18" ht="30.75" thickBot="1">
      <c r="A77" s="689" t="s">
        <v>340</v>
      </c>
      <c r="B77" s="686">
        <f>'lokale energieproductie'!B9*IFERROR(SUM(I77:O77)/SUM(D77:O77),0)</f>
        <v>0</v>
      </c>
      <c r="C77" s="686">
        <f>'lokale energieproductie'!B9*IFERROR(SUM(D77:H77)/SUM(D77:O77),0)</f>
        <v>0</v>
      </c>
      <c r="D77" s="711">
        <f>'lokale energieproductie'!C9</f>
        <v>0</v>
      </c>
      <c r="E77" s="712">
        <f>'lokale energieproductie'!D9</f>
        <v>0</v>
      </c>
      <c r="F77" s="712">
        <f>'lokale energieproductie'!E9</f>
        <v>0</v>
      </c>
      <c r="G77" s="712">
        <f>'lokale energieproductie'!F9</f>
        <v>0</v>
      </c>
      <c r="H77" s="712">
        <f>'lokale energieproductie'!G9</f>
        <v>0</v>
      </c>
      <c r="I77" s="943">
        <f>'lokale energieproductie'!I9</f>
        <v>0</v>
      </c>
      <c r="J77" s="943">
        <f>'lokale energieproductie'!J9</f>
        <v>0</v>
      </c>
      <c r="K77" s="943">
        <f>'lokale energieproductie'!M9</f>
        <v>0</v>
      </c>
      <c r="L77" s="943">
        <f>'lokale energieproductie'!N9</f>
        <v>0</v>
      </c>
      <c r="M77" s="943">
        <f>'lokale energieproductie'!H9</f>
        <v>0</v>
      </c>
      <c r="N77" s="943">
        <f>'lokale energieproductie'!K9</f>
        <v>0</v>
      </c>
      <c r="O77" s="944">
        <f>'lokale energieproductie'!L9</f>
        <v>0</v>
      </c>
      <c r="P77" s="785"/>
      <c r="Q77" s="793">
        <f>D77*EF_CO2_aardgas+E77*EF_VLgas_CO2+'SEAP template'!F77*EF_stookolie_CO2+EF_bruinkool_CO2*'SEAP template'!G77+'SEAP template'!H77*EF_steenkool_CO2+'EF brandstof'!M4*'SEAP template'!M77+'SEAP template'!O77*EF_anderfossiel_CO2</f>
        <v>0</v>
      </c>
      <c r="R77" s="795">
        <v>0</v>
      </c>
    </row>
    <row r="78" spans="1:18" ht="16.5" thickTop="1" thickBot="1">
      <c r="A78" s="690" t="s">
        <v>109</v>
      </c>
      <c r="B78" s="691">
        <f>SUM(B72:B77)</f>
        <v>11735.370818626439</v>
      </c>
      <c r="C78" s="691">
        <f>SUM(C72:C77)</f>
        <v>0</v>
      </c>
      <c r="D78" s="692">
        <f t="shared" ref="D78:H78" si="10">SUM(D76:D77)</f>
        <v>0</v>
      </c>
      <c r="E78" s="692">
        <f t="shared" si="10"/>
        <v>0</v>
      </c>
      <c r="F78" s="692">
        <f t="shared" si="10"/>
        <v>0</v>
      </c>
      <c r="G78" s="692">
        <f t="shared" si="10"/>
        <v>0</v>
      </c>
      <c r="H78" s="692">
        <f t="shared" si="10"/>
        <v>0</v>
      </c>
      <c r="I78" s="692">
        <f>SUM(I76:I77)</f>
        <v>0</v>
      </c>
      <c r="J78" s="692">
        <f>SUM(J76:J77)</f>
        <v>0</v>
      </c>
      <c r="K78" s="692">
        <f t="shared" ref="K78:L78" si="11">SUM(K76:K77)</f>
        <v>0</v>
      </c>
      <c r="L78" s="692">
        <f t="shared" si="11"/>
        <v>0</v>
      </c>
      <c r="M78" s="692">
        <f>SUM(M76:M77)</f>
        <v>0</v>
      </c>
      <c r="N78" s="692">
        <f>SUM(N76:N77)</f>
        <v>0</v>
      </c>
      <c r="O78" s="800">
        <f>SUM(O76:O77)</f>
        <v>0</v>
      </c>
      <c r="P78" s="693">
        <v>0</v>
      </c>
      <c r="Q78" s="693">
        <f>SUM(Q76:Q77)</f>
        <v>0</v>
      </c>
      <c r="R78" s="693">
        <f>SUM(R72:R77)</f>
        <v>0</v>
      </c>
    </row>
    <row r="79" spans="1:18" ht="15.75" thickTop="1">
      <c r="A79" s="694"/>
      <c r="B79" s="747"/>
      <c r="C79" s="695"/>
      <c r="D79" s="695"/>
      <c r="E79" s="655"/>
      <c r="F79" s="654"/>
      <c r="G79" s="654"/>
      <c r="H79" s="654"/>
      <c r="I79" s="696"/>
      <c r="J79" s="654"/>
      <c r="K79" s="654"/>
      <c r="L79" s="654"/>
      <c r="M79" s="654"/>
      <c r="N79" s="697"/>
      <c r="O79" s="654"/>
      <c r="P79" s="654"/>
      <c r="Q79" s="654"/>
      <c r="R79" s="654"/>
    </row>
    <row r="80" spans="1:18" ht="15">
      <c r="A80" s="910"/>
      <c r="B80" s="910"/>
      <c r="C80" s="695"/>
      <c r="D80" s="695"/>
      <c r="E80" s="654"/>
      <c r="F80" s="654"/>
      <c r="G80" s="654"/>
      <c r="H80" s="654"/>
      <c r="I80" s="654"/>
      <c r="J80" s="654"/>
      <c r="K80" s="654"/>
      <c r="L80" s="654"/>
      <c r="M80" s="654"/>
      <c r="N80" s="654"/>
      <c r="O80" s="654"/>
      <c r="P80" s="654"/>
      <c r="Q80" s="654"/>
      <c r="R80" s="654"/>
    </row>
    <row r="81" spans="1:19" ht="18.75">
      <c r="A81" s="698" t="s">
        <v>341</v>
      </c>
      <c r="B81" s="698"/>
      <c r="C81" s="699"/>
      <c r="D81" s="682"/>
      <c r="E81" s="654"/>
      <c r="F81" s="654"/>
      <c r="G81" s="654"/>
      <c r="H81" s="654"/>
      <c r="I81" s="654"/>
      <c r="J81" s="654"/>
      <c r="K81" s="654"/>
      <c r="L81" s="654"/>
      <c r="M81" s="654"/>
      <c r="N81" s="654"/>
      <c r="O81" s="654"/>
      <c r="P81" s="654"/>
      <c r="Q81" s="654"/>
      <c r="R81" s="654"/>
    </row>
    <row r="82" spans="1:19">
      <c r="A82" s="1033"/>
      <c r="B82" s="1033"/>
      <c r="C82" s="1033"/>
      <c r="D82" s="1033"/>
      <c r="E82" s="1033"/>
      <c r="F82" s="1033"/>
      <c r="G82" s="1033"/>
      <c r="H82" s="1033"/>
      <c r="I82" s="1033"/>
      <c r="J82" s="1033"/>
      <c r="K82" s="1033"/>
      <c r="L82" s="1033"/>
      <c r="M82" s="1033"/>
      <c r="N82" s="1033"/>
      <c r="O82" s="1033"/>
      <c r="P82" s="1033"/>
      <c r="Q82" s="684"/>
      <c r="R82" s="684"/>
    </row>
    <row r="83" spans="1:19" ht="15.75" thickBot="1">
      <c r="A83" s="657"/>
      <c r="B83" s="657"/>
      <c r="C83" s="658"/>
      <c r="D83" s="658"/>
      <c r="E83" s="658"/>
      <c r="F83" s="658"/>
      <c r="G83" s="658"/>
      <c r="H83" s="658"/>
      <c r="I83" s="658"/>
      <c r="J83" s="658"/>
      <c r="K83" s="658"/>
      <c r="L83" s="658"/>
      <c r="M83" s="658"/>
      <c r="N83" s="658"/>
      <c r="O83" s="658"/>
      <c r="P83" s="658"/>
      <c r="Q83" s="658"/>
      <c r="R83" s="658"/>
    </row>
    <row r="84" spans="1:19" ht="48.2" customHeight="1" thickTop="1" thickBot="1">
      <c r="A84" s="1034" t="s">
        <v>242</v>
      </c>
      <c r="B84" s="1012" t="s">
        <v>342</v>
      </c>
      <c r="C84" s="1037"/>
      <c r="D84" s="1040" t="s">
        <v>343</v>
      </c>
      <c r="E84" s="1041"/>
      <c r="F84" s="1041"/>
      <c r="G84" s="1041"/>
      <c r="H84" s="1041"/>
      <c r="I84" s="1041"/>
      <c r="J84" s="1041"/>
      <c r="K84" s="1041"/>
      <c r="L84" s="1041"/>
      <c r="M84" s="1041"/>
      <c r="N84" s="1041"/>
      <c r="O84" s="1042"/>
      <c r="P84" s="933" t="s">
        <v>620</v>
      </c>
      <c r="Q84" s="1012" t="s">
        <v>619</v>
      </c>
      <c r="R84" s="1013"/>
    </row>
    <row r="85" spans="1:19" ht="16.5" customHeight="1" thickTop="1" thickBot="1">
      <c r="A85" s="1035"/>
      <c r="B85" s="1038"/>
      <c r="C85" s="1039"/>
      <c r="D85" s="1014" t="s">
        <v>190</v>
      </c>
      <c r="E85" s="1015"/>
      <c r="F85" s="1015"/>
      <c r="G85" s="1015"/>
      <c r="H85" s="1016"/>
      <c r="I85" s="1017" t="s">
        <v>235</v>
      </c>
      <c r="J85" s="1019" t="s">
        <v>223</v>
      </c>
      <c r="K85" s="1021" t="s">
        <v>202</v>
      </c>
      <c r="L85" s="1021" t="s">
        <v>203</v>
      </c>
      <c r="M85" s="1023" t="s">
        <v>234</v>
      </c>
      <c r="N85" s="1021" t="s">
        <v>246</v>
      </c>
      <c r="O85" s="1025" t="s">
        <v>120</v>
      </c>
      <c r="P85" s="934"/>
      <c r="Q85" s="796"/>
      <c r="R85" s="797"/>
    </row>
    <row r="86" spans="1:19" ht="110.25" customHeight="1" thickTop="1" thickBot="1">
      <c r="A86" s="1036"/>
      <c r="B86" s="784" t="s">
        <v>618</v>
      </c>
      <c r="C86" s="784" t="s">
        <v>866</v>
      </c>
      <c r="D86" s="911" t="s">
        <v>192</v>
      </c>
      <c r="E86" s="904" t="s">
        <v>193</v>
      </c>
      <c r="F86" s="902" t="s">
        <v>194</v>
      </c>
      <c r="G86" s="904" t="s">
        <v>196</v>
      </c>
      <c r="H86" s="700" t="s">
        <v>197</v>
      </c>
      <c r="I86" s="1018"/>
      <c r="J86" s="1020"/>
      <c r="K86" s="1022"/>
      <c r="L86" s="1022"/>
      <c r="M86" s="1024"/>
      <c r="N86" s="1022"/>
      <c r="O86" s="1026"/>
      <c r="P86" s="938"/>
      <c r="Q86" s="911" t="s">
        <v>621</v>
      </c>
      <c r="R86" s="909" t="s">
        <v>622</v>
      </c>
    </row>
    <row r="87" spans="1:19" ht="15.75" thickTop="1">
      <c r="A87" s="701" t="s">
        <v>241</v>
      </c>
      <c r="B87" s="702">
        <f>'lokale energieproductie'!B17*IFERROR(SUM(I87:O87)/SUM(D87:O87),0)</f>
        <v>0</v>
      </c>
      <c r="C87" s="702">
        <f>'lokale energieproductie'!B17*IFERROR(SUM(D87:H87)/SUM(D87:O87),0)</f>
        <v>0</v>
      </c>
      <c r="D87" s="713">
        <f>'lokale energieproductie'!C17</f>
        <v>0</v>
      </c>
      <c r="E87" s="713">
        <f>'lokale energieproductie'!D17</f>
        <v>0</v>
      </c>
      <c r="F87" s="713">
        <f>'lokale energieproductie'!E17</f>
        <v>0</v>
      </c>
      <c r="G87" s="713">
        <f>'lokale energieproductie'!F17</f>
        <v>0</v>
      </c>
      <c r="H87" s="713">
        <f>'lokale energieproductie'!G17</f>
        <v>0</v>
      </c>
      <c r="I87" s="713">
        <f>'lokale energieproductie'!I17</f>
        <v>0</v>
      </c>
      <c r="J87" s="713">
        <f>'lokale energieproductie'!J17</f>
        <v>0</v>
      </c>
      <c r="K87" s="713">
        <f>'lokale energieproductie'!M17</f>
        <v>0</v>
      </c>
      <c r="L87" s="713">
        <f>'lokale energieproductie'!N17</f>
        <v>0</v>
      </c>
      <c r="M87" s="713">
        <f>'lokale energieproductie'!H17</f>
        <v>0</v>
      </c>
      <c r="N87" s="713">
        <f>'lokale energieproductie'!K17</f>
        <v>0</v>
      </c>
      <c r="O87" s="713">
        <f>'lokale energieproductie'!L17</f>
        <v>0</v>
      </c>
      <c r="P87" s="1009"/>
      <c r="Q87" s="799">
        <f>D87*EF_CO2_aardgas+E87*EF_VLgas_CO2+'SEAP template'!F87*EF_stookolie_CO2+EF_bruinkool_CO2*'SEAP template'!G87+'SEAP template'!H87*EF_steenkool_CO2+'EF brandstof'!M4*'SEAP template'!M87+'SEAP template'!O87*EF_anderfossiel_CO2</f>
        <v>0</v>
      </c>
      <c r="R87" s="786">
        <v>0</v>
      </c>
    </row>
    <row r="88" spans="1:19" ht="15">
      <c r="A88" s="703" t="s">
        <v>247</v>
      </c>
      <c r="B88" s="702">
        <f>'lokale energieproductie'!B18*IFERROR(SUM(I88:O88)/SUM(D88:O88),0)</f>
        <v>0</v>
      </c>
      <c r="C88" s="702">
        <f>'lokale energieproductie'!B18*IFERROR(SUM(D88:H88)/SUM(D88:O88),0)</f>
        <v>0</v>
      </c>
      <c r="D88" s="713">
        <f>'lokale energieproductie'!C18</f>
        <v>0</v>
      </c>
      <c r="E88" s="713">
        <f>'lokale energieproductie'!D18</f>
        <v>0</v>
      </c>
      <c r="F88" s="713">
        <f>'lokale energieproductie'!E18</f>
        <v>0</v>
      </c>
      <c r="G88" s="713">
        <f>'lokale energieproductie'!F18</f>
        <v>0</v>
      </c>
      <c r="H88" s="713">
        <f>'lokale energieproductie'!G18</f>
        <v>0</v>
      </c>
      <c r="I88" s="713">
        <f>'lokale energieproductie'!I18</f>
        <v>0</v>
      </c>
      <c r="J88" s="713">
        <f>'lokale energieproductie'!J18</f>
        <v>0</v>
      </c>
      <c r="K88" s="713">
        <f>'lokale energieproductie'!M18</f>
        <v>0</v>
      </c>
      <c r="L88" s="713">
        <f>'lokale energieproductie'!N18</f>
        <v>0</v>
      </c>
      <c r="M88" s="713">
        <f>'lokale energieproductie'!H18</f>
        <v>0</v>
      </c>
      <c r="N88" s="713">
        <f>'lokale energieproductie'!K18</f>
        <v>0</v>
      </c>
      <c r="O88" s="713">
        <f>'lokale energieproductie'!L18</f>
        <v>0</v>
      </c>
      <c r="P88" s="1010"/>
      <c r="Q88" s="793">
        <f>D88*EF_CO2_aardgas+E88*EF_VLgas_CO2+'SEAP template'!F88*EF_stookolie_CO2+EF_bruinkool_CO2*'SEAP template'!G88+'SEAP template'!H88*EF_steenkool_CO2+'EF brandstof'!M4*'SEAP template'!M88+'SEAP template'!O88*EF_anderfossiel_CO2</f>
        <v>0</v>
      </c>
      <c r="R88" s="787">
        <v>0</v>
      </c>
    </row>
    <row r="89" spans="1:19" ht="30" thickBot="1">
      <c r="A89" s="689" t="s">
        <v>340</v>
      </c>
      <c r="B89" s="702">
        <f>'lokale energieproductie'!B19*IFERROR(SUM(I89:O89)/SUM(D89:O89),0)</f>
        <v>0</v>
      </c>
      <c r="C89" s="702">
        <f>'lokale energieproductie'!B19*IFERROR(SUM(D89:H89)/SUM(D89:O89),0)</f>
        <v>0</v>
      </c>
      <c r="D89" s="713">
        <f>'lokale energieproductie'!C19</f>
        <v>0</v>
      </c>
      <c r="E89" s="713">
        <f>'lokale energieproductie'!D19</f>
        <v>0</v>
      </c>
      <c r="F89" s="713">
        <f>'lokale energieproductie'!E19</f>
        <v>0</v>
      </c>
      <c r="G89" s="713">
        <f>'lokale energieproductie'!F19</f>
        <v>0</v>
      </c>
      <c r="H89" s="713">
        <f>'lokale energieproductie'!G19</f>
        <v>0</v>
      </c>
      <c r="I89" s="713">
        <f>'lokale energieproductie'!I19</f>
        <v>0</v>
      </c>
      <c r="J89" s="713">
        <f>'lokale energieproductie'!J19</f>
        <v>0</v>
      </c>
      <c r="K89" s="713">
        <f>'lokale energieproductie'!M19</f>
        <v>0</v>
      </c>
      <c r="L89" s="713">
        <f>'lokale energieproductie'!N19</f>
        <v>0</v>
      </c>
      <c r="M89" s="713">
        <f>'lokale energieproductie'!H19</f>
        <v>0</v>
      </c>
      <c r="N89" s="713">
        <f>'lokale energieproductie'!K19</f>
        <v>0</v>
      </c>
      <c r="O89" s="713">
        <f>'lokale energieproductie'!L19</f>
        <v>0</v>
      </c>
      <c r="P89" s="1011"/>
      <c r="Q89" s="794">
        <f>D89*EF_CO2_aardgas+E89*EF_VLgas_CO2+'SEAP template'!F89*EF_stookolie_CO2+EF_bruinkool_CO2*'SEAP template'!G89+'SEAP template'!H89*EF_steenkool_CO2+'EF brandstof'!M4*'SEAP template'!M89+'SEAP template'!O89*EF_anderfossiel_CO2</f>
        <v>0</v>
      </c>
      <c r="R89" s="788">
        <v>0</v>
      </c>
    </row>
    <row r="90" spans="1:19" ht="16.5" thickTop="1" thickBot="1">
      <c r="A90" s="704" t="s">
        <v>109</v>
      </c>
      <c r="B90" s="691">
        <f>SUM(B87:B89)</f>
        <v>0</v>
      </c>
      <c r="C90" s="691">
        <f>SUM(C87:C89)</f>
        <v>0</v>
      </c>
      <c r="D90" s="691">
        <f t="shared" ref="D90:H90" si="12">SUM(D87:D89)</f>
        <v>0</v>
      </c>
      <c r="E90" s="691">
        <f t="shared" si="12"/>
        <v>0</v>
      </c>
      <c r="F90" s="691">
        <f t="shared" si="12"/>
        <v>0</v>
      </c>
      <c r="G90" s="691">
        <f t="shared" si="12"/>
        <v>0</v>
      </c>
      <c r="H90" s="691">
        <f t="shared" si="12"/>
        <v>0</v>
      </c>
      <c r="I90" s="691">
        <f>SUM(I87:I89)</f>
        <v>0</v>
      </c>
      <c r="J90" s="691">
        <f>SUM(J87:J89)</f>
        <v>0</v>
      </c>
      <c r="K90" s="691">
        <f t="shared" ref="K90:L90" si="13">SUM(K87:K89)</f>
        <v>0</v>
      </c>
      <c r="L90" s="691">
        <f t="shared" si="13"/>
        <v>0</v>
      </c>
      <c r="M90" s="691">
        <f>SUM(M87:M89)</f>
        <v>0</v>
      </c>
      <c r="N90" s="691">
        <f>SUM(N87:N89)</f>
        <v>0</v>
      </c>
      <c r="O90" s="691">
        <f>SUM(O87:O89)</f>
        <v>0</v>
      </c>
      <c r="P90" s="691">
        <v>0</v>
      </c>
      <c r="Q90" s="691">
        <f>SUM(Q87:Q89)</f>
        <v>0</v>
      </c>
      <c r="R90" s="800">
        <f>SUM(R87:R89)</f>
        <v>0</v>
      </c>
    </row>
    <row r="91" spans="1:19" ht="15.75" thickTop="1">
      <c r="A91" s="705"/>
      <c r="B91" s="705"/>
      <c r="C91" s="706"/>
      <c r="D91" s="707"/>
      <c r="E91" s="708"/>
      <c r="F91" s="696"/>
      <c r="G91" s="696"/>
      <c r="H91" s="696"/>
      <c r="I91" s="696"/>
      <c r="J91" s="696"/>
      <c r="K91" s="696"/>
      <c r="L91" s="696"/>
      <c r="M91" s="654"/>
      <c r="Q91" s="696"/>
      <c r="R91" s="654"/>
      <c r="S91" s="68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098" t="s">
        <v>544</v>
      </c>
      <c r="B1" s="1099" t="s">
        <v>540</v>
      </c>
      <c r="C1" s="1099"/>
      <c r="D1" s="1099"/>
      <c r="E1" s="1099"/>
      <c r="F1" s="1099"/>
      <c r="G1" s="1099"/>
      <c r="H1" s="1099"/>
      <c r="I1" s="1099"/>
      <c r="J1" s="1099"/>
      <c r="K1" s="1099"/>
      <c r="L1" s="1099"/>
      <c r="M1" s="1099"/>
      <c r="N1" s="1099"/>
      <c r="O1" s="1099"/>
      <c r="P1" s="1100"/>
      <c r="Q1" s="949"/>
    </row>
    <row r="2" spans="1:17">
      <c r="A2" s="1098"/>
      <c r="B2" s="1101" t="s">
        <v>20</v>
      </c>
      <c r="C2" s="1103" t="s">
        <v>189</v>
      </c>
      <c r="D2" s="1105" t="s">
        <v>190</v>
      </c>
      <c r="E2" s="1106"/>
      <c r="F2" s="1106"/>
      <c r="G2" s="1106"/>
      <c r="H2" s="1106"/>
      <c r="I2" s="1106"/>
      <c r="J2" s="1106"/>
      <c r="K2" s="1102"/>
      <c r="L2" s="1105" t="s">
        <v>191</v>
      </c>
      <c r="M2" s="1106"/>
      <c r="N2" s="1106"/>
      <c r="O2" s="1106"/>
      <c r="P2" s="1102"/>
      <c r="Q2" s="949"/>
    </row>
    <row r="3" spans="1:17" ht="45">
      <c r="A3" s="1098"/>
      <c r="B3" s="1102"/>
      <c r="C3" s="1104"/>
      <c r="D3" s="949" t="s">
        <v>192</v>
      </c>
      <c r="E3" s="949" t="s">
        <v>193</v>
      </c>
      <c r="F3" s="949" t="s">
        <v>194</v>
      </c>
      <c r="G3" s="949" t="s">
        <v>195</v>
      </c>
      <c r="H3" s="949" t="s">
        <v>113</v>
      </c>
      <c r="I3" s="949" t="s">
        <v>196</v>
      </c>
      <c r="J3" s="949" t="s">
        <v>197</v>
      </c>
      <c r="K3" s="949" t="s">
        <v>198</v>
      </c>
      <c r="L3" s="949" t="s">
        <v>199</v>
      </c>
      <c r="M3" s="949" t="s">
        <v>200</v>
      </c>
      <c r="N3" s="949" t="s">
        <v>201</v>
      </c>
      <c r="O3" s="949" t="s">
        <v>202</v>
      </c>
      <c r="P3" s="949" t="s">
        <v>203</v>
      </c>
      <c r="Q3" s="949" t="s">
        <v>109</v>
      </c>
    </row>
    <row r="4" spans="1:17">
      <c r="A4" s="444" t="s">
        <v>148</v>
      </c>
      <c r="B4" s="445">
        <f>huishoudens!B8</f>
        <v>59682.605029217455</v>
      </c>
      <c r="C4" s="445">
        <f>huishoudens!C8</f>
        <v>0</v>
      </c>
      <c r="D4" s="445">
        <f>huishoudens!D8</f>
        <v>116980.71734800001</v>
      </c>
      <c r="E4" s="445">
        <f>huishoudens!E8</f>
        <v>2581.4139638753295</v>
      </c>
      <c r="F4" s="445">
        <f>huishoudens!F8</f>
        <v>88115.005557369761</v>
      </c>
      <c r="G4" s="445">
        <f>huishoudens!G8</f>
        <v>0</v>
      </c>
      <c r="H4" s="445">
        <f>huishoudens!H8</f>
        <v>0</v>
      </c>
      <c r="I4" s="445">
        <f>huishoudens!I8</f>
        <v>0</v>
      </c>
      <c r="J4" s="445">
        <f>huishoudens!J8</f>
        <v>1984.1265283077489</v>
      </c>
      <c r="K4" s="445">
        <f>huishoudens!K8</f>
        <v>0</v>
      </c>
      <c r="L4" s="445">
        <f>huishoudens!L8</f>
        <v>0</v>
      </c>
      <c r="M4" s="445">
        <f>huishoudens!M8</f>
        <v>0</v>
      </c>
      <c r="N4" s="445">
        <f>huishoudens!N8</f>
        <v>14981.033662287911</v>
      </c>
      <c r="O4" s="445">
        <f>huishoudens!O8</f>
        <v>276.70999999999998</v>
      </c>
      <c r="P4" s="446">
        <f>huishoudens!P8</f>
        <v>324.13333333333333</v>
      </c>
      <c r="Q4" s="447">
        <f>SUM(B4:P4)</f>
        <v>284925.74542239157</v>
      </c>
    </row>
    <row r="5" spans="1:17">
      <c r="A5" s="444" t="s">
        <v>149</v>
      </c>
      <c r="B5" s="445">
        <f ca="1">tertiair!B16</f>
        <v>39079.271999999997</v>
      </c>
      <c r="C5" s="445">
        <f ca="1">tertiair!C16</f>
        <v>0</v>
      </c>
      <c r="D5" s="445">
        <f ca="1">tertiair!D16</f>
        <v>41913.924030000002</v>
      </c>
      <c r="E5" s="445">
        <f>tertiair!E16</f>
        <v>919.58701771230483</v>
      </c>
      <c r="F5" s="445">
        <f ca="1">tertiair!F16</f>
        <v>8235.920957124792</v>
      </c>
      <c r="G5" s="445">
        <f>tertiair!G16</f>
        <v>0</v>
      </c>
      <c r="H5" s="445">
        <f>tertiair!H16</f>
        <v>0</v>
      </c>
      <c r="I5" s="445">
        <f>tertiair!I16</f>
        <v>0</v>
      </c>
      <c r="J5" s="445">
        <f>tertiair!J16</f>
        <v>0</v>
      </c>
      <c r="K5" s="445">
        <f>tertiair!K16</f>
        <v>0</v>
      </c>
      <c r="L5" s="445">
        <f ca="1">tertiair!L16</f>
        <v>0</v>
      </c>
      <c r="M5" s="445">
        <f>tertiair!M16</f>
        <v>0</v>
      </c>
      <c r="N5" s="445">
        <f ca="1">tertiair!N16</f>
        <v>1310.425263806728</v>
      </c>
      <c r="O5" s="445">
        <f>tertiair!O16</f>
        <v>0</v>
      </c>
      <c r="P5" s="446">
        <f>tertiair!P16</f>
        <v>0</v>
      </c>
      <c r="Q5" s="444">
        <f t="shared" ref="Q5:Q14" ca="1" si="0">SUM(B5:P5)</f>
        <v>91459.12926864381</v>
      </c>
    </row>
    <row r="6" spans="1:17">
      <c r="A6" s="444" t="s">
        <v>187</v>
      </c>
      <c r="B6" s="445">
        <f>'openbare verlichting'!B8</f>
        <v>2129.3139999999999</v>
      </c>
      <c r="C6" s="445"/>
      <c r="D6" s="445"/>
      <c r="E6" s="445"/>
      <c r="F6" s="445"/>
      <c r="G6" s="445"/>
      <c r="H6" s="445"/>
      <c r="I6" s="445"/>
      <c r="J6" s="445"/>
      <c r="K6" s="445"/>
      <c r="L6" s="445"/>
      <c r="M6" s="445"/>
      <c r="N6" s="445"/>
      <c r="O6" s="445"/>
      <c r="P6" s="446"/>
      <c r="Q6" s="444">
        <f t="shared" si="0"/>
        <v>2129.3139999999999</v>
      </c>
    </row>
    <row r="7" spans="1:17">
      <c r="A7" s="444" t="s">
        <v>105</v>
      </c>
      <c r="B7" s="445">
        <f>landbouw!B8</f>
        <v>2004.954</v>
      </c>
      <c r="C7" s="445">
        <f>landbouw!C8</f>
        <v>0</v>
      </c>
      <c r="D7" s="445">
        <f>landbouw!D8</f>
        <v>99.208274000000003</v>
      </c>
      <c r="E7" s="445">
        <f>landbouw!E8</f>
        <v>18.067179602397474</v>
      </c>
      <c r="F7" s="445">
        <f>landbouw!F8</f>
        <v>7512.6237870721261</v>
      </c>
      <c r="G7" s="445">
        <f>landbouw!G8</f>
        <v>0</v>
      </c>
      <c r="H7" s="445">
        <f>landbouw!H8</f>
        <v>0</v>
      </c>
      <c r="I7" s="445">
        <f>landbouw!I8</f>
        <v>0</v>
      </c>
      <c r="J7" s="445">
        <f>landbouw!J8</f>
        <v>202.89305254180297</v>
      </c>
      <c r="K7" s="445">
        <f>landbouw!K8</f>
        <v>0</v>
      </c>
      <c r="L7" s="445">
        <f>landbouw!L8</f>
        <v>0</v>
      </c>
      <c r="M7" s="445">
        <f>landbouw!M8</f>
        <v>0</v>
      </c>
      <c r="N7" s="445">
        <f>landbouw!N8</f>
        <v>0</v>
      </c>
      <c r="O7" s="445">
        <f>landbouw!O8</f>
        <v>0</v>
      </c>
      <c r="P7" s="446">
        <f>landbouw!P8</f>
        <v>0</v>
      </c>
      <c r="Q7" s="444">
        <f t="shared" si="0"/>
        <v>9837.7462932163271</v>
      </c>
    </row>
    <row r="8" spans="1:17">
      <c r="A8" s="444" t="s">
        <v>613</v>
      </c>
      <c r="B8" s="445">
        <f>industrie!B18</f>
        <v>70383.042000000001</v>
      </c>
      <c r="C8" s="445">
        <f>industrie!C18</f>
        <v>0</v>
      </c>
      <c r="D8" s="445">
        <f>industrie!D18</f>
        <v>128844.030612</v>
      </c>
      <c r="E8" s="445">
        <f>industrie!E18</f>
        <v>807.27773797258669</v>
      </c>
      <c r="F8" s="445">
        <f>industrie!F18</f>
        <v>20859.496496055057</v>
      </c>
      <c r="G8" s="445">
        <f>industrie!G18</f>
        <v>0</v>
      </c>
      <c r="H8" s="445">
        <f>industrie!H18</f>
        <v>0</v>
      </c>
      <c r="I8" s="445">
        <f>industrie!I18</f>
        <v>0</v>
      </c>
      <c r="J8" s="445">
        <f>industrie!J18</f>
        <v>646.1099726919349</v>
      </c>
      <c r="K8" s="445">
        <f>industrie!K18</f>
        <v>0</v>
      </c>
      <c r="L8" s="445">
        <f>industrie!L18</f>
        <v>0</v>
      </c>
      <c r="M8" s="445">
        <f>industrie!M18</f>
        <v>0</v>
      </c>
      <c r="N8" s="445">
        <f>industrie!N18</f>
        <v>1623.8575029886645</v>
      </c>
      <c r="O8" s="445">
        <f>industrie!O18</f>
        <v>0</v>
      </c>
      <c r="P8" s="446">
        <f>industrie!P18</f>
        <v>0</v>
      </c>
      <c r="Q8" s="444">
        <f t="shared" si="0"/>
        <v>223163.81432170825</v>
      </c>
    </row>
    <row r="9" spans="1:17" s="450" customFormat="1">
      <c r="A9" s="448" t="s">
        <v>555</v>
      </c>
      <c r="B9" s="449">
        <f>transport!B14</f>
        <v>1.8525649040404168</v>
      </c>
      <c r="C9" s="449">
        <f>transport!C14</f>
        <v>0</v>
      </c>
      <c r="D9" s="449">
        <f>transport!D14</f>
        <v>6.6517050662340962</v>
      </c>
      <c r="E9" s="449">
        <f>transport!E14</f>
        <v>675.25074360091548</v>
      </c>
      <c r="F9" s="449">
        <f>transport!F14</f>
        <v>0</v>
      </c>
      <c r="G9" s="449">
        <f>transport!G14</f>
        <v>124420.69675733005</v>
      </c>
      <c r="H9" s="449">
        <f>transport!H14</f>
        <v>22667.927527656328</v>
      </c>
      <c r="I9" s="449">
        <f>transport!I14</f>
        <v>0</v>
      </c>
      <c r="J9" s="449">
        <f>transport!J14</f>
        <v>0</v>
      </c>
      <c r="K9" s="449">
        <f>transport!K14</f>
        <v>0</v>
      </c>
      <c r="L9" s="449">
        <f>transport!L14</f>
        <v>0</v>
      </c>
      <c r="M9" s="449">
        <f>transport!M14</f>
        <v>6403.2340465011812</v>
      </c>
      <c r="N9" s="449">
        <f>transport!N14</f>
        <v>0</v>
      </c>
      <c r="O9" s="449">
        <f>transport!O14</f>
        <v>0</v>
      </c>
      <c r="P9" s="449">
        <f>transport!P14</f>
        <v>0</v>
      </c>
      <c r="Q9" s="448">
        <f>SUM(B9:P9)</f>
        <v>154175.61334505878</v>
      </c>
    </row>
    <row r="10" spans="1:17">
      <c r="A10" s="444" t="s">
        <v>545</v>
      </c>
      <c r="B10" s="445">
        <f>transport!B54</f>
        <v>19.260823283954977</v>
      </c>
      <c r="C10" s="445">
        <f>transport!C54</f>
        <v>0</v>
      </c>
      <c r="D10" s="445">
        <f>transport!D54</f>
        <v>0</v>
      </c>
      <c r="E10" s="445">
        <f>transport!E54</f>
        <v>0</v>
      </c>
      <c r="F10" s="445">
        <f>transport!F54</f>
        <v>0</v>
      </c>
      <c r="G10" s="445">
        <f>transport!G54</f>
        <v>4178.4422355164734</v>
      </c>
      <c r="H10" s="445">
        <f>transport!H54</f>
        <v>0</v>
      </c>
      <c r="I10" s="445">
        <f>transport!I54</f>
        <v>0</v>
      </c>
      <c r="J10" s="445">
        <f>transport!J54</f>
        <v>0</v>
      </c>
      <c r="K10" s="445">
        <f>transport!K54</f>
        <v>0</v>
      </c>
      <c r="L10" s="445">
        <f>transport!L54</f>
        <v>0</v>
      </c>
      <c r="M10" s="445">
        <f>transport!M54</f>
        <v>178.90484608764078</v>
      </c>
      <c r="N10" s="445">
        <f>transport!N54</f>
        <v>0</v>
      </c>
      <c r="O10" s="445">
        <f>transport!O54</f>
        <v>0</v>
      </c>
      <c r="P10" s="446">
        <f>transport!P54</f>
        <v>0</v>
      </c>
      <c r="Q10" s="444">
        <f t="shared" si="0"/>
        <v>4376.6079048880692</v>
      </c>
    </row>
    <row r="11" spans="1:17">
      <c r="A11" s="444" t="s">
        <v>546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868</v>
      </c>
      <c r="B14" s="452">
        <f>'SEAP template'!C25</f>
        <v>4087.8690000000001</v>
      </c>
      <c r="C14" s="452"/>
      <c r="D14" s="452">
        <f>'SEAP template'!E25</f>
        <v>4480.0969999999998</v>
      </c>
      <c r="E14" s="452"/>
      <c r="F14" s="452"/>
      <c r="G14" s="452"/>
      <c r="H14" s="452"/>
      <c r="I14" s="452"/>
      <c r="J14" s="452"/>
      <c r="K14" s="452"/>
      <c r="L14" s="452"/>
      <c r="M14" s="452"/>
      <c r="N14" s="452"/>
      <c r="O14" s="452"/>
      <c r="P14" s="453"/>
      <c r="Q14" s="444">
        <f t="shared" si="0"/>
        <v>8567.9660000000003</v>
      </c>
    </row>
    <row r="15" spans="1:17" s="457" customFormat="1">
      <c r="A15" s="454" t="s">
        <v>549</v>
      </c>
      <c r="B15" s="455">
        <f ca="1">SUM(B4:B14)</f>
        <v>177388.16941740547</v>
      </c>
      <c r="C15" s="455">
        <f t="shared" ref="C15:Q15" ca="1" si="1">SUM(C4:C14)</f>
        <v>0</v>
      </c>
      <c r="D15" s="455">
        <f t="shared" ca="1" si="1"/>
        <v>292324.62896906625</v>
      </c>
      <c r="E15" s="455">
        <f t="shared" si="1"/>
        <v>5001.596642763534</v>
      </c>
      <c r="F15" s="455">
        <f t="shared" ca="1" si="1"/>
        <v>124723.04679762173</v>
      </c>
      <c r="G15" s="455">
        <f t="shared" si="1"/>
        <v>128599.13899284652</v>
      </c>
      <c r="H15" s="455">
        <f t="shared" si="1"/>
        <v>22667.927527656328</v>
      </c>
      <c r="I15" s="455">
        <f t="shared" si="1"/>
        <v>0</v>
      </c>
      <c r="J15" s="455">
        <f t="shared" si="1"/>
        <v>2833.1295535414865</v>
      </c>
      <c r="K15" s="455">
        <f t="shared" si="1"/>
        <v>0</v>
      </c>
      <c r="L15" s="455">
        <f t="shared" ca="1" si="1"/>
        <v>0</v>
      </c>
      <c r="M15" s="455">
        <f t="shared" si="1"/>
        <v>6582.1388925888223</v>
      </c>
      <c r="N15" s="455">
        <f t="shared" ca="1" si="1"/>
        <v>17915.316429083305</v>
      </c>
      <c r="O15" s="455">
        <f t="shared" si="1"/>
        <v>276.70999999999998</v>
      </c>
      <c r="P15" s="455">
        <f t="shared" si="1"/>
        <v>324.13333333333333</v>
      </c>
      <c r="Q15" s="455">
        <f t="shared" ca="1" si="1"/>
        <v>778635.93655590678</v>
      </c>
    </row>
    <row r="17" spans="1:17">
      <c r="A17" s="458" t="s">
        <v>550</v>
      </c>
      <c r="B17" s="725">
        <f ca="1">huishoudens!B10</f>
        <v>0.20637942547445917</v>
      </c>
      <c r="C17" s="725">
        <f ca="1">huishoudens!C10</f>
        <v>0</v>
      </c>
      <c r="D17" s="725">
        <f>huishoudens!D10</f>
        <v>0.20200000000000001</v>
      </c>
      <c r="E17" s="725">
        <f>huishoudens!E10</f>
        <v>0.22700000000000001</v>
      </c>
      <c r="F17" s="725">
        <f>huishoudens!F10</f>
        <v>0.26700000000000002</v>
      </c>
      <c r="G17" s="725">
        <f>huishoudens!G10</f>
        <v>0.26700000000000002</v>
      </c>
      <c r="H17" s="725">
        <f>huishoudens!H10</f>
        <v>0.249</v>
      </c>
      <c r="I17" s="725">
        <f>huishoudens!I10</f>
        <v>0.35099999999999998</v>
      </c>
      <c r="J17" s="725">
        <f>huishoudens!J10</f>
        <v>0.35399999999999998</v>
      </c>
      <c r="K17" s="725">
        <f>huishoudens!K10</f>
        <v>0.26400000000000001</v>
      </c>
      <c r="L17" s="725">
        <f>huishoudens!L10</f>
        <v>0</v>
      </c>
      <c r="M17" s="725">
        <f>huishoudens!M10</f>
        <v>0</v>
      </c>
      <c r="N17" s="725">
        <f>huishoudens!N10</f>
        <v>0</v>
      </c>
      <c r="O17" s="725">
        <f>huishoudens!O10</f>
        <v>0</v>
      </c>
      <c r="P17" s="725">
        <f>huishoudens!P10</f>
        <v>0</v>
      </c>
    </row>
    <row r="18" spans="1:17" ht="15.75" customHeight="1"/>
    <row r="19" spans="1:17" ht="15" customHeight="1">
      <c r="A19" s="1098" t="s">
        <v>552</v>
      </c>
      <c r="B19" s="1099" t="s">
        <v>551</v>
      </c>
      <c r="C19" s="1099"/>
      <c r="D19" s="1099"/>
      <c r="E19" s="1099"/>
      <c r="F19" s="1099"/>
      <c r="G19" s="1099"/>
      <c r="H19" s="1099"/>
      <c r="I19" s="1099"/>
      <c r="J19" s="1099"/>
      <c r="K19" s="1099"/>
      <c r="L19" s="1099"/>
      <c r="M19" s="1099"/>
      <c r="N19" s="1099"/>
      <c r="O19" s="1099"/>
      <c r="P19" s="1100"/>
      <c r="Q19" s="949"/>
    </row>
    <row r="20" spans="1:17" ht="15" customHeight="1">
      <c r="A20" s="1098"/>
      <c r="B20" s="1101" t="s">
        <v>20</v>
      </c>
      <c r="C20" s="1103" t="s">
        <v>189</v>
      </c>
      <c r="D20" s="1105" t="s">
        <v>190</v>
      </c>
      <c r="E20" s="1106"/>
      <c r="F20" s="1106"/>
      <c r="G20" s="1106"/>
      <c r="H20" s="1106"/>
      <c r="I20" s="1106"/>
      <c r="J20" s="1106"/>
      <c r="K20" s="1102"/>
      <c r="L20" s="1105" t="s">
        <v>191</v>
      </c>
      <c r="M20" s="1106"/>
      <c r="N20" s="1106"/>
      <c r="O20" s="1106"/>
      <c r="P20" s="1102"/>
      <c r="Q20" s="949"/>
    </row>
    <row r="21" spans="1:17" ht="45">
      <c r="A21" s="1098"/>
      <c r="B21" s="1102"/>
      <c r="C21" s="1104"/>
      <c r="D21" s="949" t="s">
        <v>192</v>
      </c>
      <c r="E21" s="949" t="s">
        <v>193</v>
      </c>
      <c r="F21" s="949" t="s">
        <v>194</v>
      </c>
      <c r="G21" s="949" t="s">
        <v>195</v>
      </c>
      <c r="H21" s="949" t="s">
        <v>113</v>
      </c>
      <c r="I21" s="949" t="s">
        <v>196</v>
      </c>
      <c r="J21" s="949" t="s">
        <v>197</v>
      </c>
      <c r="K21" s="949" t="s">
        <v>198</v>
      </c>
      <c r="L21" s="949" t="s">
        <v>199</v>
      </c>
      <c r="M21" s="949" t="s">
        <v>200</v>
      </c>
      <c r="N21" s="949" t="s">
        <v>201</v>
      </c>
      <c r="O21" s="949" t="s">
        <v>202</v>
      </c>
      <c r="P21" s="949" t="s">
        <v>203</v>
      </c>
      <c r="Q21" s="949" t="s">
        <v>109</v>
      </c>
    </row>
    <row r="22" spans="1:17">
      <c r="A22" s="444" t="s">
        <v>148</v>
      </c>
      <c r="B22" s="445">
        <f t="shared" ref="B22:B32" ca="1" si="2">B4*$B$17</f>
        <v>12317.261736748966</v>
      </c>
      <c r="C22" s="445">
        <f t="shared" ref="C22:C32" ca="1" si="3">C4*$C$17</f>
        <v>0</v>
      </c>
      <c r="D22" s="445">
        <f t="shared" ref="D22:D32" si="4">D4*$D$17</f>
        <v>23630.104904296004</v>
      </c>
      <c r="E22" s="445">
        <f t="shared" ref="E22:E32" si="5">E4*$E$17</f>
        <v>585.98096979969978</v>
      </c>
      <c r="F22" s="445">
        <f t="shared" ref="F22:F32" si="6">F4*$F$17</f>
        <v>23526.706483817728</v>
      </c>
      <c r="G22" s="445">
        <f t="shared" ref="G22:G32" si="7">G4*$G$17</f>
        <v>0</v>
      </c>
      <c r="H22" s="445">
        <f t="shared" ref="H22:H32" si="8">H4*$H$17</f>
        <v>0</v>
      </c>
      <c r="I22" s="445">
        <f t="shared" ref="I22:I32" si="9">I4*$I$17</f>
        <v>0</v>
      </c>
      <c r="J22" s="445">
        <f t="shared" ref="J22:J32" si="10">J4*$J$17</f>
        <v>702.38079102094309</v>
      </c>
      <c r="K22" s="445">
        <f t="shared" ref="K22:K32" si="11">K4*$K$17</f>
        <v>0</v>
      </c>
      <c r="L22" s="445">
        <f t="shared" ref="L22:L32" si="12">L4*$L$17</f>
        <v>0</v>
      </c>
      <c r="M22" s="445">
        <f t="shared" ref="M22:M32" si="13">M4*$M$17</f>
        <v>0</v>
      </c>
      <c r="N22" s="445">
        <f t="shared" ref="N22:N32" si="14">N4*$N$17</f>
        <v>0</v>
      </c>
      <c r="O22" s="445">
        <f t="shared" ref="O22:O32" si="15">O4*$O$17</f>
        <v>0</v>
      </c>
      <c r="P22" s="950">
        <f t="shared" ref="P22:P32" si="16">P4*$P$17</f>
        <v>0</v>
      </c>
      <c r="Q22" s="447">
        <f ca="1">SUM(B22:P22)</f>
        <v>60762.434885683339</v>
      </c>
    </row>
    <row r="23" spans="1:17">
      <c r="A23" s="444" t="s">
        <v>149</v>
      </c>
      <c r="B23" s="445">
        <f t="shared" ca="1" si="2"/>
        <v>8065.1577033201183</v>
      </c>
      <c r="C23" s="445">
        <f t="shared" ca="1" si="3"/>
        <v>0</v>
      </c>
      <c r="D23" s="445">
        <f t="shared" ca="1" si="4"/>
        <v>8466.6126540600017</v>
      </c>
      <c r="E23" s="445">
        <f t="shared" si="5"/>
        <v>208.74625302069319</v>
      </c>
      <c r="F23" s="445">
        <f t="shared" ca="1" si="6"/>
        <v>2198.9908955523197</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1" ca="1" si="17">SUM(B23:P23)</f>
        <v>18939.507505953134</v>
      </c>
    </row>
    <row r="24" spans="1:17">
      <c r="A24" s="444" t="s">
        <v>187</v>
      </c>
      <c r="B24" s="445">
        <f t="shared" ca="1" si="2"/>
        <v>439.44659997472252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439.44659997472252</v>
      </c>
    </row>
    <row r="25" spans="1:17">
      <c r="A25" s="444" t="s">
        <v>105</v>
      </c>
      <c r="B25" s="445">
        <f t="shared" ca="1" si="2"/>
        <v>413.78125462271879</v>
      </c>
      <c r="C25" s="445">
        <f t="shared" ca="1" si="3"/>
        <v>0</v>
      </c>
      <c r="D25" s="445">
        <f t="shared" si="4"/>
        <v>20.040071348000001</v>
      </c>
      <c r="E25" s="445">
        <f t="shared" si="5"/>
        <v>4.1012497697442267</v>
      </c>
      <c r="F25" s="445">
        <f t="shared" si="6"/>
        <v>2005.8705511482578</v>
      </c>
      <c r="G25" s="445">
        <f t="shared" si="7"/>
        <v>0</v>
      </c>
      <c r="H25" s="445">
        <f t="shared" si="8"/>
        <v>0</v>
      </c>
      <c r="I25" s="445">
        <f t="shared" si="9"/>
        <v>0</v>
      </c>
      <c r="J25" s="445">
        <f t="shared" si="10"/>
        <v>71.824140599798255</v>
      </c>
      <c r="K25" s="445">
        <f t="shared" si="11"/>
        <v>0</v>
      </c>
      <c r="L25" s="445">
        <f t="shared" si="12"/>
        <v>0</v>
      </c>
      <c r="M25" s="445">
        <f t="shared" si="13"/>
        <v>0</v>
      </c>
      <c r="N25" s="445">
        <f t="shared" si="14"/>
        <v>0</v>
      </c>
      <c r="O25" s="445">
        <f t="shared" si="15"/>
        <v>0</v>
      </c>
      <c r="P25" s="446">
        <f t="shared" si="16"/>
        <v>0</v>
      </c>
      <c r="Q25" s="444">
        <f t="shared" ca="1" si="17"/>
        <v>2515.6172674885192</v>
      </c>
    </row>
    <row r="26" spans="1:17">
      <c r="A26" s="444" t="s">
        <v>613</v>
      </c>
      <c r="B26" s="445">
        <f t="shared" ca="1" si="2"/>
        <v>14525.61177110473</v>
      </c>
      <c r="C26" s="445">
        <f t="shared" ca="1" si="3"/>
        <v>0</v>
      </c>
      <c r="D26" s="445">
        <f t="shared" si="4"/>
        <v>26026.494183624003</v>
      </c>
      <c r="E26" s="445">
        <f t="shared" si="5"/>
        <v>183.2520465197772</v>
      </c>
      <c r="F26" s="445">
        <f t="shared" si="6"/>
        <v>5569.4855644467007</v>
      </c>
      <c r="G26" s="445">
        <f t="shared" si="7"/>
        <v>0</v>
      </c>
      <c r="H26" s="445">
        <f t="shared" si="8"/>
        <v>0</v>
      </c>
      <c r="I26" s="445">
        <f t="shared" si="9"/>
        <v>0</v>
      </c>
      <c r="J26" s="445">
        <f t="shared" si="10"/>
        <v>228.72293033294494</v>
      </c>
      <c r="K26" s="445">
        <f t="shared" si="11"/>
        <v>0</v>
      </c>
      <c r="L26" s="445">
        <f t="shared" si="12"/>
        <v>0</v>
      </c>
      <c r="M26" s="445">
        <f t="shared" si="13"/>
        <v>0</v>
      </c>
      <c r="N26" s="445">
        <f t="shared" si="14"/>
        <v>0</v>
      </c>
      <c r="O26" s="445">
        <f t="shared" si="15"/>
        <v>0</v>
      </c>
      <c r="P26" s="446">
        <f t="shared" si="16"/>
        <v>0</v>
      </c>
      <c r="Q26" s="444">
        <f t="shared" ca="1" si="17"/>
        <v>46533.56649602815</v>
      </c>
    </row>
    <row r="27" spans="1:17" s="450" customFormat="1">
      <c r="A27" s="448" t="s">
        <v>555</v>
      </c>
      <c r="B27" s="719">
        <f t="shared" ca="1" si="2"/>
        <v>0.38233128055000781</v>
      </c>
      <c r="C27" s="449">
        <f t="shared" ca="1" si="3"/>
        <v>0</v>
      </c>
      <c r="D27" s="449">
        <f t="shared" si="4"/>
        <v>1.3436444233792875</v>
      </c>
      <c r="E27" s="449">
        <f t="shared" si="5"/>
        <v>153.28191879740783</v>
      </c>
      <c r="F27" s="449">
        <f t="shared" si="6"/>
        <v>0</v>
      </c>
      <c r="G27" s="449">
        <f t="shared" si="7"/>
        <v>33220.326034207123</v>
      </c>
      <c r="H27" s="449">
        <f t="shared" si="8"/>
        <v>5644.3139543864254</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39019.647883094884</v>
      </c>
    </row>
    <row r="28" spans="1:17">
      <c r="A28" s="444" t="s">
        <v>545</v>
      </c>
      <c r="B28" s="445">
        <f t="shared" ca="1" si="2"/>
        <v>3.9750376435077142</v>
      </c>
      <c r="C28" s="445">
        <f t="shared" ca="1" si="3"/>
        <v>0</v>
      </c>
      <c r="D28" s="445">
        <f t="shared" si="4"/>
        <v>0</v>
      </c>
      <c r="E28" s="445">
        <f t="shared" si="5"/>
        <v>0</v>
      </c>
      <c r="F28" s="445">
        <f t="shared" si="6"/>
        <v>0</v>
      </c>
      <c r="G28" s="445">
        <f t="shared" si="7"/>
        <v>1115.6440768828984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1119.6191145264061</v>
      </c>
    </row>
    <row r="29" spans="1:17">
      <c r="A29" s="444" t="s">
        <v>546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868</v>
      </c>
      <c r="B32" s="445">
        <f t="shared" ca="1" si="2"/>
        <v>843.65205563485199</v>
      </c>
      <c r="C32" s="445">
        <f t="shared" ca="1" si="3"/>
        <v>0</v>
      </c>
      <c r="D32" s="445">
        <f t="shared" si="4"/>
        <v>904.97959400000002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1748.631649634852</v>
      </c>
    </row>
    <row r="33" spans="1:17" s="457" customFormat="1">
      <c r="A33" s="454" t="s">
        <v>549</v>
      </c>
      <c r="B33" s="455">
        <f ca="1">SUM(B22:B32)</f>
        <v>36609.268490330171</v>
      </c>
      <c r="C33" s="455">
        <f t="shared" ref="C33:Q33" ca="1" si="19">SUM(C22:C32)</f>
        <v>0</v>
      </c>
      <c r="D33" s="455">
        <f t="shared" ca="1" si="19"/>
        <v>59049.575051751388</v>
      </c>
      <c r="E33" s="455">
        <f t="shared" si="19"/>
        <v>1135.3624379073221</v>
      </c>
      <c r="F33" s="455">
        <f t="shared" ca="1" si="19"/>
        <v>33301.05349496501</v>
      </c>
      <c r="G33" s="455">
        <f t="shared" si="19"/>
        <v>34335.970111090021</v>
      </c>
      <c r="H33" s="455">
        <f t="shared" si="19"/>
        <v>5644.3139543864254</v>
      </c>
      <c r="I33" s="455">
        <f t="shared" si="19"/>
        <v>0</v>
      </c>
      <c r="J33" s="455">
        <f t="shared" si="19"/>
        <v>1002.9278619536863</v>
      </c>
      <c r="K33" s="455">
        <f t="shared" si="19"/>
        <v>0</v>
      </c>
      <c r="L33" s="455">
        <f t="shared" ca="1" si="19"/>
        <v>0</v>
      </c>
      <c r="M33" s="455">
        <f t="shared" si="19"/>
        <v>0</v>
      </c>
      <c r="N33" s="455">
        <f t="shared" ca="1" si="19"/>
        <v>0</v>
      </c>
      <c r="O33" s="455">
        <f t="shared" si="19"/>
        <v>0</v>
      </c>
      <c r="P33" s="455">
        <f t="shared" si="19"/>
        <v>0</v>
      </c>
      <c r="Q33" s="455">
        <f t="shared" ca="1" si="19"/>
        <v>171078.47140238399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codeName="Sheet24">
    <tabColor theme="6"/>
  </sheetPr>
  <dimension ref="A1:Q20"/>
  <sheetViews>
    <sheetView topLeftCell="A3" zoomScale="55" zoomScaleNormal="55" workbookViewId="0">
      <selection activeCell="J6" sqref="J6"/>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854" customFormat="1" ht="21">
      <c r="A1" s="1107" t="s">
        <v>544</v>
      </c>
      <c r="B1" s="1108" t="s">
        <v>823</v>
      </c>
      <c r="C1" s="1108"/>
      <c r="D1" s="1108"/>
      <c r="E1" s="1108"/>
      <c r="F1" s="1108"/>
      <c r="G1" s="1108"/>
      <c r="H1" s="1108"/>
      <c r="I1" s="1108"/>
      <c r="J1" s="1108"/>
      <c r="K1" s="1108"/>
      <c r="L1" s="1108"/>
      <c r="M1" s="1108"/>
      <c r="N1" s="1108"/>
      <c r="O1" s="1108"/>
      <c r="P1" s="1109"/>
      <c r="Q1" s="884"/>
    </row>
    <row r="2" spans="1:17" s="854" customFormat="1" ht="21">
      <c r="A2" s="1107"/>
      <c r="B2" s="1110" t="s">
        <v>20</v>
      </c>
      <c r="C2" s="1112" t="s">
        <v>189</v>
      </c>
      <c r="D2" s="1114" t="s">
        <v>190</v>
      </c>
      <c r="E2" s="1115"/>
      <c r="F2" s="1115"/>
      <c r="G2" s="1115"/>
      <c r="H2" s="1115"/>
      <c r="I2" s="1115"/>
      <c r="J2" s="1115"/>
      <c r="K2" s="1111"/>
      <c r="L2" s="1114" t="s">
        <v>191</v>
      </c>
      <c r="M2" s="1115"/>
      <c r="N2" s="1115"/>
      <c r="O2" s="1115"/>
      <c r="P2" s="1111"/>
      <c r="Q2" s="884"/>
    </row>
    <row r="3" spans="1:17" s="854" customFormat="1" ht="42">
      <c r="A3" s="1107"/>
      <c r="B3" s="1111"/>
      <c r="C3" s="1113"/>
      <c r="D3" s="867" t="s">
        <v>192</v>
      </c>
      <c r="E3" s="867" t="s">
        <v>193</v>
      </c>
      <c r="F3" s="867" t="s">
        <v>194</v>
      </c>
      <c r="G3" s="867" t="s">
        <v>195</v>
      </c>
      <c r="H3" s="867" t="s">
        <v>113</v>
      </c>
      <c r="I3" s="867" t="s">
        <v>196</v>
      </c>
      <c r="J3" s="867" t="s">
        <v>197</v>
      </c>
      <c r="K3" s="867" t="s">
        <v>198</v>
      </c>
      <c r="L3" s="867" t="s">
        <v>199</v>
      </c>
      <c r="M3" s="867" t="s">
        <v>200</v>
      </c>
      <c r="N3" s="867" t="s">
        <v>201</v>
      </c>
      <c r="O3" s="867" t="s">
        <v>202</v>
      </c>
      <c r="P3" s="867" t="s">
        <v>203</v>
      </c>
      <c r="Q3" s="884" t="s">
        <v>109</v>
      </c>
    </row>
    <row r="4" spans="1:17" ht="124.35" customHeight="1">
      <c r="A4" s="871" t="s">
        <v>148</v>
      </c>
      <c r="B4" s="890" t="s">
        <v>824</v>
      </c>
      <c r="C4" s="891" t="s">
        <v>825</v>
      </c>
      <c r="D4" s="892" t="s">
        <v>826</v>
      </c>
      <c r="E4" s="893" t="s">
        <v>827</v>
      </c>
      <c r="F4" s="893" t="s">
        <v>828</v>
      </c>
      <c r="G4" s="894" t="s">
        <v>831</v>
      </c>
      <c r="H4" s="894" t="s">
        <v>831</v>
      </c>
      <c r="I4" s="894" t="s">
        <v>831</v>
      </c>
      <c r="J4" s="893" t="s">
        <v>830</v>
      </c>
      <c r="K4" s="894" t="s">
        <v>831</v>
      </c>
      <c r="L4" s="894" t="s">
        <v>831</v>
      </c>
      <c r="M4" s="894" t="s">
        <v>831</v>
      </c>
      <c r="N4" s="893" t="s">
        <v>832</v>
      </c>
      <c r="O4" s="895" t="s">
        <v>833</v>
      </c>
      <c r="P4" s="896" t="s">
        <v>834</v>
      </c>
      <c r="Q4" s="897"/>
    </row>
    <row r="5" spans="1:17" ht="124.35" customHeight="1">
      <c r="A5" s="872" t="s">
        <v>149</v>
      </c>
      <c r="B5" s="873" t="s">
        <v>835</v>
      </c>
      <c r="C5" s="874" t="s">
        <v>836</v>
      </c>
      <c r="D5" s="874" t="s">
        <v>837</v>
      </c>
      <c r="E5" s="875" t="s">
        <v>838</v>
      </c>
      <c r="F5" s="875" t="s">
        <v>839</v>
      </c>
      <c r="G5" s="876" t="s">
        <v>831</v>
      </c>
      <c r="H5" s="876" t="s">
        <v>831</v>
      </c>
      <c r="I5" s="876" t="s">
        <v>831</v>
      </c>
      <c r="J5" s="875" t="s">
        <v>840</v>
      </c>
      <c r="K5" s="894" t="s">
        <v>831</v>
      </c>
      <c r="L5" s="876" t="s">
        <v>831</v>
      </c>
      <c r="M5" s="876" t="s">
        <v>831</v>
      </c>
      <c r="N5" s="875" t="s">
        <v>841</v>
      </c>
      <c r="O5" s="877" t="s">
        <v>833</v>
      </c>
      <c r="P5" s="885" t="s">
        <v>834</v>
      </c>
      <c r="Q5" s="868"/>
    </row>
    <row r="6" spans="1:17" ht="124.35" customHeight="1">
      <c r="A6" s="872" t="s">
        <v>187</v>
      </c>
      <c r="B6" s="878" t="s">
        <v>842</v>
      </c>
      <c r="C6" s="879" t="s">
        <v>829</v>
      </c>
      <c r="D6" s="876" t="s">
        <v>829</v>
      </c>
      <c r="E6" s="876" t="s">
        <v>829</v>
      </c>
      <c r="F6" s="876" t="s">
        <v>829</v>
      </c>
      <c r="G6" s="876" t="s">
        <v>829</v>
      </c>
      <c r="H6" s="876" t="s">
        <v>829</v>
      </c>
      <c r="I6" s="876" t="s">
        <v>829</v>
      </c>
      <c r="J6" s="876" t="s">
        <v>829</v>
      </c>
      <c r="K6" s="876" t="s">
        <v>829</v>
      </c>
      <c r="L6" s="876" t="s">
        <v>829</v>
      </c>
      <c r="M6" s="876" t="s">
        <v>829</v>
      </c>
      <c r="N6" s="876" t="s">
        <v>829</v>
      </c>
      <c r="O6" s="880" t="s">
        <v>829</v>
      </c>
      <c r="P6" s="886" t="s">
        <v>829</v>
      </c>
      <c r="Q6" s="869"/>
    </row>
    <row r="7" spans="1:17" ht="124.35" customHeight="1">
      <c r="A7" s="872" t="s">
        <v>105</v>
      </c>
      <c r="B7" s="878" t="s">
        <v>842</v>
      </c>
      <c r="C7" s="874" t="s">
        <v>836</v>
      </c>
      <c r="D7" s="874" t="s">
        <v>837</v>
      </c>
      <c r="E7" s="875" t="s">
        <v>838</v>
      </c>
      <c r="F7" s="875" t="s">
        <v>839</v>
      </c>
      <c r="G7" s="876" t="s">
        <v>831</v>
      </c>
      <c r="H7" s="876" t="s">
        <v>831</v>
      </c>
      <c r="I7" s="876" t="s">
        <v>831</v>
      </c>
      <c r="J7" s="875" t="s">
        <v>840</v>
      </c>
      <c r="K7" s="876" t="s">
        <v>831</v>
      </c>
      <c r="L7" s="876" t="s">
        <v>831</v>
      </c>
      <c r="M7" s="876" t="s">
        <v>831</v>
      </c>
      <c r="N7" s="881" t="s">
        <v>831</v>
      </c>
      <c r="O7" s="879" t="s">
        <v>831</v>
      </c>
      <c r="P7" s="887" t="s">
        <v>831</v>
      </c>
      <c r="Q7" s="868"/>
    </row>
    <row r="8" spans="1:17" ht="124.35" customHeight="1">
      <c r="A8" s="872" t="s">
        <v>613</v>
      </c>
      <c r="B8" s="873" t="s">
        <v>843</v>
      </c>
      <c r="C8" s="874" t="s">
        <v>836</v>
      </c>
      <c r="D8" s="874" t="s">
        <v>837</v>
      </c>
      <c r="E8" s="875" t="s">
        <v>838</v>
      </c>
      <c r="F8" s="875" t="s">
        <v>839</v>
      </c>
      <c r="G8" s="876" t="s">
        <v>831</v>
      </c>
      <c r="H8" s="876" t="s">
        <v>831</v>
      </c>
      <c r="I8" s="876" t="s">
        <v>831</v>
      </c>
      <c r="J8" s="875" t="s">
        <v>840</v>
      </c>
      <c r="K8" s="894" t="s">
        <v>831</v>
      </c>
      <c r="L8" s="876" t="s">
        <v>831</v>
      </c>
      <c r="M8" s="876" t="s">
        <v>831</v>
      </c>
      <c r="N8" s="875" t="s">
        <v>841</v>
      </c>
      <c r="O8" s="877" t="s">
        <v>833</v>
      </c>
      <c r="P8" s="885" t="s">
        <v>834</v>
      </c>
      <c r="Q8" s="868"/>
    </row>
    <row r="9" spans="1:17" s="450" customFormat="1" ht="124.35" customHeight="1">
      <c r="A9" s="882" t="s">
        <v>555</v>
      </c>
      <c r="B9" s="875" t="s">
        <v>844</v>
      </c>
      <c r="C9" s="880" t="s">
        <v>829</v>
      </c>
      <c r="D9" s="875" t="s">
        <v>845</v>
      </c>
      <c r="E9" s="875" t="s">
        <v>846</v>
      </c>
      <c r="F9" s="876" t="s">
        <v>829</v>
      </c>
      <c r="G9" s="875" t="s">
        <v>847</v>
      </c>
      <c r="H9" s="875" t="s">
        <v>848</v>
      </c>
      <c r="I9" s="876" t="s">
        <v>829</v>
      </c>
      <c r="J9" s="876" t="s">
        <v>829</v>
      </c>
      <c r="K9" s="876" t="s">
        <v>829</v>
      </c>
      <c r="L9" s="876" t="s">
        <v>829</v>
      </c>
      <c r="M9" s="875" t="s">
        <v>844</v>
      </c>
      <c r="N9" s="876" t="s">
        <v>829</v>
      </c>
      <c r="O9" s="876" t="s">
        <v>829</v>
      </c>
      <c r="P9" s="888" t="s">
        <v>829</v>
      </c>
      <c r="Q9" s="870"/>
    </row>
    <row r="10" spans="1:17" ht="124.35" customHeight="1">
      <c r="A10" s="872" t="s">
        <v>545</v>
      </c>
      <c r="B10" s="873" t="s">
        <v>858</v>
      </c>
      <c r="C10" s="880" t="s">
        <v>829</v>
      </c>
      <c r="D10" s="880" t="s">
        <v>829</v>
      </c>
      <c r="E10" s="880" t="s">
        <v>829</v>
      </c>
      <c r="F10" s="876" t="s">
        <v>829</v>
      </c>
      <c r="G10" s="873" t="s">
        <v>849</v>
      </c>
      <c r="H10" s="876" t="s">
        <v>829</v>
      </c>
      <c r="I10" s="876" t="s">
        <v>829</v>
      </c>
      <c r="J10" s="876" t="s">
        <v>829</v>
      </c>
      <c r="K10" s="876" t="s">
        <v>829</v>
      </c>
      <c r="L10" s="876" t="s">
        <v>829</v>
      </c>
      <c r="M10" s="873" t="s">
        <v>850</v>
      </c>
      <c r="N10" s="876" t="s">
        <v>829</v>
      </c>
      <c r="O10" s="876" t="s">
        <v>829</v>
      </c>
      <c r="P10" s="888" t="s">
        <v>829</v>
      </c>
      <c r="Q10" s="868"/>
    </row>
    <row r="11" spans="1:17" ht="21">
      <c r="A11" s="872" t="s">
        <v>546</v>
      </c>
      <c r="B11" s="883" t="s">
        <v>851</v>
      </c>
      <c r="C11" s="883" t="s">
        <v>851</v>
      </c>
      <c r="D11" s="883" t="s">
        <v>851</v>
      </c>
      <c r="E11" s="883" t="s">
        <v>851</v>
      </c>
      <c r="F11" s="883" t="s">
        <v>851</v>
      </c>
      <c r="G11" s="883" t="s">
        <v>851</v>
      </c>
      <c r="H11" s="883" t="s">
        <v>851</v>
      </c>
      <c r="I11" s="883" t="s">
        <v>851</v>
      </c>
      <c r="J11" s="883" t="s">
        <v>851</v>
      </c>
      <c r="K11" s="883" t="s">
        <v>851</v>
      </c>
      <c r="L11" s="883" t="s">
        <v>851</v>
      </c>
      <c r="M11" s="883" t="s">
        <v>851</v>
      </c>
      <c r="N11" s="883" t="s">
        <v>851</v>
      </c>
      <c r="O11" s="883" t="s">
        <v>851</v>
      </c>
      <c r="P11" s="898" t="s">
        <v>851</v>
      </c>
      <c r="Q11" s="899"/>
    </row>
    <row r="12" spans="1:17" ht="21">
      <c r="A12" s="872" t="s">
        <v>547</v>
      </c>
      <c r="B12" s="883" t="s">
        <v>851</v>
      </c>
      <c r="C12" s="883" t="s">
        <v>829</v>
      </c>
      <c r="D12" s="883" t="s">
        <v>829</v>
      </c>
      <c r="E12" s="883" t="s">
        <v>829</v>
      </c>
      <c r="F12" s="883" t="s">
        <v>829</v>
      </c>
      <c r="G12" s="883" t="s">
        <v>829</v>
      </c>
      <c r="H12" s="883" t="s">
        <v>829</v>
      </c>
      <c r="I12" s="883" t="s">
        <v>829</v>
      </c>
      <c r="J12" s="883" t="s">
        <v>829</v>
      </c>
      <c r="K12" s="883" t="s">
        <v>829</v>
      </c>
      <c r="L12" s="883" t="s">
        <v>829</v>
      </c>
      <c r="M12" s="883" t="s">
        <v>829</v>
      </c>
      <c r="N12" s="883" t="s">
        <v>829</v>
      </c>
      <c r="O12" s="883" t="s">
        <v>829</v>
      </c>
      <c r="P12" s="889" t="s">
        <v>829</v>
      </c>
      <c r="Q12" s="446"/>
    </row>
    <row r="13" spans="1:17" ht="21">
      <c r="A13" s="872" t="s">
        <v>548</v>
      </c>
      <c r="B13" s="883" t="s">
        <v>851</v>
      </c>
      <c r="C13" s="883" t="s">
        <v>829</v>
      </c>
      <c r="D13" s="883" t="s">
        <v>851</v>
      </c>
      <c r="E13" s="883" t="s">
        <v>851</v>
      </c>
      <c r="F13" s="883" t="s">
        <v>829</v>
      </c>
      <c r="G13" s="883" t="s">
        <v>851</v>
      </c>
      <c r="H13" s="883" t="s">
        <v>851</v>
      </c>
      <c r="I13" s="883" t="s">
        <v>829</v>
      </c>
      <c r="J13" s="883" t="s">
        <v>829</v>
      </c>
      <c r="K13" s="883" t="s">
        <v>829</v>
      </c>
      <c r="L13" s="883" t="s">
        <v>829</v>
      </c>
      <c r="M13" s="883" t="s">
        <v>851</v>
      </c>
      <c r="N13" s="883" t="s">
        <v>829</v>
      </c>
      <c r="O13" s="883" t="s">
        <v>829</v>
      </c>
      <c r="P13" s="898" t="s">
        <v>829</v>
      </c>
      <c r="Q13" s="899"/>
    </row>
    <row r="14" spans="1:17" ht="30">
      <c r="A14" s="855" t="s">
        <v>868</v>
      </c>
      <c r="B14" s="878" t="s">
        <v>867</v>
      </c>
      <c r="C14" s="883" t="s">
        <v>829</v>
      </c>
      <c r="D14" s="878" t="s">
        <v>867</v>
      </c>
      <c r="E14" s="883" t="s">
        <v>829</v>
      </c>
      <c r="F14" s="883" t="s">
        <v>829</v>
      </c>
      <c r="G14" s="883" t="s">
        <v>829</v>
      </c>
      <c r="H14" s="883" t="s">
        <v>829</v>
      </c>
      <c r="I14" s="883" t="s">
        <v>829</v>
      </c>
      <c r="J14" s="883" t="s">
        <v>829</v>
      </c>
      <c r="K14" s="883" t="s">
        <v>829</v>
      </c>
      <c r="L14" s="883" t="s">
        <v>829</v>
      </c>
      <c r="M14" s="883" t="s">
        <v>829</v>
      </c>
      <c r="N14" s="883" t="s">
        <v>829</v>
      </c>
      <c r="O14" s="883" t="s">
        <v>829</v>
      </c>
      <c r="P14" s="898" t="s">
        <v>829</v>
      </c>
      <c r="Q14" s="960"/>
    </row>
    <row r="15" spans="1:17" s="457" customFormat="1" ht="21">
      <c r="A15" s="856" t="s">
        <v>549</v>
      </c>
      <c r="B15" s="455"/>
      <c r="C15" s="455"/>
      <c r="D15" s="455"/>
      <c r="E15" s="455"/>
      <c r="F15" s="455"/>
      <c r="G15" s="455"/>
      <c r="H15" s="455"/>
      <c r="I15" s="455"/>
      <c r="J15" s="455"/>
      <c r="K15" s="455"/>
      <c r="L15" s="455"/>
      <c r="M15" s="857"/>
      <c r="N15" s="455"/>
      <c r="O15" s="455"/>
      <c r="P15" s="456"/>
      <c r="Q15" s="858"/>
    </row>
    <row r="16" spans="1:17">
      <c r="M16" s="859"/>
    </row>
    <row r="17" spans="1:4">
      <c r="B17" s="860">
        <v>1</v>
      </c>
      <c r="C17" s="861">
        <v>2</v>
      </c>
      <c r="D17" s="862">
        <v>3</v>
      </c>
    </row>
    <row r="18" spans="1:4" ht="252">
      <c r="A18" s="863" t="s">
        <v>852</v>
      </c>
      <c r="B18" s="864" t="s">
        <v>853</v>
      </c>
      <c r="C18" s="865" t="s">
        <v>854</v>
      </c>
      <c r="D18" s="866" t="s">
        <v>855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60">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c r="A4" s="962" t="s">
        <v>238</v>
      </c>
      <c r="B4" s="963">
        <f>'SEAP template'!B72</f>
        <v>0</v>
      </c>
      <c r="C4" s="963"/>
      <c r="D4" s="963"/>
      <c r="E4" s="963"/>
      <c r="F4" s="963"/>
      <c r="G4" s="963"/>
      <c r="H4" s="963"/>
      <c r="I4" s="963"/>
      <c r="J4" s="963"/>
      <c r="K4" s="963"/>
      <c r="L4" s="963"/>
      <c r="M4" s="963"/>
      <c r="N4" s="963"/>
      <c r="O4" s="963"/>
      <c r="P4" s="964">
        <f>'SEAP template'!Q72</f>
        <v>0</v>
      </c>
    </row>
    <row r="5" spans="1:16">
      <c r="A5" s="965" t="s">
        <v>239</v>
      </c>
      <c r="B5" s="963">
        <f>'SEAP template'!B73</f>
        <v>0</v>
      </c>
      <c r="C5" s="963"/>
      <c r="D5" s="963"/>
      <c r="E5" s="963"/>
      <c r="F5" s="963"/>
      <c r="G5" s="963"/>
      <c r="H5" s="963"/>
      <c r="I5" s="963"/>
      <c r="J5" s="963"/>
      <c r="K5" s="963"/>
      <c r="L5" s="963"/>
      <c r="M5" s="963"/>
      <c r="N5" s="963"/>
      <c r="O5" s="963"/>
      <c r="P5" s="964">
        <f>'SEAP template'!Q73</f>
        <v>0</v>
      </c>
    </row>
    <row r="6" spans="1:16">
      <c r="A6" s="965" t="s">
        <v>240</v>
      </c>
      <c r="B6" s="963">
        <f>'SEAP template'!B74</f>
        <v>11735.370818626439</v>
      </c>
      <c r="C6" s="963"/>
      <c r="D6" s="963"/>
      <c r="E6" s="963"/>
      <c r="F6" s="963"/>
      <c r="G6" s="963"/>
      <c r="H6" s="963"/>
      <c r="I6" s="963"/>
      <c r="J6" s="963"/>
      <c r="K6" s="963"/>
      <c r="L6" s="963"/>
      <c r="M6" s="963"/>
      <c r="N6" s="963"/>
      <c r="O6" s="963"/>
      <c r="P6" s="964">
        <f>'SEAP template'!Q74</f>
        <v>0</v>
      </c>
    </row>
    <row r="7" spans="1:16">
      <c r="A7" s="965" t="s">
        <v>859</v>
      </c>
      <c r="B7" s="963">
        <f>'SEAP template'!B75</f>
        <v>0</v>
      </c>
      <c r="C7" s="963"/>
      <c r="D7" s="963"/>
      <c r="E7" s="963"/>
      <c r="F7" s="963"/>
      <c r="G7" s="963"/>
      <c r="H7" s="963"/>
      <c r="I7" s="963"/>
      <c r="J7" s="963"/>
      <c r="K7" s="963"/>
      <c r="L7" s="963"/>
      <c r="M7" s="963"/>
      <c r="N7" s="963"/>
      <c r="O7" s="963"/>
      <c r="P7" s="964">
        <f>'SEAP template'!Q75</f>
        <v>0</v>
      </c>
    </row>
    <row r="8" spans="1:16">
      <c r="A8" s="962" t="s">
        <v>241</v>
      </c>
      <c r="B8" s="963">
        <f>'SEAP template'!B76</f>
        <v>0</v>
      </c>
      <c r="C8" s="963">
        <f>'SEAP template'!C76</f>
        <v>0</v>
      </c>
      <c r="D8" s="963">
        <f>'SEAP template'!D76</f>
        <v>0</v>
      </c>
      <c r="E8" s="963">
        <f>'SEAP template'!E76</f>
        <v>0</v>
      </c>
      <c r="F8" s="963">
        <f>'SEAP template'!F76</f>
        <v>0</v>
      </c>
      <c r="G8" s="963">
        <f>'SEAP template'!G76</f>
        <v>0</v>
      </c>
      <c r="H8" s="963">
        <f>'SEAP template'!H76</f>
        <v>0</v>
      </c>
      <c r="I8" s="963">
        <f>'SEAP template'!I76</f>
        <v>0</v>
      </c>
      <c r="J8" s="963">
        <f>'SEAP template'!J76</f>
        <v>0</v>
      </c>
      <c r="K8" s="963">
        <f>'SEAP template'!K76</f>
        <v>0</v>
      </c>
      <c r="L8" s="963">
        <f>'SEAP template'!L76</f>
        <v>0</v>
      </c>
      <c r="M8" s="963">
        <f>'SEAP template'!M76</f>
        <v>0</v>
      </c>
      <c r="N8" s="963">
        <f>'SEAP template'!N76</f>
        <v>0</v>
      </c>
      <c r="O8" s="963">
        <f>'SEAP template'!O76</f>
        <v>0</v>
      </c>
      <c r="P8" s="964">
        <f>'SEAP template'!Q76</f>
        <v>0</v>
      </c>
    </row>
    <row r="9" spans="1:16">
      <c r="A9" s="966" t="s">
        <v>877</v>
      </c>
      <c r="B9" s="963">
        <f>'SEAP template'!B77</f>
        <v>0</v>
      </c>
      <c r="C9" s="963">
        <f>'SEAP template'!C77</f>
        <v>0</v>
      </c>
      <c r="D9" s="963">
        <f>'SEAP template'!D77</f>
        <v>0</v>
      </c>
      <c r="E9" s="963">
        <f>'SEAP template'!E77</f>
        <v>0</v>
      </c>
      <c r="F9" s="963">
        <f>'SEAP template'!F77</f>
        <v>0</v>
      </c>
      <c r="G9" s="963">
        <f>'SEAP template'!G77</f>
        <v>0</v>
      </c>
      <c r="H9" s="963">
        <f>'SEAP template'!H77</f>
        <v>0</v>
      </c>
      <c r="I9" s="963">
        <f>'SEAP template'!I77</f>
        <v>0</v>
      </c>
      <c r="J9" s="963">
        <f>'SEAP template'!J77</f>
        <v>0</v>
      </c>
      <c r="K9" s="963">
        <f>'SEAP template'!K77</f>
        <v>0</v>
      </c>
      <c r="L9" s="963">
        <f>'SEAP template'!L77</f>
        <v>0</v>
      </c>
      <c r="M9" s="963">
        <f>'SEAP template'!M77</f>
        <v>0</v>
      </c>
      <c r="N9" s="963">
        <f>'SEAP template'!N77</f>
        <v>0</v>
      </c>
      <c r="O9" s="963">
        <f>'SEAP template'!O77</f>
        <v>0</v>
      </c>
      <c r="P9" s="964">
        <f>'SEAP template'!Q77</f>
        <v>0</v>
      </c>
    </row>
    <row r="10" spans="1:16">
      <c r="A10" s="965" t="s">
        <v>109</v>
      </c>
      <c r="B10" s="967">
        <f>SUM(B4:B9)</f>
        <v>11735.370818626439</v>
      </c>
      <c r="C10" s="967">
        <f>SUM(C4:C9)</f>
        <v>0</v>
      </c>
      <c r="D10" s="967">
        <f t="shared" ref="D10:H10" si="0">SUM(D8:D9)</f>
        <v>0</v>
      </c>
      <c r="E10" s="967">
        <f t="shared" si="0"/>
        <v>0</v>
      </c>
      <c r="F10" s="967">
        <f t="shared" si="0"/>
        <v>0</v>
      </c>
      <c r="G10" s="967">
        <f t="shared" si="0"/>
        <v>0</v>
      </c>
      <c r="H10" s="967">
        <f t="shared" si="0"/>
        <v>0</v>
      </c>
      <c r="I10" s="967">
        <f>SUM(I8:I9)</f>
        <v>0</v>
      </c>
      <c r="J10" s="967">
        <f>SUM(J8:J9)</f>
        <v>0</v>
      </c>
      <c r="K10" s="967">
        <f t="shared" ref="K10:L10" si="1">SUM(K8:K9)</f>
        <v>0</v>
      </c>
      <c r="L10" s="967">
        <f t="shared" si="1"/>
        <v>0</v>
      </c>
      <c r="M10" s="967">
        <f>SUM(M8:M9)</f>
        <v>0</v>
      </c>
      <c r="N10" s="967">
        <f>SUM(N8:N9)</f>
        <v>0</v>
      </c>
      <c r="O10" s="967">
        <f>SUM(O8:O9)</f>
        <v>0</v>
      </c>
      <c r="P10" s="967">
        <f>SUM(P8:P9)</f>
        <v>0</v>
      </c>
    </row>
    <row r="11" spans="1:16">
      <c r="A11" s="968"/>
      <c r="B11" s="968"/>
      <c r="C11" s="968"/>
      <c r="D11" s="968"/>
      <c r="E11" s="968"/>
      <c r="F11" s="968"/>
      <c r="G11" s="968"/>
      <c r="H11" s="968"/>
      <c r="I11" s="968"/>
      <c r="J11" s="968"/>
      <c r="K11" s="968"/>
      <c r="L11" s="968"/>
      <c r="M11" s="968"/>
      <c r="N11" s="968"/>
      <c r="O11" s="968"/>
      <c r="P11" s="968"/>
    </row>
    <row r="12" spans="1:16">
      <c r="A12" s="458" t="s">
        <v>878</v>
      </c>
      <c r="B12" s="725" t="s">
        <v>879</v>
      </c>
      <c r="C12" s="725">
        <f ca="1">'EF ele_warmte'!B12</f>
        <v>0.20637942547445917</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c r="A17" s="969" t="s">
        <v>241</v>
      </c>
      <c r="B17" s="970">
        <f>'SEAP template'!B87</f>
        <v>0</v>
      </c>
      <c r="C17" s="970">
        <f>'SEAP template'!C87</f>
        <v>0</v>
      </c>
      <c r="D17" s="964">
        <f>'SEAP template'!D87</f>
        <v>0</v>
      </c>
      <c r="E17" s="964">
        <f>'SEAP template'!E87</f>
        <v>0</v>
      </c>
      <c r="F17" s="964">
        <f>'SEAP template'!F87</f>
        <v>0</v>
      </c>
      <c r="G17" s="964">
        <f>'SEAP template'!G87</f>
        <v>0</v>
      </c>
      <c r="H17" s="964">
        <f>'SEAP template'!H87</f>
        <v>0</v>
      </c>
      <c r="I17" s="964">
        <f>'SEAP template'!I87</f>
        <v>0</v>
      </c>
      <c r="J17" s="964">
        <f>'SEAP template'!J87</f>
        <v>0</v>
      </c>
      <c r="K17" s="964">
        <f>'SEAP template'!K87</f>
        <v>0</v>
      </c>
      <c r="L17" s="964">
        <f>'SEAP template'!L87</f>
        <v>0</v>
      </c>
      <c r="M17" s="964">
        <f>'SEAP template'!M87</f>
        <v>0</v>
      </c>
      <c r="N17" s="964">
        <f>'SEAP template'!N87</f>
        <v>0</v>
      </c>
      <c r="O17" s="964">
        <f>'SEAP template'!O87</f>
        <v>0</v>
      </c>
      <c r="P17" s="964">
        <f>'SEAP template'!Q87</f>
        <v>0</v>
      </c>
    </row>
    <row r="18" spans="1:16">
      <c r="A18" s="971" t="s">
        <v>247</v>
      </c>
      <c r="B18" s="970">
        <f>'SEAP template'!B88</f>
        <v>0</v>
      </c>
      <c r="C18" s="970">
        <f>'SEAP template'!C88</f>
        <v>0</v>
      </c>
      <c r="D18" s="964">
        <f>'SEAP template'!D88</f>
        <v>0</v>
      </c>
      <c r="E18" s="964">
        <f>'SEAP template'!E88</f>
        <v>0</v>
      </c>
      <c r="F18" s="964">
        <f>'SEAP template'!F88</f>
        <v>0</v>
      </c>
      <c r="G18" s="964">
        <f>'SEAP template'!G88</f>
        <v>0</v>
      </c>
      <c r="H18" s="964">
        <f>'SEAP template'!H88</f>
        <v>0</v>
      </c>
      <c r="I18" s="964">
        <f>'SEAP template'!I88</f>
        <v>0</v>
      </c>
      <c r="J18" s="964">
        <f>'SEAP template'!J88</f>
        <v>0</v>
      </c>
      <c r="K18" s="964">
        <f>'SEAP template'!K88</f>
        <v>0</v>
      </c>
      <c r="L18" s="964">
        <f>'SEAP template'!L88</f>
        <v>0</v>
      </c>
      <c r="M18" s="964">
        <f>'SEAP template'!M88</f>
        <v>0</v>
      </c>
      <c r="N18" s="964">
        <f>'SEAP template'!N88</f>
        <v>0</v>
      </c>
      <c r="O18" s="964">
        <f>'SEAP template'!O88</f>
        <v>0</v>
      </c>
      <c r="P18" s="964">
        <f>'SEAP template'!Q88</f>
        <v>0</v>
      </c>
    </row>
    <row r="19" spans="1:16">
      <c r="A19" s="966" t="s">
        <v>884</v>
      </c>
      <c r="B19" s="970">
        <f>'SEAP template'!B89</f>
        <v>0</v>
      </c>
      <c r="C19" s="970">
        <f>'SEAP template'!C89</f>
        <v>0</v>
      </c>
      <c r="D19" s="964">
        <f>'SEAP template'!D89</f>
        <v>0</v>
      </c>
      <c r="E19" s="964">
        <f>'SEAP template'!E89</f>
        <v>0</v>
      </c>
      <c r="F19" s="964">
        <f>'SEAP template'!F89</f>
        <v>0</v>
      </c>
      <c r="G19" s="964">
        <f>'SEAP template'!G89</f>
        <v>0</v>
      </c>
      <c r="H19" s="964">
        <f>'SEAP template'!H89</f>
        <v>0</v>
      </c>
      <c r="I19" s="964">
        <f>'SEAP template'!I89</f>
        <v>0</v>
      </c>
      <c r="J19" s="964">
        <f>'SEAP template'!J89</f>
        <v>0</v>
      </c>
      <c r="K19" s="964">
        <f>'SEAP template'!K89</f>
        <v>0</v>
      </c>
      <c r="L19" s="964">
        <f>'SEAP template'!L89</f>
        <v>0</v>
      </c>
      <c r="M19" s="964">
        <f>'SEAP template'!M89</f>
        <v>0</v>
      </c>
      <c r="N19" s="964">
        <f>'SEAP template'!N89</f>
        <v>0</v>
      </c>
      <c r="O19" s="964">
        <f>'SEAP template'!O89</f>
        <v>0</v>
      </c>
      <c r="P19" s="964">
        <f>'SEAP template'!Q89</f>
        <v>0</v>
      </c>
    </row>
    <row r="20" spans="1:16">
      <c r="A20" s="972" t="s">
        <v>109</v>
      </c>
      <c r="B20" s="967">
        <f>SUM(B17:B19)</f>
        <v>0</v>
      </c>
      <c r="C20" s="967">
        <f>SUM(C17:C19)</f>
        <v>0</v>
      </c>
      <c r="D20" s="967">
        <f t="shared" ref="D20:H20" si="2">SUM(D17:D19)</f>
        <v>0</v>
      </c>
      <c r="E20" s="967">
        <f t="shared" si="2"/>
        <v>0</v>
      </c>
      <c r="F20" s="967">
        <f t="shared" si="2"/>
        <v>0</v>
      </c>
      <c r="G20" s="967">
        <f t="shared" si="2"/>
        <v>0</v>
      </c>
      <c r="H20" s="967">
        <f t="shared" si="2"/>
        <v>0</v>
      </c>
      <c r="I20" s="967">
        <f>SUM(I17:I19)</f>
        <v>0</v>
      </c>
      <c r="J20" s="967">
        <f>SUM(J17:J19)</f>
        <v>0</v>
      </c>
      <c r="K20" s="967">
        <f t="shared" ref="K20:L20" si="3">SUM(K17:K19)</f>
        <v>0</v>
      </c>
      <c r="L20" s="967">
        <f t="shared" si="3"/>
        <v>0</v>
      </c>
      <c r="M20" s="967">
        <f>SUM(M17:M19)</f>
        <v>0</v>
      </c>
      <c r="N20" s="967">
        <f>SUM(N17:N19)</f>
        <v>0</v>
      </c>
      <c r="O20" s="967">
        <f>SUM(O17:O19)</f>
        <v>0</v>
      </c>
      <c r="P20" s="967">
        <f>SUM(P17:P19)</f>
        <v>0</v>
      </c>
    </row>
    <row r="22" spans="1:16">
      <c r="A22" s="458" t="s">
        <v>885</v>
      </c>
      <c r="B22" s="725" t="s">
        <v>879</v>
      </c>
      <c r="C22" s="72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codeName="Sheet31">
    <tabColor theme="6"/>
  </sheetPr>
  <dimension ref="A1:P22"/>
  <sheetViews>
    <sheetView topLeftCell="A8" workbookViewId="0">
      <selection activeCell="C6" sqref="C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15.75">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ht="135">
      <c r="A4" s="973" t="s">
        <v>238</v>
      </c>
      <c r="B4" s="974" t="s">
        <v>947</v>
      </c>
      <c r="C4" s="975" t="s">
        <v>829</v>
      </c>
      <c r="D4" s="975" t="s">
        <v>829</v>
      </c>
      <c r="E4" s="975" t="s">
        <v>829</v>
      </c>
      <c r="F4" s="975" t="s">
        <v>829</v>
      </c>
      <c r="G4" s="975" t="s">
        <v>829</v>
      </c>
      <c r="H4" s="975" t="s">
        <v>829</v>
      </c>
      <c r="I4" s="975" t="s">
        <v>829</v>
      </c>
      <c r="J4" s="975" t="s">
        <v>829</v>
      </c>
      <c r="K4" s="975" t="s">
        <v>829</v>
      </c>
      <c r="L4" s="975" t="s">
        <v>829</v>
      </c>
      <c r="M4" s="975" t="s">
        <v>829</v>
      </c>
      <c r="N4" s="975" t="s">
        <v>829</v>
      </c>
      <c r="O4" s="975" t="s">
        <v>829</v>
      </c>
      <c r="P4" s="976" t="s">
        <v>886</v>
      </c>
    </row>
    <row r="5" spans="1:16" ht="135">
      <c r="A5" s="977" t="s">
        <v>239</v>
      </c>
      <c r="B5" s="974" t="s">
        <v>947</v>
      </c>
      <c r="C5" s="975" t="s">
        <v>829</v>
      </c>
      <c r="D5" s="975" t="s">
        <v>829</v>
      </c>
      <c r="E5" s="975" t="s">
        <v>829</v>
      </c>
      <c r="F5" s="975" t="s">
        <v>829</v>
      </c>
      <c r="G5" s="975" t="s">
        <v>829</v>
      </c>
      <c r="H5" s="975" t="s">
        <v>829</v>
      </c>
      <c r="I5" s="975" t="s">
        <v>829</v>
      </c>
      <c r="J5" s="975" t="s">
        <v>829</v>
      </c>
      <c r="K5" s="975" t="s">
        <v>829</v>
      </c>
      <c r="L5" s="975" t="s">
        <v>829</v>
      </c>
      <c r="M5" s="975" t="s">
        <v>829</v>
      </c>
      <c r="N5" s="975" t="s">
        <v>829</v>
      </c>
      <c r="O5" s="975" t="s">
        <v>829</v>
      </c>
      <c r="P5" s="976" t="s">
        <v>886</v>
      </c>
    </row>
    <row r="6" spans="1:16" ht="135">
      <c r="A6" s="977" t="s">
        <v>240</v>
      </c>
      <c r="B6" s="974" t="s">
        <v>947</v>
      </c>
      <c r="C6" s="975" t="s">
        <v>829</v>
      </c>
      <c r="D6" s="975" t="s">
        <v>829</v>
      </c>
      <c r="E6" s="975" t="s">
        <v>829</v>
      </c>
      <c r="F6" s="975" t="s">
        <v>829</v>
      </c>
      <c r="G6" s="975" t="s">
        <v>829</v>
      </c>
      <c r="H6" s="975" t="s">
        <v>829</v>
      </c>
      <c r="I6" s="975" t="s">
        <v>829</v>
      </c>
      <c r="J6" s="975" t="s">
        <v>829</v>
      </c>
      <c r="K6" s="975" t="s">
        <v>829</v>
      </c>
      <c r="L6" s="975" t="s">
        <v>829</v>
      </c>
      <c r="M6" s="975" t="s">
        <v>829</v>
      </c>
      <c r="N6" s="975" t="s">
        <v>829</v>
      </c>
      <c r="O6" s="975" t="s">
        <v>829</v>
      </c>
      <c r="P6" s="976" t="s">
        <v>886</v>
      </c>
    </row>
    <row r="7" spans="1:16" ht="135">
      <c r="A7" s="977" t="s">
        <v>859</v>
      </c>
      <c r="B7" s="975" t="s">
        <v>829</v>
      </c>
      <c r="C7" s="975" t="s">
        <v>829</v>
      </c>
      <c r="D7" s="975" t="s">
        <v>829</v>
      </c>
      <c r="E7" s="975" t="s">
        <v>829</v>
      </c>
      <c r="F7" s="975" t="s">
        <v>829</v>
      </c>
      <c r="G7" s="975" t="s">
        <v>829</v>
      </c>
      <c r="H7" s="975" t="s">
        <v>829</v>
      </c>
      <c r="I7" s="975" t="s">
        <v>829</v>
      </c>
      <c r="J7" s="975" t="s">
        <v>829</v>
      </c>
      <c r="K7" s="975" t="s">
        <v>829</v>
      </c>
      <c r="L7" s="975" t="s">
        <v>829</v>
      </c>
      <c r="M7" s="975" t="s">
        <v>829</v>
      </c>
      <c r="N7" s="975" t="s">
        <v>829</v>
      </c>
      <c r="O7" s="975" t="s">
        <v>829</v>
      </c>
      <c r="P7" s="976" t="s">
        <v>886</v>
      </c>
    </row>
    <row r="8" spans="1:16" ht="210">
      <c r="A8" s="973" t="s">
        <v>241</v>
      </c>
      <c r="B8" s="974" t="s">
        <v>887</v>
      </c>
      <c r="C8" s="974" t="s">
        <v>887</v>
      </c>
      <c r="D8" s="974" t="s">
        <v>887</v>
      </c>
      <c r="E8" s="974" t="s">
        <v>887</v>
      </c>
      <c r="F8" s="974" t="s">
        <v>887</v>
      </c>
      <c r="G8" s="974" t="s">
        <v>887</v>
      </c>
      <c r="H8" s="974" t="s">
        <v>887</v>
      </c>
      <c r="I8" s="974" t="s">
        <v>887</v>
      </c>
      <c r="J8" s="974" t="s">
        <v>887</v>
      </c>
      <c r="K8" s="975" t="s">
        <v>829</v>
      </c>
      <c r="L8" s="975" t="s">
        <v>829</v>
      </c>
      <c r="M8" s="975" t="s">
        <v>829</v>
      </c>
      <c r="N8" s="974" t="s">
        <v>888</v>
      </c>
      <c r="O8" s="974" t="s">
        <v>888</v>
      </c>
      <c r="P8" s="978"/>
    </row>
    <row r="9" spans="1:16" ht="210">
      <c r="A9" s="979" t="s">
        <v>877</v>
      </c>
      <c r="B9" s="974" t="s">
        <v>888</v>
      </c>
      <c r="C9" s="974" t="s">
        <v>888</v>
      </c>
      <c r="D9" s="974" t="s">
        <v>888</v>
      </c>
      <c r="E9" s="974" t="s">
        <v>888</v>
      </c>
      <c r="F9" s="974" t="s">
        <v>888</v>
      </c>
      <c r="G9" s="974" t="s">
        <v>888</v>
      </c>
      <c r="H9" s="974" t="s">
        <v>888</v>
      </c>
      <c r="I9" s="974" t="s">
        <v>888</v>
      </c>
      <c r="J9" s="974" t="s">
        <v>888</v>
      </c>
      <c r="K9" s="975" t="s">
        <v>829</v>
      </c>
      <c r="L9" s="974" t="s">
        <v>888</v>
      </c>
      <c r="M9" s="974" t="s">
        <v>888</v>
      </c>
      <c r="N9" s="974" t="s">
        <v>888</v>
      </c>
      <c r="O9" s="974" t="s">
        <v>888</v>
      </c>
      <c r="P9" s="978"/>
    </row>
    <row r="10" spans="1:16">
      <c r="A10" s="977" t="s">
        <v>109</v>
      </c>
      <c r="B10" s="980"/>
      <c r="C10" s="980"/>
      <c r="D10" s="980"/>
      <c r="E10" s="980"/>
      <c r="F10" s="980"/>
      <c r="G10" s="980"/>
      <c r="H10" s="980"/>
      <c r="I10" s="980"/>
      <c r="J10" s="980"/>
      <c r="K10" s="980"/>
      <c r="L10" s="980"/>
      <c r="M10" s="980"/>
      <c r="N10" s="980"/>
      <c r="O10" s="980"/>
      <c r="P10" s="980"/>
    </row>
    <row r="11" spans="1:16">
      <c r="A11" s="968"/>
      <c r="B11" s="968"/>
      <c r="C11" s="968"/>
      <c r="D11" s="968"/>
      <c r="E11" s="968"/>
      <c r="F11" s="968"/>
      <c r="G11" s="968"/>
      <c r="H11" s="968"/>
      <c r="I11" s="968"/>
      <c r="J11" s="968"/>
      <c r="K11" s="968"/>
      <c r="L11" s="968"/>
      <c r="M11" s="968"/>
      <c r="N11" s="968"/>
      <c r="O11" s="968"/>
      <c r="P11" s="968"/>
    </row>
    <row r="12" spans="1:16" ht="150">
      <c r="A12" s="458" t="s">
        <v>878</v>
      </c>
      <c r="B12" s="725" t="s">
        <v>879</v>
      </c>
      <c r="C12" s="981" t="s">
        <v>889</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ht="210">
      <c r="A17" s="969" t="s">
        <v>241</v>
      </c>
      <c r="B17" s="974" t="s">
        <v>888</v>
      </c>
      <c r="C17" s="974" t="s">
        <v>888</v>
      </c>
      <c r="D17" s="974" t="s">
        <v>888</v>
      </c>
      <c r="E17" s="974" t="s">
        <v>888</v>
      </c>
      <c r="F17" s="974" t="s">
        <v>888</v>
      </c>
      <c r="G17" s="974" t="s">
        <v>888</v>
      </c>
      <c r="H17" s="974" t="s">
        <v>888</v>
      </c>
      <c r="I17" s="974" t="s">
        <v>888</v>
      </c>
      <c r="J17" s="974" t="s">
        <v>888</v>
      </c>
      <c r="K17" s="975" t="s">
        <v>829</v>
      </c>
      <c r="L17" s="975" t="s">
        <v>829</v>
      </c>
      <c r="M17" s="975" t="s">
        <v>829</v>
      </c>
      <c r="N17" s="974" t="s">
        <v>888</v>
      </c>
      <c r="O17" s="974" t="s">
        <v>888</v>
      </c>
      <c r="P17" s="982"/>
    </row>
    <row r="18" spans="1:16" ht="45">
      <c r="A18" s="971" t="s">
        <v>247</v>
      </c>
      <c r="B18" s="976" t="s">
        <v>851</v>
      </c>
      <c r="C18" s="976" t="s">
        <v>851</v>
      </c>
      <c r="D18" s="976" t="s">
        <v>851</v>
      </c>
      <c r="E18" s="976" t="s">
        <v>851</v>
      </c>
      <c r="F18" s="976" t="s">
        <v>851</v>
      </c>
      <c r="G18" s="976" t="s">
        <v>851</v>
      </c>
      <c r="H18" s="976" t="s">
        <v>851</v>
      </c>
      <c r="I18" s="976" t="s">
        <v>851</v>
      </c>
      <c r="J18" s="976" t="s">
        <v>851</v>
      </c>
      <c r="K18" s="976" t="s">
        <v>851</v>
      </c>
      <c r="L18" s="976" t="s">
        <v>851</v>
      </c>
      <c r="M18" s="976" t="s">
        <v>851</v>
      </c>
      <c r="N18" s="976" t="s">
        <v>851</v>
      </c>
      <c r="O18" s="976" t="s">
        <v>851</v>
      </c>
      <c r="P18" s="976" t="s">
        <v>851</v>
      </c>
    </row>
    <row r="19" spans="1:16" ht="45">
      <c r="A19" s="966" t="s">
        <v>884</v>
      </c>
      <c r="B19" s="976" t="s">
        <v>851</v>
      </c>
      <c r="C19" s="976" t="s">
        <v>851</v>
      </c>
      <c r="D19" s="976" t="s">
        <v>851</v>
      </c>
      <c r="E19" s="976" t="s">
        <v>851</v>
      </c>
      <c r="F19" s="976" t="s">
        <v>851</v>
      </c>
      <c r="G19" s="976" t="s">
        <v>851</v>
      </c>
      <c r="H19" s="976" t="s">
        <v>851</v>
      </c>
      <c r="I19" s="976" t="s">
        <v>851</v>
      </c>
      <c r="J19" s="976" t="s">
        <v>851</v>
      </c>
      <c r="K19" s="976" t="s">
        <v>851</v>
      </c>
      <c r="L19" s="976" t="s">
        <v>851</v>
      </c>
      <c r="M19" s="976" t="s">
        <v>851</v>
      </c>
      <c r="N19" s="976" t="s">
        <v>851</v>
      </c>
      <c r="O19" s="976" t="s">
        <v>851</v>
      </c>
      <c r="P19" s="976" t="s">
        <v>851</v>
      </c>
    </row>
    <row r="20" spans="1:16">
      <c r="A20" s="972" t="s">
        <v>109</v>
      </c>
      <c r="B20" s="967"/>
      <c r="C20" s="967"/>
      <c r="D20" s="967"/>
      <c r="E20" s="967"/>
      <c r="F20" s="967"/>
      <c r="G20" s="967"/>
      <c r="H20" s="967"/>
      <c r="I20" s="967"/>
      <c r="J20" s="967"/>
      <c r="K20" s="967"/>
      <c r="L20" s="967"/>
      <c r="M20" s="967"/>
      <c r="N20" s="967"/>
      <c r="O20" s="967"/>
      <c r="P20" s="967"/>
    </row>
    <row r="22" spans="1:16" ht="90">
      <c r="A22" s="458" t="s">
        <v>885</v>
      </c>
      <c r="B22" s="725" t="s">
        <v>879</v>
      </c>
      <c r="C22" s="981" t="s">
        <v>890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23" sqref="B23"/>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571</v>
      </c>
      <c r="B6" s="75" t="s">
        <v>572</v>
      </c>
      <c r="C6" s="428" t="s">
        <v>707</v>
      </c>
    </row>
    <row r="7" spans="1:3">
      <c r="A7" s="124"/>
      <c r="B7" s="128"/>
      <c r="C7" s="122"/>
    </row>
    <row r="8" spans="1:3">
      <c r="A8" s="113" t="s">
        <v>574</v>
      </c>
      <c r="B8" s="75" t="s">
        <v>573</v>
      </c>
      <c r="C8" s="428" t="s">
        <v>376</v>
      </c>
    </row>
    <row r="9" spans="1:3">
      <c r="A9" s="124"/>
      <c r="B9" s="128"/>
      <c r="C9" s="122"/>
    </row>
    <row r="10" spans="1:3">
      <c r="A10" s="113" t="s">
        <v>316</v>
      </c>
      <c r="B10" s="75" t="s">
        <v>374</v>
      </c>
      <c r="C10" s="114" t="s">
        <v>376</v>
      </c>
    </row>
    <row r="11" spans="1:3">
      <c r="A11" s="124"/>
      <c r="B11" s="128"/>
      <c r="C11" s="122"/>
    </row>
    <row r="12" spans="1:3" ht="30">
      <c r="A12" s="113" t="s">
        <v>402</v>
      </c>
      <c r="B12" s="75" t="s">
        <v>515</v>
      </c>
      <c r="C12" s="306" t="s">
        <v>585</v>
      </c>
    </row>
    <row r="13" spans="1:3" s="11" customFormat="1">
      <c r="A13" s="140"/>
      <c r="B13" s="158"/>
      <c r="C13" s="159"/>
    </row>
    <row r="14" spans="1:3" ht="21">
      <c r="A14" s="125" t="s">
        <v>465</v>
      </c>
      <c r="B14" s="124"/>
      <c r="C14"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0" t="s">
        <v>580</v>
      </c>
      <c r="B4" s="460"/>
      <c r="C4" s="460"/>
      <c r="D4" s="460"/>
      <c r="E4" s="460"/>
      <c r="F4" s="460"/>
      <c r="G4" s="492"/>
      <c r="H4" s="492"/>
      <c r="I4" s="460"/>
      <c r="J4" s="460"/>
      <c r="K4" s="460"/>
      <c r="L4" s="460"/>
      <c r="M4" s="460"/>
      <c r="N4" s="460"/>
      <c r="O4" s="460"/>
      <c r="P4" s="460"/>
    </row>
    <row r="5" spans="1:16" outlineLevel="1">
      <c r="A5" s="630" t="s">
        <v>581</v>
      </c>
      <c r="B5" s="460"/>
      <c r="C5" s="460"/>
      <c r="D5" s="460"/>
      <c r="E5" s="460"/>
      <c r="F5" s="460"/>
      <c r="G5" s="492"/>
      <c r="H5" s="492"/>
      <c r="I5" s="460"/>
      <c r="J5" s="460"/>
      <c r="K5" s="460"/>
      <c r="L5" s="460"/>
      <c r="M5" s="460"/>
      <c r="N5" s="460"/>
      <c r="O5" s="460"/>
      <c r="P5" s="460"/>
    </row>
    <row r="6" spans="1:16" outlineLevel="1">
      <c r="A6" s="630" t="s">
        <v>582</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1" t="s">
        <v>583</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584</v>
      </c>
      <c r="B10" s="460"/>
      <c r="C10" s="460"/>
      <c r="D10" s="460"/>
      <c r="E10" s="460"/>
      <c r="F10" s="460"/>
      <c r="G10" s="492"/>
      <c r="H10" s="492"/>
      <c r="I10" s="460"/>
      <c r="J10" s="460"/>
      <c r="K10" s="460"/>
      <c r="L10" s="460"/>
      <c r="M10" s="460"/>
      <c r="N10" s="460"/>
      <c r="O10" s="830" t="s">
        <v>603</v>
      </c>
      <c r="P10" s="830" t="s">
        <v>602</v>
      </c>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569</v>
      </c>
      <c r="B13" s="445"/>
      <c r="C13" s="464"/>
      <c r="D13" s="464"/>
      <c r="E13" s="464"/>
      <c r="F13" s="464"/>
      <c r="G13" s="464"/>
      <c r="H13" s="464"/>
      <c r="I13" s="464"/>
      <c r="J13" s="464"/>
      <c r="K13" s="464"/>
      <c r="L13" s="464"/>
      <c r="M13" s="464"/>
      <c r="N13" s="464"/>
      <c r="O13" s="726"/>
      <c r="P13" s="726"/>
    </row>
    <row r="14" spans="1:16" outlineLevel="1"/>
    <row r="15" spans="1:16" s="457"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 t="shared" si="0"/>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0.20637942547445917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O15*O17</f>
        <v>0</v>
      </c>
      <c r="P19" s="471">
        <f t="shared" si="1"/>
        <v>0</v>
      </c>
    </row>
    <row r="22" spans="1:16" s="445" customFormat="1" ht="15" customHeight="1" outlineLevel="1">
      <c r="A22" s="472" t="s">
        <v>478</v>
      </c>
      <c r="B22" s="473"/>
      <c r="C22" s="474"/>
      <c r="D22" s="475"/>
      <c r="E22" s="476"/>
    </row>
    <row r="23" spans="1:16" s="48" customFormat="1" ht="15" customHeight="1" outlineLevel="1">
      <c r="A23" s="477"/>
      <c r="B23" s="478"/>
      <c r="C23" s="479" t="s">
        <v>366</v>
      </c>
      <c r="D23" s="479" t="s">
        <v>175</v>
      </c>
      <c r="E23" s="480"/>
    </row>
    <row r="24" spans="1:16" s="445" customFormat="1" ht="15" customHeight="1" outlineLevel="1">
      <c r="A24" s="481" t="s">
        <v>255</v>
      </c>
      <c r="B24" s="47">
        <f>EigenZB</f>
        <v>0</v>
      </c>
      <c r="C24" s="482"/>
      <c r="D24" s="829" t="s">
        <v>398</v>
      </c>
      <c r="E24" s="446"/>
    </row>
    <row r="25" spans="1:16" s="445" customFormat="1" outlineLevel="1">
      <c r="A25" s="481" t="s">
        <v>445</v>
      </c>
      <c r="B25" s="48">
        <v>4.2</v>
      </c>
      <c r="C25" s="482"/>
      <c r="D25" s="483" t="s">
        <v>502</v>
      </c>
      <c r="E25" s="459"/>
    </row>
    <row r="26" spans="1:16" s="445" customFormat="1" outlineLevel="1">
      <c r="A26" s="731" t="s">
        <v>446</v>
      </c>
      <c r="B26" s="732">
        <f>1.34/3.6</f>
        <v>0.37222222222222223</v>
      </c>
      <c r="C26" s="482" t="s">
        <v>208</v>
      </c>
      <c r="D26" s="483" t="s">
        <v>502</v>
      </c>
      <c r="E26" s="459"/>
    </row>
    <row r="27" spans="1:16" s="445" customFormat="1" outlineLevel="1">
      <c r="A27" s="484" t="s">
        <v>592</v>
      </c>
      <c r="B27" s="734">
        <f>B24*B25*B26</f>
        <v>0</v>
      </c>
      <c r="C27" s="485" t="s">
        <v>593</v>
      </c>
      <c r="D27" s="486"/>
      <c r="E27" s="487"/>
    </row>
    <row r="28" spans="1:16" s="445" customFormat="1" outlineLevel="1">
      <c r="A28" s="48"/>
      <c r="B28" s="48"/>
      <c r="C28" s="488"/>
      <c r="D28" s="482"/>
    </row>
    <row r="29" spans="1:16" s="445" customFormat="1" outlineLevel="1">
      <c r="A29" s="489" t="s">
        <v>479</v>
      </c>
      <c r="B29" s="473"/>
      <c r="C29" s="474"/>
      <c r="D29" s="475"/>
      <c r="E29" s="476"/>
    </row>
    <row r="30" spans="1:16" s="48" customFormat="1" outlineLevel="1">
      <c r="A30" s="490"/>
      <c r="B30" s="478"/>
      <c r="C30" s="479" t="s">
        <v>366</v>
      </c>
      <c r="D30" s="479" t="s">
        <v>175</v>
      </c>
      <c r="E30" s="480"/>
    </row>
    <row r="31" spans="1:16" s="445" customFormat="1" outlineLevel="1">
      <c r="A31" s="481" t="s">
        <v>444</v>
      </c>
      <c r="B31" s="47">
        <f>EigenWP</f>
        <v>0</v>
      </c>
      <c r="C31" s="482"/>
      <c r="D31" s="829" t="s">
        <v>398</v>
      </c>
      <c r="E31" s="446"/>
    </row>
    <row r="32" spans="1:16" s="445" customFormat="1" outlineLevel="1">
      <c r="A32" s="481" t="s">
        <v>442</v>
      </c>
      <c r="B32" s="48">
        <v>13</v>
      </c>
      <c r="C32" s="488" t="s">
        <v>252</v>
      </c>
      <c r="D32" s="483" t="s">
        <v>502</v>
      </c>
      <c r="E32" s="446"/>
    </row>
    <row r="33" spans="1:5" s="445" customFormat="1" outlineLevel="1">
      <c r="A33" s="481" t="s">
        <v>443</v>
      </c>
      <c r="B33" s="48">
        <v>2000</v>
      </c>
      <c r="C33" s="488" t="s">
        <v>254</v>
      </c>
      <c r="D33" s="483" t="s">
        <v>502</v>
      </c>
      <c r="E33" s="446"/>
    </row>
    <row r="34" spans="1:5" s="445" customFormat="1" outlineLevel="1">
      <c r="A34" s="731" t="s">
        <v>371</v>
      </c>
      <c r="B34" s="48">
        <v>3.75</v>
      </c>
      <c r="C34" s="488"/>
      <c r="D34" s="483" t="s">
        <v>502</v>
      </c>
      <c r="E34" s="446"/>
    </row>
    <row r="35" spans="1:5" s="445" customFormat="1" outlineLevel="1">
      <c r="A35" s="484" t="s">
        <v>592</v>
      </c>
      <c r="B35" s="733">
        <f>B31*B32*B33/1000-B31*B32*B33/1000/B34</f>
        <v>0</v>
      </c>
      <c r="C35" s="491" t="s">
        <v>593</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1"/>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569</v>
      </c>
      <c r="B13" s="445"/>
      <c r="C13" s="464"/>
      <c r="D13" s="464"/>
      <c r="E13" s="464"/>
      <c r="F13" s="464"/>
      <c r="G13" s="464"/>
      <c r="H13" s="464"/>
      <c r="I13" s="464"/>
      <c r="J13" s="464"/>
      <c r="K13" s="464"/>
      <c r="L13" s="464"/>
      <c r="M13" s="464"/>
      <c r="N13" s="464"/>
      <c r="O13" s="1128"/>
      <c r="P13" s="1128"/>
    </row>
    <row r="14" spans="1:16" outlineLevel="1">
      <c r="A14" s="462"/>
      <c r="B14" s="52"/>
      <c r="C14" s="492"/>
      <c r="D14" s="492"/>
      <c r="E14" s="492"/>
      <c r="F14" s="492"/>
      <c r="G14" s="492"/>
      <c r="H14" s="492"/>
      <c r="I14" s="492"/>
      <c r="J14" s="492"/>
      <c r="K14" s="492"/>
      <c r="L14" s="492"/>
      <c r="M14" s="492"/>
      <c r="N14" s="492"/>
      <c r="O14" s="492"/>
      <c r="P14" s="492"/>
    </row>
    <row r="15" spans="1:16" s="457"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0.20637942547445917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1" t="s">
        <v>316</v>
      </c>
      <c r="B1" s="1122" t="s">
        <v>188</v>
      </c>
      <c r="C1" s="1123"/>
      <c r="D1" s="1123"/>
      <c r="E1" s="1123"/>
      <c r="F1" s="1123"/>
      <c r="G1" s="1123"/>
      <c r="H1" s="1123"/>
      <c r="I1" s="1123"/>
      <c r="J1" s="1123"/>
      <c r="K1" s="1123"/>
      <c r="L1" s="1123"/>
      <c r="M1" s="1123"/>
      <c r="N1" s="1123"/>
      <c r="O1" s="1123"/>
      <c r="P1" s="1123"/>
    </row>
    <row r="2" spans="1:16" ht="15" customHeight="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7"/>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569</v>
      </c>
    </row>
    <row r="26" spans="1:16" s="457" customFormat="1">
      <c r="A26" s="465" t="s">
        <v>519</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7" customFormat="1">
      <c r="A27" s="465" t="s">
        <v>575</v>
      </c>
      <c r="B27" s="465">
        <f>B26</f>
        <v>0</v>
      </c>
      <c r="C27" s="465"/>
      <c r="D27" s="465">
        <f>D26</f>
        <v>0</v>
      </c>
      <c r="E27" s="465">
        <f>E26</f>
        <v>0</v>
      </c>
      <c r="F27" s="465"/>
      <c r="G27" s="465">
        <f>(1-transport!C35)*'Eigen vloot'!G26</f>
        <v>0</v>
      </c>
      <c r="H27" s="465">
        <f>(1-transport!C42)*'Eigen vloot'!H26</f>
        <v>0</v>
      </c>
      <c r="I27" s="465"/>
      <c r="J27" s="465"/>
      <c r="K27" s="465"/>
      <c r="L27" s="465"/>
      <c r="M27" s="632">
        <f>G26*transport!C35+'Eigen vloot'!H26*transport!C42</f>
        <v>0</v>
      </c>
      <c r="N27" s="465"/>
      <c r="O27" s="465"/>
      <c r="P27" s="465"/>
    </row>
    <row r="29" spans="1:16">
      <c r="A29" s="470" t="s">
        <v>578</v>
      </c>
      <c r="B29" s="495">
        <f ca="1">'EF ele_warmte'!B12</f>
        <v>0.20637942547445917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33">
        <f ca="1">B27*B29</f>
        <v>0</v>
      </c>
      <c r="C31" s="633"/>
      <c r="D31" s="633">
        <f>D27*D29</f>
        <v>0</v>
      </c>
      <c r="E31" s="633">
        <f>E27*E29</f>
        <v>0</v>
      </c>
      <c r="F31" s="633"/>
      <c r="G31" s="633">
        <f>G27*G29</f>
        <v>0</v>
      </c>
      <c r="H31" s="633">
        <f>H27*H29</f>
        <v>0</v>
      </c>
      <c r="I31" s="633"/>
      <c r="J31" s="633"/>
      <c r="K31" s="633"/>
      <c r="L31" s="633"/>
      <c r="M31" s="633">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516</v>
      </c>
      <c r="B2" s="496"/>
      <c r="C2" s="182"/>
      <c r="D2" s="183"/>
    </row>
    <row r="3" spans="1:11">
      <c r="A3" s="101"/>
      <c r="B3" s="497"/>
      <c r="C3" s="141" t="s">
        <v>175</v>
      </c>
      <c r="D3" s="144" t="s">
        <v>380</v>
      </c>
    </row>
    <row r="4" spans="1:11">
      <c r="A4" s="44" t="s">
        <v>436</v>
      </c>
      <c r="B4" s="47"/>
      <c r="C4" s="32"/>
      <c r="D4" s="143" t="s">
        <v>382</v>
      </c>
    </row>
    <row r="5" spans="1:11">
      <c r="A5" s="44"/>
      <c r="B5" s="48"/>
      <c r="C5" s="32"/>
      <c r="D5" s="143"/>
    </row>
    <row r="6" spans="1:11" s="10" customFormat="1" ht="21.75" thickBot="1">
      <c r="A6" s="186" t="s">
        <v>469</v>
      </c>
      <c r="B6" s="498"/>
      <c r="C6" s="187"/>
      <c r="D6" s="188"/>
    </row>
    <row r="7" spans="1:11" s="43" customFormat="1" ht="15.75" thickBot="1">
      <c r="B7" s="445"/>
    </row>
    <row r="8" spans="1:11" s="43" customFormat="1">
      <c r="A8" s="181" t="s">
        <v>529</v>
      </c>
      <c r="B8" s="496"/>
      <c r="C8" s="182"/>
      <c r="D8" s="183"/>
    </row>
    <row r="9" spans="1:11" s="32" customFormat="1">
      <c r="A9" s="46"/>
      <c r="B9" s="499"/>
      <c r="C9" s="42"/>
      <c r="D9" s="295"/>
    </row>
    <row r="10" spans="1:11">
      <c r="A10" s="296" t="s">
        <v>557</v>
      </c>
      <c r="B10" s="497"/>
      <c r="C10" s="141" t="s">
        <v>175</v>
      </c>
      <c r="D10" s="144" t="s">
        <v>380</v>
      </c>
      <c r="I10" s="1129"/>
      <c r="K10" s="58"/>
    </row>
    <row r="11" spans="1:11" s="43" customFormat="1">
      <c r="A11" s="44" t="s">
        <v>558</v>
      </c>
      <c r="B11" s="47"/>
      <c r="D11" s="142" t="s">
        <v>381</v>
      </c>
      <c r="I11" s="1129"/>
      <c r="K11" s="58"/>
    </row>
    <row r="12" spans="1:11" s="43" customFormat="1">
      <c r="A12" s="44" t="s">
        <v>559</v>
      </c>
      <c r="B12" s="47"/>
      <c r="D12" s="142" t="s">
        <v>381</v>
      </c>
      <c r="I12" s="1129"/>
      <c r="K12" s="58"/>
    </row>
    <row r="13" spans="1:11" s="43" customFormat="1">
      <c r="A13" s="44"/>
      <c r="B13" s="445"/>
      <c r="D13" s="96"/>
      <c r="I13" s="1129"/>
    </row>
    <row r="14" spans="1:11" s="43" customFormat="1">
      <c r="A14" s="296" t="s">
        <v>556</v>
      </c>
      <c r="B14" s="497"/>
      <c r="C14" s="141" t="s">
        <v>175</v>
      </c>
      <c r="D14" s="144" t="s">
        <v>380</v>
      </c>
      <c r="I14" s="1129"/>
    </row>
    <row r="15" spans="1:11" s="43" customFormat="1">
      <c r="A15" s="44" t="s">
        <v>70</v>
      </c>
      <c r="B15" s="47"/>
      <c r="D15" s="142" t="s">
        <v>381</v>
      </c>
      <c r="I15" s="1129"/>
      <c r="J15" s="1129"/>
    </row>
    <row r="16" spans="1:11" s="43" customFormat="1">
      <c r="A16" s="44" t="s">
        <v>521</v>
      </c>
      <c r="B16" s="47"/>
      <c r="D16" s="142" t="s">
        <v>381</v>
      </c>
      <c r="I16" s="1129"/>
      <c r="J16" s="1129"/>
    </row>
    <row r="17" spans="1:11" s="43" customFormat="1">
      <c r="A17" s="44" t="s">
        <v>77</v>
      </c>
      <c r="B17" s="47"/>
      <c r="D17" s="142" t="s">
        <v>381</v>
      </c>
      <c r="I17" s="1129"/>
      <c r="J17" s="1129"/>
    </row>
    <row r="18" spans="1:11" s="43" customFormat="1">
      <c r="A18" s="44" t="s">
        <v>522</v>
      </c>
      <c r="B18" s="47"/>
      <c r="D18" s="142" t="s">
        <v>381</v>
      </c>
      <c r="I18" s="1129"/>
      <c r="J18" s="1129"/>
      <c r="K18" s="58"/>
    </row>
    <row r="19" spans="1:11" s="43" customFormat="1">
      <c r="A19" s="44" t="s">
        <v>76</v>
      </c>
      <c r="B19" s="47"/>
      <c r="D19" s="142" t="s">
        <v>381</v>
      </c>
      <c r="I19" s="1129"/>
      <c r="J19" s="1130"/>
      <c r="K19" s="58"/>
    </row>
    <row r="20" spans="1:11" s="43" customFormat="1">
      <c r="A20" s="32" t="s">
        <v>523</v>
      </c>
      <c r="B20" s="47"/>
      <c r="D20" s="142" t="s">
        <v>381</v>
      </c>
      <c r="I20" s="297"/>
      <c r="J20" s="298"/>
      <c r="K20" s="58"/>
    </row>
    <row r="21" spans="1:11" s="43" customFormat="1">
      <c r="A21" s="32" t="s">
        <v>524</v>
      </c>
      <c r="B21" s="47"/>
      <c r="D21" s="142" t="s">
        <v>381</v>
      </c>
      <c r="I21" s="297"/>
      <c r="J21" s="298"/>
      <c r="K21" s="58"/>
    </row>
    <row r="22" spans="1:11" s="43" customFormat="1">
      <c r="A22" s="32" t="s">
        <v>525</v>
      </c>
      <c r="B22" s="47"/>
      <c r="D22" s="142" t="s">
        <v>381</v>
      </c>
      <c r="I22" s="297"/>
      <c r="J22" s="298"/>
      <c r="K22" s="58"/>
    </row>
    <row r="23" spans="1:11">
      <c r="A23" s="32" t="s">
        <v>526</v>
      </c>
      <c r="B23" s="47"/>
      <c r="C23" s="43"/>
      <c r="D23" s="142" t="s">
        <v>381</v>
      </c>
      <c r="I23" s="58"/>
      <c r="J23" s="58"/>
      <c r="K23" s="58"/>
    </row>
    <row r="24" spans="1:11">
      <c r="A24" s="32" t="s">
        <v>527</v>
      </c>
      <c r="B24" s="47"/>
      <c r="C24" s="43"/>
      <c r="D24" s="142" t="s">
        <v>381</v>
      </c>
      <c r="I24" s="58"/>
      <c r="J24" s="58"/>
      <c r="K24" s="58"/>
    </row>
    <row r="25" spans="1:11">
      <c r="A25" s="58"/>
      <c r="B25" s="48"/>
      <c r="C25" s="43"/>
      <c r="D25" s="142"/>
      <c r="I25" s="58"/>
      <c r="J25" s="58"/>
      <c r="K25" s="58"/>
    </row>
    <row r="26" spans="1:11" ht="21.75" thickBot="1">
      <c r="A26" s="186" t="s">
        <v>567</v>
      </c>
      <c r="B26" s="500"/>
      <c r="C26" s="108"/>
      <c r="D26" s="109"/>
      <c r="I26" s="58"/>
      <c r="J26" s="58"/>
      <c r="K26" s="58"/>
    </row>
    <row r="28" spans="1:11" ht="15.75" thickBot="1"/>
    <row r="29" spans="1:11" s="43" customFormat="1">
      <c r="A29" s="181" t="s">
        <v>517</v>
      </c>
      <c r="B29" s="496"/>
      <c r="C29" s="182"/>
      <c r="D29" s="183"/>
    </row>
    <row r="30" spans="1:11" s="32" customFormat="1">
      <c r="A30" s="46"/>
      <c r="B30" s="499"/>
      <c r="C30" s="42"/>
      <c r="D30" s="295"/>
    </row>
    <row r="31" spans="1:11">
      <c r="A31" s="296" t="s">
        <v>557</v>
      </c>
      <c r="B31" s="497"/>
      <c r="C31" s="141" t="s">
        <v>175</v>
      </c>
      <c r="D31" s="144" t="s">
        <v>380</v>
      </c>
    </row>
    <row r="32" spans="1:11">
      <c r="A32" s="435" t="s">
        <v>558</v>
      </c>
      <c r="B32" s="47"/>
      <c r="C32" s="48"/>
      <c r="D32" s="142" t="s">
        <v>381</v>
      </c>
    </row>
    <row r="33" spans="1:11">
      <c r="A33" s="44"/>
      <c r="B33" s="48"/>
      <c r="C33" s="48"/>
      <c r="D33" s="142"/>
    </row>
    <row r="34" spans="1:11" s="43" customFormat="1">
      <c r="A34" s="296" t="s">
        <v>556</v>
      </c>
      <c r="B34" s="497"/>
      <c r="C34" s="141" t="s">
        <v>175</v>
      </c>
      <c r="D34" s="144" t="s">
        <v>380</v>
      </c>
      <c r="I34"/>
    </row>
    <row r="35" spans="1:11" s="43" customFormat="1">
      <c r="A35" s="434" t="s">
        <v>70</v>
      </c>
      <c r="B35" s="47"/>
      <c r="D35" s="142" t="s">
        <v>381</v>
      </c>
      <c r="I35" s="1129"/>
      <c r="J35" s="1129"/>
    </row>
    <row r="36" spans="1:11" s="43" customFormat="1">
      <c r="A36" s="434" t="s">
        <v>521</v>
      </c>
      <c r="B36" s="47"/>
      <c r="D36" s="142" t="s">
        <v>381</v>
      </c>
      <c r="I36" s="1129"/>
      <c r="J36" s="1129"/>
    </row>
    <row r="37" spans="1:11" s="43" customFormat="1">
      <c r="A37" s="434" t="s">
        <v>77</v>
      </c>
      <c r="B37" s="47"/>
      <c r="D37" s="142" t="s">
        <v>381</v>
      </c>
      <c r="I37" s="1129"/>
      <c r="J37" s="1129"/>
    </row>
    <row r="38" spans="1:11" s="43" customFormat="1">
      <c r="A38" s="434" t="s">
        <v>522</v>
      </c>
      <c r="B38" s="47"/>
      <c r="D38" s="142" t="s">
        <v>381</v>
      </c>
      <c r="I38" s="1129"/>
      <c r="J38" s="1129"/>
      <c r="K38" s="58"/>
    </row>
    <row r="39" spans="1:11" s="43" customFormat="1">
      <c r="A39" s="434" t="s">
        <v>76</v>
      </c>
      <c r="B39" s="47"/>
      <c r="D39" s="142" t="s">
        <v>381</v>
      </c>
      <c r="I39" s="1129"/>
      <c r="J39" s="1130"/>
      <c r="K39" s="58"/>
    </row>
    <row r="40" spans="1:11" s="43" customFormat="1">
      <c r="A40" s="178" t="s">
        <v>523</v>
      </c>
      <c r="B40" s="48"/>
      <c r="D40" s="142" t="s">
        <v>381</v>
      </c>
      <c r="I40" s="297"/>
      <c r="J40" s="298"/>
      <c r="K40" s="58"/>
    </row>
    <row r="41" spans="1:11" s="43" customFormat="1">
      <c r="A41" s="178" t="s">
        <v>524</v>
      </c>
      <c r="B41" s="47"/>
      <c r="D41" s="142" t="s">
        <v>381</v>
      </c>
      <c r="I41" s="297"/>
      <c r="J41" s="298"/>
      <c r="K41" s="58"/>
    </row>
    <row r="42" spans="1:11" s="43" customFormat="1">
      <c r="A42" s="178" t="s">
        <v>525</v>
      </c>
      <c r="B42" s="47"/>
      <c r="D42" s="142" t="s">
        <v>381</v>
      </c>
      <c r="I42" s="297"/>
      <c r="J42" s="298"/>
      <c r="K42" s="58"/>
    </row>
    <row r="43" spans="1:11">
      <c r="A43" s="178" t="s">
        <v>526</v>
      </c>
      <c r="B43" s="47"/>
      <c r="C43" s="43"/>
      <c r="D43" s="142" t="s">
        <v>381</v>
      </c>
      <c r="I43" s="58"/>
      <c r="J43" s="58"/>
      <c r="K43" s="58"/>
    </row>
    <row r="44" spans="1:11">
      <c r="A44" s="178" t="s">
        <v>527</v>
      </c>
      <c r="B44" s="47"/>
      <c r="C44" s="43"/>
      <c r="D44" s="142" t="s">
        <v>381</v>
      </c>
      <c r="I44" s="58"/>
      <c r="J44" s="58"/>
      <c r="K44" s="58"/>
    </row>
    <row r="45" spans="1:11" s="15" customFormat="1" ht="21.75" thickBot="1">
      <c r="A45" s="850"/>
      <c r="B45" s="184"/>
      <c r="C45" s="154"/>
      <c r="D45" s="299"/>
      <c r="I45" s="58"/>
      <c r="J45" s="58"/>
      <c r="K45" s="58"/>
    </row>
    <row r="46" spans="1:11" s="15" customFormat="1">
      <c r="A46" s="58"/>
      <c r="B46" s="48"/>
      <c r="C46" s="32"/>
      <c r="D46" s="32"/>
      <c r="I46" s="58"/>
      <c r="J46" s="58"/>
      <c r="K46" s="58"/>
    </row>
    <row r="47" spans="1:11" ht="15.75" thickBot="1"/>
    <row r="48" spans="1:11" s="43" customFormat="1">
      <c r="A48" s="181" t="s">
        <v>379</v>
      </c>
      <c r="B48" s="496"/>
      <c r="C48" s="182"/>
      <c r="D48" s="183"/>
    </row>
    <row r="49" spans="1:4">
      <c r="A49" s="101"/>
      <c r="B49" s="497"/>
      <c r="C49" s="141" t="s">
        <v>175</v>
      </c>
      <c r="D49" s="144" t="s">
        <v>380</v>
      </c>
    </row>
    <row r="50" spans="1:4">
      <c r="A50" s="44" t="s">
        <v>560</v>
      </c>
      <c r="B50" s="47"/>
      <c r="C50" s="32"/>
      <c r="D50" s="143" t="s">
        <v>382</v>
      </c>
    </row>
    <row r="51" spans="1:4">
      <c r="A51" s="44" t="s">
        <v>561</v>
      </c>
      <c r="B51" s="47"/>
      <c r="C51" s="32"/>
      <c r="D51" s="143" t="s">
        <v>382</v>
      </c>
    </row>
    <row r="52" spans="1:4" ht="15.75" thickBot="1">
      <c r="A52" s="45"/>
      <c r="B52" s="184"/>
      <c r="C52" s="154"/>
      <c r="D52" s="189"/>
    </row>
    <row r="54" spans="1:4" ht="15.75" thickBot="1"/>
    <row r="55" spans="1:4" s="43" customFormat="1">
      <c r="A55" s="181" t="s">
        <v>518</v>
      </c>
      <c r="B55" s="496"/>
      <c r="C55" s="182"/>
      <c r="D55" s="183"/>
    </row>
    <row r="56" spans="1:4">
      <c r="A56" s="101"/>
      <c r="B56" s="497"/>
      <c r="C56" s="141" t="s">
        <v>175</v>
      </c>
      <c r="D56" s="144" t="s">
        <v>380</v>
      </c>
    </row>
    <row r="57" spans="1:4">
      <c r="A57" s="44" t="s">
        <v>562</v>
      </c>
      <c r="B57" s="47"/>
      <c r="C57" s="32"/>
      <c r="D57" s="142" t="s">
        <v>148</v>
      </c>
    </row>
    <row r="58" spans="1:4">
      <c r="A58" s="44" t="s">
        <v>563</v>
      </c>
      <c r="B58" s="47"/>
      <c r="C58" s="32"/>
      <c r="D58" s="142" t="s">
        <v>149</v>
      </c>
    </row>
    <row r="59" spans="1:4">
      <c r="A59" s="44" t="s">
        <v>564</v>
      </c>
      <c r="B59" s="47"/>
      <c r="C59" s="48"/>
      <c r="D59" s="142" t="s">
        <v>378</v>
      </c>
    </row>
    <row r="60" spans="1:4">
      <c r="A60" s="44" t="s">
        <v>565</v>
      </c>
      <c r="B60" s="47"/>
      <c r="C60" s="48"/>
      <c r="D60" s="142" t="s">
        <v>105</v>
      </c>
    </row>
    <row r="61" spans="1:4">
      <c r="A61" s="44"/>
      <c r="B61" s="48"/>
      <c r="C61" s="48"/>
      <c r="D61" s="142"/>
    </row>
    <row r="62" spans="1:4" ht="21.75" thickBot="1">
      <c r="A62" s="186" t="s">
        <v>520</v>
      </c>
      <c r="B62" s="184"/>
      <c r="C62" s="184"/>
      <c r="D62" s="185"/>
    </row>
    <row r="63" spans="1:4" s="43" customFormat="1">
      <c r="B63"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topLeftCell="A4"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29" t="s">
        <v>448</v>
      </c>
      <c r="C6" s="130" t="s">
        <v>450</v>
      </c>
    </row>
    <row r="7" spans="1:3" s="11" customFormat="1">
      <c r="A7" s="123"/>
      <c r="B7" s="158"/>
      <c r="C7" s="159" t="s">
        <v>579</v>
      </c>
    </row>
    <row r="8" spans="1:3" s="11" customFormat="1">
      <c r="A8" s="131"/>
      <c r="B8" s="132"/>
      <c r="C8" s="133"/>
    </row>
    <row r="9" spans="1:3" s="11" customFormat="1">
      <c r="A9" s="113" t="s">
        <v>449</v>
      </c>
      <c r="B9" s="129" t="s">
        <v>452</v>
      </c>
      <c r="C9" s="130" t="s">
        <v>505</v>
      </c>
    </row>
    <row r="10" spans="1:3" s="11" customFormat="1">
      <c r="A10" s="131"/>
      <c r="B10" s="132"/>
      <c r="C10" s="133"/>
    </row>
    <row r="11" spans="1:3" s="11" customFormat="1" ht="18">
      <c r="A11" s="113" t="s">
        <v>451</v>
      </c>
      <c r="B11" s="129" t="s">
        <v>453</v>
      </c>
      <c r="C11" s="156" t="s">
        <v>503</v>
      </c>
    </row>
    <row r="12" spans="1:3" s="11" customFormat="1">
      <c r="A12" s="131"/>
      <c r="B12" s="132"/>
      <c r="C12" s="133"/>
    </row>
    <row r="13" spans="1:3" s="11" customFormat="1" ht="18">
      <c r="A13" s="113" t="s">
        <v>454</v>
      </c>
      <c r="B13" s="129" t="s">
        <v>455</v>
      </c>
      <c r="C13" s="157" t="s">
        <v>504</v>
      </c>
    </row>
    <row r="14" spans="1:3" s="11" customFormat="1">
      <c r="A14" s="131"/>
      <c r="B14" s="132"/>
      <c r="C14" s="133"/>
    </row>
    <row r="15" spans="1:3" s="11" customFormat="1" ht="18">
      <c r="A15" s="113" t="s">
        <v>456</v>
      </c>
      <c r="B15" t="s">
        <v>460</v>
      </c>
      <c r="C15" s="130" t="s">
        <v>506</v>
      </c>
    </row>
    <row r="16" spans="1:3" s="11" customFormat="1">
      <c r="A16" s="131"/>
      <c r="B16" s="132"/>
      <c r="C16" s="133"/>
    </row>
    <row r="17" spans="1:3" s="11" customFormat="1" ht="30">
      <c r="A17" s="113" t="s">
        <v>382</v>
      </c>
      <c r="B17" s="129" t="s">
        <v>461</v>
      </c>
      <c r="C17" s="130" t="s">
        <v>507</v>
      </c>
    </row>
    <row r="18" spans="1:3" s="11" customFormat="1">
      <c r="A18" s="131"/>
      <c r="B18" s="132"/>
      <c r="C18" s="133" t="s">
        <v>457</v>
      </c>
    </row>
    <row r="19" spans="1:3" s="11" customFormat="1" ht="30">
      <c r="A19" s="113" t="s">
        <v>458</v>
      </c>
      <c r="B19" s="129" t="s">
        <v>462</v>
      </c>
      <c r="C19" s="130" t="s">
        <v>508</v>
      </c>
    </row>
    <row r="20" spans="1:3" s="11" customFormat="1">
      <c r="A20" s="131"/>
      <c r="B20" s="132"/>
      <c r="C20" s="133"/>
    </row>
    <row r="21" spans="1:3" s="11" customFormat="1" ht="30">
      <c r="A21" s="113" t="s">
        <v>459</v>
      </c>
      <c r="B21" s="129" t="s">
        <v>668</v>
      </c>
      <c r="C21" s="130" t="s">
        <v>570</v>
      </c>
    </row>
    <row r="22" spans="1:3" s="11" customFormat="1">
      <c r="A22" s="140"/>
      <c r="B22" s="158"/>
      <c r="C22" s="159"/>
    </row>
    <row r="23" spans="1:3" ht="21">
      <c r="A23" s="125" t="s">
        <v>464</v>
      </c>
      <c r="B23" s="124"/>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4" bestFit="1" customWidth="1"/>
    <col min="2" max="2" width="59.42578125" style="994" bestFit="1" customWidth="1"/>
    <col min="3" max="4" width="28.7109375" style="994" customWidth="1"/>
    <col min="5" max="5" width="44.28515625" style="994" customWidth="1"/>
    <col min="6" max="6" width="35" style="994" bestFit="1" customWidth="1"/>
    <col min="7" max="16384" width="9.140625" style="994"/>
  </cols>
  <sheetData>
    <row r="1" spans="1:6" ht="62.45" customHeight="1" thickTop="1" thickBot="1">
      <c r="A1" s="135" t="s">
        <v>957</v>
      </c>
      <c r="B1" s="1222">
        <v>2011</v>
      </c>
      <c r="C1" s="1223"/>
      <c r="D1" s="1223"/>
      <c r="E1" s="1223"/>
      <c r="F1" s="1224"/>
    </row>
    <row r="2" spans="1:6">
      <c r="A2" s="324"/>
      <c r="B2" s="324"/>
      <c r="C2" s="324"/>
      <c r="D2" s="324"/>
      <c r="E2" s="324"/>
      <c r="F2" s="324"/>
    </row>
    <row r="3" spans="1:6" ht="19.5">
      <c r="A3" s="1225" t="s">
        <v>0</v>
      </c>
      <c r="B3" s="324"/>
      <c r="C3" s="324"/>
      <c r="D3" s="324"/>
      <c r="E3" s="324"/>
      <c r="F3" s="324"/>
    </row>
    <row r="4" spans="1:6" ht="22.5">
      <c r="A4" s="1226" t="s">
        <v>957</v>
      </c>
      <c r="B4" s="324"/>
      <c r="C4" s="324"/>
      <c r="D4" s="324"/>
      <c r="E4" s="324"/>
      <c r="F4" s="324"/>
    </row>
    <row r="5" spans="1:6" ht="22.5">
      <c r="A5" s="1226" t="s">
        <v>958</v>
      </c>
      <c r="B5" s="324"/>
      <c r="C5" s="324"/>
      <c r="D5" s="324"/>
      <c r="E5" s="324"/>
      <c r="F5" s="324"/>
    </row>
    <row r="6" spans="1:6" ht="15.75" thickBot="1">
      <c r="A6" s="324"/>
      <c r="B6" s="324"/>
      <c r="C6" s="324"/>
      <c r="D6" s="324"/>
      <c r="E6" s="324"/>
      <c r="F6" s="324"/>
    </row>
    <row r="7" spans="1:6" ht="20.25" thickBot="1">
      <c r="A7" s="1227" t="s">
        <v>1</v>
      </c>
      <c r="B7" s="325"/>
      <c r="C7" s="325"/>
      <c r="D7" s="325"/>
      <c r="E7" s="325"/>
      <c r="F7" s="326"/>
    </row>
    <row r="8" spans="1:6" ht="16.5" thickTop="1" thickBot="1">
      <c r="A8" s="1228" t="s">
        <v>4</v>
      </c>
      <c r="B8" s="1229"/>
      <c r="C8" s="1229"/>
      <c r="D8" s="1223"/>
      <c r="E8" s="1223"/>
      <c r="F8" s="1224"/>
    </row>
    <row r="9" spans="1:6">
      <c r="A9" s="1230" t="s">
        <v>2</v>
      </c>
      <c r="B9" s="1231">
        <v>12358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27" t="s">
        <v>3</v>
      </c>
      <c r="B12" s="325"/>
      <c r="C12" s="325"/>
      <c r="D12" s="325"/>
      <c r="E12" s="325"/>
      <c r="F12" s="329"/>
    </row>
    <row r="13" spans="1:6" ht="16.5" thickTop="1" thickBot="1">
      <c r="A13" s="1232" t="s">
        <v>4</v>
      </c>
      <c r="B13" s="1233" t="s">
        <v>5</v>
      </c>
      <c r="C13" s="1233"/>
      <c r="D13" s="1233"/>
      <c r="E13" s="1233"/>
      <c r="F13" s="1234"/>
    </row>
    <row r="14" spans="1:6">
      <c r="A14" s="1235" t="s">
        <v>746</v>
      </c>
      <c r="B14" s="1236">
        <v>2881</v>
      </c>
      <c r="C14" s="324"/>
      <c r="D14" s="324"/>
      <c r="E14" s="324"/>
      <c r="F14" s="324"/>
    </row>
    <row r="15" spans="1:6">
      <c r="A15" s="1235" t="s">
        <v>177</v>
      </c>
      <c r="B15" s="1236">
        <v>3114</v>
      </c>
      <c r="C15" s="324"/>
      <c r="D15" s="324"/>
      <c r="E15" s="324"/>
      <c r="F15" s="324"/>
    </row>
    <row r="16" spans="1:6">
      <c r="A16" s="1235" t="s">
        <v>6</v>
      </c>
      <c r="B16" s="1236">
        <v>2073</v>
      </c>
      <c r="C16" s="324"/>
      <c r="D16" s="324"/>
      <c r="E16" s="324"/>
      <c r="F16" s="324"/>
    </row>
    <row r="17" spans="1:6">
      <c r="A17" s="1235" t="s">
        <v>7</v>
      </c>
      <c r="B17" s="1236">
        <v>432</v>
      </c>
      <c r="C17" s="324"/>
      <c r="D17" s="324"/>
      <c r="E17" s="324"/>
      <c r="F17" s="324"/>
    </row>
    <row r="18" spans="1:6">
      <c r="A18" s="1235" t="s">
        <v>8</v>
      </c>
      <c r="B18" s="1236">
        <v>1272</v>
      </c>
      <c r="C18" s="324"/>
      <c r="D18" s="324"/>
      <c r="E18" s="324"/>
      <c r="F18" s="324"/>
    </row>
    <row r="19" spans="1:6">
      <c r="A19" s="1235" t="s">
        <v>9</v>
      </c>
      <c r="B19" s="1236">
        <v>1132</v>
      </c>
      <c r="C19" s="324"/>
      <c r="D19" s="324"/>
      <c r="E19" s="324"/>
      <c r="F19" s="324"/>
    </row>
    <row r="20" spans="1:6">
      <c r="A20" s="1235" t="s">
        <v>10</v>
      </c>
      <c r="B20" s="1236">
        <v>738</v>
      </c>
      <c r="C20" s="324"/>
      <c r="D20" s="324"/>
      <c r="E20" s="324"/>
      <c r="F20" s="324"/>
    </row>
    <row r="21" spans="1:6">
      <c r="A21" s="1235" t="s">
        <v>11</v>
      </c>
      <c r="B21" s="1236">
        <v>8526</v>
      </c>
      <c r="C21" s="324"/>
      <c r="D21" s="324"/>
      <c r="E21" s="324"/>
      <c r="F21" s="324"/>
    </row>
    <row r="22" spans="1:6">
      <c r="A22" s="1235" t="s">
        <v>12</v>
      </c>
      <c r="B22" s="1236">
        <v>12302</v>
      </c>
      <c r="C22" s="324"/>
      <c r="D22" s="324"/>
      <c r="E22" s="324"/>
      <c r="F22" s="324"/>
    </row>
    <row r="23" spans="1:6">
      <c r="A23" s="1235" t="s">
        <v>13</v>
      </c>
      <c r="B23" s="1236">
        <v>350</v>
      </c>
      <c r="C23" s="324"/>
      <c r="D23" s="324"/>
      <c r="E23" s="324"/>
      <c r="F23" s="324"/>
    </row>
    <row r="24" spans="1:6">
      <c r="A24" s="1235" t="s">
        <v>14</v>
      </c>
      <c r="B24" s="1236">
        <v>20</v>
      </c>
      <c r="C24" s="324"/>
      <c r="D24" s="324"/>
      <c r="E24" s="324"/>
      <c r="F24" s="324"/>
    </row>
    <row r="25" spans="1:6">
      <c r="A25" s="1235" t="s">
        <v>15</v>
      </c>
      <c r="B25" s="1236">
        <v>1792</v>
      </c>
      <c r="C25" s="324"/>
      <c r="D25" s="324"/>
      <c r="E25" s="324"/>
      <c r="F25" s="324"/>
    </row>
    <row r="26" spans="1:6">
      <c r="A26" s="1235" t="s">
        <v>16</v>
      </c>
      <c r="B26" s="1236">
        <v>223</v>
      </c>
      <c r="C26" s="324"/>
      <c r="D26" s="324"/>
      <c r="E26" s="324"/>
      <c r="F26" s="324"/>
    </row>
    <row r="27" spans="1:6">
      <c r="A27" s="1235" t="s">
        <v>17</v>
      </c>
      <c r="B27" s="1236">
        <v>3</v>
      </c>
      <c r="C27" s="324"/>
      <c r="D27" s="324"/>
      <c r="E27" s="324"/>
      <c r="F27" s="324"/>
    </row>
    <row r="28" spans="1:6">
      <c r="A28" s="1235" t="s">
        <v>18</v>
      </c>
      <c r="B28" s="1237">
        <v>157761</v>
      </c>
      <c r="C28" s="324"/>
      <c r="D28" s="324"/>
      <c r="E28" s="324"/>
      <c r="F28" s="324"/>
    </row>
    <row r="29" spans="1:6">
      <c r="A29" s="1235" t="s">
        <v>959</v>
      </c>
      <c r="B29" s="1237">
        <v>103</v>
      </c>
      <c r="C29" s="324"/>
      <c r="D29" s="324"/>
      <c r="E29" s="324"/>
      <c r="F29" s="324"/>
    </row>
    <row r="30" spans="1:6">
      <c r="A30" s="1230" t="s">
        <v>960</v>
      </c>
      <c r="B30" s="1238">
        <v>18</v>
      </c>
      <c r="C30" s="327"/>
      <c r="D30" s="327"/>
      <c r="E30" s="327"/>
      <c r="F30" s="327"/>
    </row>
    <row r="31" spans="1:6" ht="15.75" thickBot="1">
      <c r="A31" s="328"/>
      <c r="B31" s="324"/>
      <c r="C31" s="324"/>
      <c r="D31" s="324"/>
      <c r="E31" s="324"/>
      <c r="F31" s="324"/>
    </row>
    <row r="32" spans="1:6" ht="20.25" thickBot="1">
      <c r="A32" s="1227" t="s">
        <v>19</v>
      </c>
      <c r="B32" s="325"/>
      <c r="C32" s="325"/>
      <c r="D32" s="325"/>
      <c r="E32" s="325"/>
      <c r="F32" s="329"/>
    </row>
    <row r="33" spans="1:6" ht="16.5" thickTop="1" thickBot="1">
      <c r="A33" s="1239"/>
      <c r="B33" s="1240"/>
      <c r="C33" s="1240"/>
      <c r="D33" s="1240"/>
      <c r="E33" s="1240" t="s">
        <v>20</v>
      </c>
      <c r="F33" s="1241"/>
    </row>
    <row r="34" spans="1:6" ht="16.5" thickTop="1" thickBot="1">
      <c r="A34" s="1242" t="s">
        <v>21</v>
      </c>
      <c r="B34" s="1243" t="s">
        <v>22</v>
      </c>
      <c r="C34" s="1243" t="s">
        <v>5</v>
      </c>
      <c r="D34" s="1243" t="s">
        <v>23</v>
      </c>
      <c r="E34" s="1243" t="s">
        <v>5</v>
      </c>
      <c r="F34" s="1244" t="s">
        <v>23</v>
      </c>
    </row>
    <row r="35" spans="1:6">
      <c r="A35" s="1235" t="s">
        <v>24</v>
      </c>
      <c r="B35" s="1235" t="s">
        <v>25</v>
      </c>
      <c r="C35" s="1236">
        <v>0</v>
      </c>
      <c r="D35" s="1236">
        <v>0</v>
      </c>
      <c r="E35" s="1236">
        <v>0</v>
      </c>
      <c r="F35" s="1236">
        <v>0</v>
      </c>
    </row>
    <row r="36" spans="1:6">
      <c r="A36" s="1235" t="s">
        <v>24</v>
      </c>
      <c r="B36" s="1235" t="s">
        <v>26</v>
      </c>
      <c r="C36" s="1236">
        <v>0</v>
      </c>
      <c r="D36" s="1236">
        <v>0</v>
      </c>
      <c r="E36" s="1236">
        <v>5</v>
      </c>
      <c r="F36" s="1236">
        <v>24988</v>
      </c>
    </row>
    <row r="37" spans="1:6">
      <c r="A37" s="1235" t="s">
        <v>24</v>
      </c>
      <c r="B37" s="1235" t="s">
        <v>27</v>
      </c>
      <c r="C37" s="1236">
        <v>0</v>
      </c>
      <c r="D37" s="1236">
        <v>0</v>
      </c>
      <c r="E37" s="1236">
        <v>0</v>
      </c>
      <c r="F37" s="1236">
        <v>0</v>
      </c>
    </row>
    <row r="38" spans="1:6">
      <c r="A38" s="1235" t="s">
        <v>24</v>
      </c>
      <c r="B38" s="1235" t="s">
        <v>28</v>
      </c>
      <c r="C38" s="1236">
        <v>0</v>
      </c>
      <c r="D38" s="1236">
        <v>0</v>
      </c>
      <c r="E38" s="1236">
        <v>0</v>
      </c>
      <c r="F38" s="1236">
        <v>0</v>
      </c>
    </row>
    <row r="39" spans="1:6">
      <c r="A39" s="1235" t="s">
        <v>29</v>
      </c>
      <c r="B39" s="1235" t="s">
        <v>30</v>
      </c>
      <c r="C39" s="1236">
        <v>7361</v>
      </c>
      <c r="D39" s="1236">
        <v>129690374</v>
      </c>
      <c r="E39" s="1236">
        <v>12705</v>
      </c>
      <c r="F39" s="1236">
        <v>55401248</v>
      </c>
    </row>
    <row r="40" spans="1:6">
      <c r="A40" s="1235" t="s">
        <v>29</v>
      </c>
      <c r="B40" s="1235" t="s">
        <v>28</v>
      </c>
      <c r="C40" s="1236">
        <v>0</v>
      </c>
      <c r="D40" s="1236">
        <v>0</v>
      </c>
      <c r="E40" s="1236">
        <v>0</v>
      </c>
      <c r="F40" s="1236">
        <v>0</v>
      </c>
    </row>
    <row r="41" spans="1:6">
      <c r="A41" s="1235" t="s">
        <v>31</v>
      </c>
      <c r="B41" s="1235" t="s">
        <v>32</v>
      </c>
      <c r="C41" s="1236">
        <v>76</v>
      </c>
      <c r="D41" s="1236">
        <v>13854351</v>
      </c>
      <c r="E41" s="1236">
        <v>192</v>
      </c>
      <c r="F41" s="1236">
        <v>20048144</v>
      </c>
    </row>
    <row r="42" spans="1:6">
      <c r="A42" s="1235" t="s">
        <v>31</v>
      </c>
      <c r="B42" s="1235" t="s">
        <v>33</v>
      </c>
      <c r="C42" s="1236">
        <v>0</v>
      </c>
      <c r="D42" s="1236">
        <v>0</v>
      </c>
      <c r="E42" s="1236">
        <v>3</v>
      </c>
      <c r="F42" s="1236">
        <v>995788</v>
      </c>
    </row>
    <row r="43" spans="1:6">
      <c r="A43" s="1235" t="s">
        <v>31</v>
      </c>
      <c r="B43" s="1235" t="s">
        <v>34</v>
      </c>
      <c r="C43" s="1236">
        <v>0</v>
      </c>
      <c r="D43" s="1236">
        <v>0</v>
      </c>
      <c r="E43" s="1236">
        <v>3</v>
      </c>
      <c r="F43" s="1236">
        <v>8529691</v>
      </c>
    </row>
    <row r="44" spans="1:6">
      <c r="A44" s="1235" t="s">
        <v>31</v>
      </c>
      <c r="B44" s="1235" t="s">
        <v>35</v>
      </c>
      <c r="C44" s="1236">
        <v>32</v>
      </c>
      <c r="D44" s="1236">
        <v>60801358</v>
      </c>
      <c r="E44" s="1236">
        <v>58</v>
      </c>
      <c r="F44" s="1236">
        <v>31122564</v>
      </c>
    </row>
    <row r="45" spans="1:6">
      <c r="A45" s="1235" t="s">
        <v>31</v>
      </c>
      <c r="B45" s="1235" t="s">
        <v>36</v>
      </c>
      <c r="C45" s="1236">
        <v>3</v>
      </c>
      <c r="D45" s="1236">
        <v>85953</v>
      </c>
      <c r="E45" s="1236">
        <v>3</v>
      </c>
      <c r="F45" s="1236">
        <v>37883</v>
      </c>
    </row>
    <row r="46" spans="1:6">
      <c r="A46" s="1235" t="s">
        <v>31</v>
      </c>
      <c r="B46" s="1235" t="s">
        <v>37</v>
      </c>
      <c r="C46" s="1236">
        <v>0</v>
      </c>
      <c r="D46" s="1236">
        <v>0</v>
      </c>
      <c r="E46" s="1236">
        <v>0</v>
      </c>
      <c r="F46" s="1236">
        <v>0</v>
      </c>
    </row>
    <row r="47" spans="1:6">
      <c r="A47" s="1235" t="s">
        <v>31</v>
      </c>
      <c r="B47" s="1235" t="s">
        <v>38</v>
      </c>
      <c r="C47" s="1236">
        <v>6</v>
      </c>
      <c r="D47" s="1236">
        <v>2914844</v>
      </c>
      <c r="E47" s="1236">
        <v>8</v>
      </c>
      <c r="F47" s="1236">
        <v>7804066</v>
      </c>
    </row>
    <row r="48" spans="1:6">
      <c r="A48" s="1235" t="s">
        <v>31</v>
      </c>
      <c r="B48" s="1235" t="s">
        <v>28</v>
      </c>
      <c r="C48" s="1236">
        <v>12</v>
      </c>
      <c r="D48" s="1236">
        <v>60847063</v>
      </c>
      <c r="E48" s="1236">
        <v>2</v>
      </c>
      <c r="F48" s="1236">
        <v>8897</v>
      </c>
    </row>
    <row r="49" spans="1:6">
      <c r="A49" s="1235" t="s">
        <v>31</v>
      </c>
      <c r="B49" s="1235" t="s">
        <v>39</v>
      </c>
      <c r="C49" s="1236">
        <v>3</v>
      </c>
      <c r="D49" s="1236">
        <v>3685178</v>
      </c>
      <c r="E49" s="1236">
        <v>6</v>
      </c>
      <c r="F49" s="1236">
        <v>1374420</v>
      </c>
    </row>
    <row r="50" spans="1:6">
      <c r="A50" s="1235" t="s">
        <v>31</v>
      </c>
      <c r="B50" s="1235" t="s">
        <v>40</v>
      </c>
      <c r="C50" s="1236">
        <v>4</v>
      </c>
      <c r="D50" s="1236">
        <v>653859</v>
      </c>
      <c r="E50" s="1236">
        <v>11</v>
      </c>
      <c r="F50" s="1236">
        <v>461589</v>
      </c>
    </row>
    <row r="51" spans="1:6">
      <c r="A51" s="1235" t="s">
        <v>41</v>
      </c>
      <c r="B51" s="1235" t="s">
        <v>42</v>
      </c>
      <c r="C51" s="1236">
        <v>0</v>
      </c>
      <c r="D51" s="1236">
        <v>0</v>
      </c>
      <c r="E51" s="1236">
        <v>65</v>
      </c>
      <c r="F51" s="1236">
        <v>2004954</v>
      </c>
    </row>
    <row r="52" spans="1:6">
      <c r="A52" s="1235" t="s">
        <v>41</v>
      </c>
      <c r="B52" s="1235" t="s">
        <v>28</v>
      </c>
      <c r="C52" s="1236">
        <v>4</v>
      </c>
      <c r="D52" s="1236">
        <v>109987</v>
      </c>
      <c r="E52" s="1236">
        <v>0</v>
      </c>
      <c r="F52" s="1236">
        <v>0</v>
      </c>
    </row>
    <row r="53" spans="1:6">
      <c r="A53" s="1235" t="s">
        <v>43</v>
      </c>
      <c r="B53" s="1235" t="s">
        <v>44</v>
      </c>
      <c r="C53" s="1236">
        <v>0</v>
      </c>
      <c r="D53" s="1236">
        <v>0</v>
      </c>
      <c r="E53" s="1236">
        <v>0</v>
      </c>
      <c r="F53" s="1236">
        <v>0</v>
      </c>
    </row>
    <row r="54" spans="1:6">
      <c r="A54" s="1235" t="s">
        <v>45</v>
      </c>
      <c r="B54" s="1235" t="s">
        <v>46</v>
      </c>
      <c r="C54" s="1236">
        <v>0</v>
      </c>
      <c r="D54" s="1236">
        <v>0</v>
      </c>
      <c r="E54" s="1236">
        <v>149</v>
      </c>
      <c r="F54" s="1236">
        <v>2129314</v>
      </c>
    </row>
    <row r="55" spans="1:6">
      <c r="A55" s="1235" t="s">
        <v>45</v>
      </c>
      <c r="B55" s="1235" t="s">
        <v>28</v>
      </c>
      <c r="C55" s="1236">
        <v>0</v>
      </c>
      <c r="D55" s="1236">
        <v>0</v>
      </c>
      <c r="E55" s="1236">
        <v>0</v>
      </c>
      <c r="F55" s="1236">
        <v>0</v>
      </c>
    </row>
    <row r="56" spans="1:6">
      <c r="A56" s="1235" t="s">
        <v>47</v>
      </c>
      <c r="B56" s="1235" t="s">
        <v>28</v>
      </c>
      <c r="C56" s="1236">
        <v>89</v>
      </c>
      <c r="D56" s="1236">
        <v>4480097</v>
      </c>
      <c r="E56" s="1236">
        <v>254</v>
      </c>
      <c r="F56" s="1236">
        <v>4087869</v>
      </c>
    </row>
    <row r="57" spans="1:6">
      <c r="A57" s="1235" t="s">
        <v>48</v>
      </c>
      <c r="B57" s="1235" t="s">
        <v>49</v>
      </c>
      <c r="C57" s="1236">
        <v>58</v>
      </c>
      <c r="D57" s="1236">
        <v>2987463</v>
      </c>
      <c r="E57" s="1236">
        <v>137</v>
      </c>
      <c r="F57" s="1236">
        <v>5363605</v>
      </c>
    </row>
    <row r="58" spans="1:6">
      <c r="A58" s="1235" t="s">
        <v>48</v>
      </c>
      <c r="B58" s="1235" t="s">
        <v>50</v>
      </c>
      <c r="C58" s="1236">
        <v>38</v>
      </c>
      <c r="D58" s="1236">
        <v>5482437</v>
      </c>
      <c r="E58" s="1236">
        <v>59</v>
      </c>
      <c r="F58" s="1236">
        <v>2085194</v>
      </c>
    </row>
    <row r="59" spans="1:6">
      <c r="A59" s="1235" t="s">
        <v>48</v>
      </c>
      <c r="B59" s="1235" t="s">
        <v>51</v>
      </c>
      <c r="C59" s="1236">
        <v>159</v>
      </c>
      <c r="D59" s="1236">
        <v>8766210</v>
      </c>
      <c r="E59" s="1236">
        <v>304</v>
      </c>
      <c r="F59" s="1236">
        <v>11188816</v>
      </c>
    </row>
    <row r="60" spans="1:6">
      <c r="A60" s="1235" t="s">
        <v>48</v>
      </c>
      <c r="B60" s="1235" t="s">
        <v>52</v>
      </c>
      <c r="C60" s="1236">
        <v>64</v>
      </c>
      <c r="D60" s="1236">
        <v>9284548</v>
      </c>
      <c r="E60" s="1236">
        <v>100</v>
      </c>
      <c r="F60" s="1236">
        <v>8321410</v>
      </c>
    </row>
    <row r="61" spans="1:6">
      <c r="A61" s="1235" t="s">
        <v>48</v>
      </c>
      <c r="B61" s="1235" t="s">
        <v>53</v>
      </c>
      <c r="C61" s="1236">
        <v>201</v>
      </c>
      <c r="D61" s="1236">
        <v>13728737</v>
      </c>
      <c r="E61" s="1236">
        <v>477</v>
      </c>
      <c r="F61" s="1236">
        <v>10748994</v>
      </c>
    </row>
    <row r="62" spans="1:6">
      <c r="A62" s="1235" t="s">
        <v>48</v>
      </c>
      <c r="B62" s="1235" t="s">
        <v>54</v>
      </c>
      <c r="C62" s="1236">
        <v>33</v>
      </c>
      <c r="D62" s="1236">
        <v>6218370</v>
      </c>
      <c r="E62" s="1236">
        <v>36</v>
      </c>
      <c r="F62" s="1236">
        <v>1371253</v>
      </c>
    </row>
    <row r="63" spans="1:6">
      <c r="A63" s="1235" t="s">
        <v>48</v>
      </c>
      <c r="B63" s="1235" t="s">
        <v>28</v>
      </c>
      <c r="C63" s="1236">
        <v>0</v>
      </c>
      <c r="D63" s="1236">
        <v>0</v>
      </c>
      <c r="E63" s="1236">
        <v>0</v>
      </c>
      <c r="F63" s="1236">
        <v>0</v>
      </c>
    </row>
    <row r="64" spans="1:6">
      <c r="A64" s="1235" t="s">
        <v>55</v>
      </c>
      <c r="B64" s="1235" t="s">
        <v>56</v>
      </c>
      <c r="C64" s="1236">
        <v>0</v>
      </c>
      <c r="D64" s="1236">
        <v>0</v>
      </c>
      <c r="E64" s="1236">
        <v>0</v>
      </c>
      <c r="F64" s="1236">
        <v>0</v>
      </c>
    </row>
    <row r="65" spans="1:6">
      <c r="A65" s="1235" t="s">
        <v>55</v>
      </c>
      <c r="B65" s="1235" t="s">
        <v>28</v>
      </c>
      <c r="C65" s="1236">
        <v>2</v>
      </c>
      <c r="D65" s="1236">
        <v>347116</v>
      </c>
      <c r="E65" s="1236">
        <v>0</v>
      </c>
      <c r="F65" s="1236">
        <v>0</v>
      </c>
    </row>
    <row r="66" spans="1:6">
      <c r="A66" s="1235" t="s">
        <v>55</v>
      </c>
      <c r="B66" s="1235" t="s">
        <v>57</v>
      </c>
      <c r="C66" s="1236">
        <v>0</v>
      </c>
      <c r="D66" s="1236">
        <v>0</v>
      </c>
      <c r="E66" s="1236">
        <v>0</v>
      </c>
      <c r="F66" s="1236">
        <v>0</v>
      </c>
    </row>
    <row r="67" spans="1:6">
      <c r="A67" s="1235" t="s">
        <v>55</v>
      </c>
      <c r="B67" s="1235" t="s">
        <v>58</v>
      </c>
      <c r="C67" s="1236">
        <v>0</v>
      </c>
      <c r="D67" s="1236">
        <v>0</v>
      </c>
      <c r="E67" s="1236">
        <v>0</v>
      </c>
      <c r="F67" s="1236">
        <v>0</v>
      </c>
    </row>
    <row r="68" spans="1:6">
      <c r="A68" s="1230" t="s">
        <v>55</v>
      </c>
      <c r="B68" s="1230" t="s">
        <v>59</v>
      </c>
      <c r="C68" s="1238">
        <v>0</v>
      </c>
      <c r="D68" s="1238">
        <v>0</v>
      </c>
      <c r="E68" s="1238">
        <v>11</v>
      </c>
      <c r="F68" s="1238">
        <v>471669</v>
      </c>
    </row>
    <row r="69" spans="1:6" ht="15.75" thickBot="1">
      <c r="A69" s="328"/>
      <c r="B69" s="324"/>
      <c r="C69" s="324"/>
      <c r="D69" s="324"/>
      <c r="E69" s="324"/>
      <c r="F69" s="324"/>
    </row>
    <row r="70" spans="1:6" ht="19.5">
      <c r="A70" s="1227" t="s">
        <v>60</v>
      </c>
      <c r="B70" s="325"/>
      <c r="C70" s="325"/>
      <c r="D70" s="325"/>
      <c r="E70" s="325"/>
      <c r="F70" s="329"/>
    </row>
    <row r="71" spans="1:6" ht="20.25" thickBot="1">
      <c r="A71" s="1245"/>
      <c r="B71" s="1255"/>
      <c r="C71" s="1255"/>
      <c r="D71" s="1256" t="s">
        <v>437</v>
      </c>
      <c r="E71" s="1255"/>
      <c r="F71" s="331"/>
    </row>
    <row r="72" spans="1:6" ht="16.5" thickTop="1" thickBot="1">
      <c r="A72" s="1232" t="s">
        <v>61</v>
      </c>
      <c r="B72" s="1233" t="s">
        <v>62</v>
      </c>
      <c r="C72" s="1246" t="s">
        <v>727</v>
      </c>
      <c r="D72" s="1247"/>
      <c r="E72" s="1247"/>
      <c r="F72" s="1234"/>
    </row>
    <row r="73" spans="1:6">
      <c r="A73" s="1235" t="s">
        <v>63</v>
      </c>
      <c r="B73" s="1235" t="s">
        <v>728</v>
      </c>
      <c r="C73" s="1248" t="s">
        <v>729</v>
      </c>
      <c r="D73" s="1236">
        <v>123057844</v>
      </c>
      <c r="E73" s="443"/>
      <c r="F73" s="324"/>
    </row>
    <row r="74" spans="1:6">
      <c r="A74" s="1235" t="s">
        <v>63</v>
      </c>
      <c r="B74" s="1235" t="s">
        <v>730</v>
      </c>
      <c r="C74" s="1248" t="s">
        <v>731</v>
      </c>
      <c r="D74" s="1236">
        <v>12126344.192422815</v>
      </c>
      <c r="E74" s="443"/>
      <c r="F74" s="324"/>
    </row>
    <row r="75" spans="1:6">
      <c r="A75" s="1235" t="s">
        <v>64</v>
      </c>
      <c r="B75" s="1235" t="s">
        <v>728</v>
      </c>
      <c r="C75" s="1248" t="s">
        <v>732</v>
      </c>
      <c r="D75" s="1236">
        <v>45148193</v>
      </c>
      <c r="E75" s="443"/>
      <c r="F75" s="324"/>
    </row>
    <row r="76" spans="1:6">
      <c r="A76" s="1235" t="s">
        <v>64</v>
      </c>
      <c r="B76" s="1235" t="s">
        <v>730</v>
      </c>
      <c r="C76" s="1248" t="s">
        <v>733</v>
      </c>
      <c r="D76" s="1236">
        <v>1201117.1924228142</v>
      </c>
      <c r="E76" s="443"/>
      <c r="F76" s="324"/>
    </row>
    <row r="77" spans="1:6">
      <c r="A77" s="1235" t="s">
        <v>65</v>
      </c>
      <c r="B77" s="1235" t="s">
        <v>728</v>
      </c>
      <c r="C77" s="1248" t="s">
        <v>734</v>
      </c>
      <c r="D77" s="1236">
        <v>0</v>
      </c>
      <c r="E77" s="443"/>
      <c r="F77" s="324"/>
    </row>
    <row r="78" spans="1:6">
      <c r="A78" s="1230" t="s">
        <v>65</v>
      </c>
      <c r="B78" s="1230" t="s">
        <v>730</v>
      </c>
      <c r="C78" s="1230" t="s">
        <v>735</v>
      </c>
      <c r="D78" s="1238">
        <v>0</v>
      </c>
      <c r="E78" s="1249"/>
      <c r="F78" s="327"/>
    </row>
    <row r="79" spans="1:6">
      <c r="A79" s="1250"/>
      <c r="B79" s="1250"/>
      <c r="C79" s="324"/>
      <c r="D79" s="324"/>
      <c r="E79" s="324"/>
      <c r="F79" s="324"/>
    </row>
    <row r="80" spans="1:6" ht="15.75" thickBot="1">
      <c r="A80" s="1250"/>
      <c r="B80" s="1250"/>
      <c r="C80" s="324"/>
      <c r="D80" s="324"/>
      <c r="E80" s="324"/>
      <c r="F80" s="324"/>
    </row>
    <row r="81" spans="1:6" ht="20.25" thickBot="1">
      <c r="A81" s="1227" t="s">
        <v>321</v>
      </c>
      <c r="B81" s="1251"/>
      <c r="C81" s="325"/>
      <c r="D81" s="325"/>
      <c r="E81" s="325"/>
      <c r="F81" s="329"/>
    </row>
    <row r="82" spans="1:6" ht="16.5" thickTop="1" thickBot="1">
      <c r="A82" s="1232" t="s">
        <v>322</v>
      </c>
      <c r="B82" s="1247"/>
      <c r="C82" s="1247"/>
      <c r="D82" s="1233"/>
      <c r="E82" s="1233"/>
      <c r="F82" s="1234"/>
    </row>
    <row r="83" spans="1:6">
      <c r="A83" s="1235" t="s">
        <v>323</v>
      </c>
      <c r="B83" s="1236">
        <v>1146027.6151543716</v>
      </c>
      <c r="C83" s="443"/>
      <c r="D83" s="324"/>
      <c r="E83" s="324"/>
      <c r="F83" s="324"/>
    </row>
    <row r="84" spans="1:6">
      <c r="A84" s="1230" t="s">
        <v>324</v>
      </c>
      <c r="B84" s="1238">
        <v>0</v>
      </c>
      <c r="C84" s="1249"/>
      <c r="D84" s="327"/>
      <c r="E84" s="327"/>
      <c r="F84" s="327"/>
    </row>
    <row r="85" spans="1:6">
      <c r="A85" s="1250"/>
      <c r="B85" s="1252"/>
      <c r="C85" s="324"/>
      <c r="D85" s="324"/>
      <c r="E85" s="324"/>
      <c r="F85" s="324"/>
    </row>
    <row r="86" spans="1:6" ht="15.75" thickBot="1">
      <c r="A86" s="328"/>
      <c r="B86" s="324"/>
      <c r="C86" s="324"/>
      <c r="D86" s="324"/>
      <c r="E86" s="324"/>
      <c r="F86" s="324"/>
    </row>
    <row r="87" spans="1:6" ht="20.25" thickBot="1">
      <c r="A87" s="1227" t="s">
        <v>66</v>
      </c>
      <c r="B87" s="325"/>
      <c r="C87" s="325"/>
      <c r="D87" s="325"/>
      <c r="E87" s="325"/>
      <c r="F87" s="329"/>
    </row>
    <row r="88" spans="1:6" ht="16.5" thickTop="1" thickBot="1">
      <c r="A88" s="1232" t="s">
        <v>4</v>
      </c>
      <c r="B88" s="1233" t="s">
        <v>163</v>
      </c>
      <c r="C88" s="1233"/>
      <c r="D88" s="1233"/>
      <c r="E88" s="1233"/>
      <c r="F88" s="1234"/>
    </row>
    <row r="89" spans="1:6">
      <c r="A89" s="1235" t="s">
        <v>542</v>
      </c>
      <c r="B89" s="1236">
        <v>0</v>
      </c>
      <c r="C89" s="324"/>
      <c r="D89" s="324"/>
      <c r="E89" s="324"/>
      <c r="F89" s="324"/>
    </row>
    <row r="90" spans="1:6">
      <c r="A90" s="1235" t="s">
        <v>543</v>
      </c>
      <c r="B90" s="1236">
        <v>0</v>
      </c>
      <c r="C90" s="324"/>
      <c r="D90" s="324"/>
      <c r="E90" s="324"/>
      <c r="F90" s="324"/>
    </row>
    <row r="91" spans="1:6">
      <c r="A91" s="1235" t="s">
        <v>67</v>
      </c>
      <c r="B91" s="1236">
        <v>4281.3570292174554</v>
      </c>
      <c r="C91" s="324"/>
      <c r="D91" s="324"/>
      <c r="E91" s="324"/>
      <c r="F91" s="324"/>
    </row>
    <row r="92" spans="1:6">
      <c r="A92" s="1230" t="s">
        <v>68</v>
      </c>
      <c r="B92" s="1231">
        <v>7454.0137894089839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27" t="s">
        <v>69</v>
      </c>
      <c r="B95" s="325"/>
      <c r="C95" s="325"/>
      <c r="D95" s="325"/>
      <c r="E95" s="325"/>
      <c r="F95" s="329"/>
    </row>
    <row r="96" spans="1:6" ht="16.5" thickTop="1" thickBot="1">
      <c r="A96" s="1232" t="s">
        <v>4</v>
      </c>
      <c r="B96" s="1233" t="s">
        <v>5</v>
      </c>
      <c r="C96" s="1233"/>
      <c r="D96" s="1233"/>
      <c r="E96" s="1233"/>
      <c r="F96" s="1234"/>
    </row>
    <row r="97" spans="1:6">
      <c r="A97" s="1235" t="s">
        <v>70</v>
      </c>
      <c r="B97" s="1236">
        <v>3344</v>
      </c>
      <c r="C97" s="324"/>
      <c r="D97" s="324"/>
      <c r="E97" s="324"/>
      <c r="F97" s="324"/>
    </row>
    <row r="98" spans="1:6">
      <c r="A98" s="1235" t="s">
        <v>71</v>
      </c>
      <c r="B98" s="1236">
        <v>4</v>
      </c>
      <c r="C98" s="324"/>
      <c r="D98" s="324"/>
      <c r="E98" s="324"/>
      <c r="F98" s="324"/>
    </row>
    <row r="99" spans="1:6">
      <c r="A99" s="1235" t="s">
        <v>72</v>
      </c>
      <c r="B99" s="1236">
        <v>160</v>
      </c>
      <c r="C99" s="324"/>
      <c r="D99" s="324"/>
      <c r="E99" s="324"/>
      <c r="F99" s="324"/>
    </row>
    <row r="100" spans="1:6">
      <c r="A100" s="1235" t="s">
        <v>73</v>
      </c>
      <c r="B100" s="1236">
        <v>517</v>
      </c>
      <c r="C100" s="324"/>
      <c r="D100" s="324"/>
      <c r="E100" s="324"/>
      <c r="F100" s="324"/>
    </row>
    <row r="101" spans="1:6">
      <c r="A101" s="1235" t="s">
        <v>74</v>
      </c>
      <c r="B101" s="1236">
        <v>132</v>
      </c>
      <c r="C101" s="324"/>
      <c r="D101" s="324"/>
      <c r="E101" s="324"/>
      <c r="F101" s="324"/>
    </row>
    <row r="102" spans="1:6">
      <c r="A102" s="1235" t="s">
        <v>75</v>
      </c>
      <c r="B102" s="1236">
        <v>110</v>
      </c>
      <c r="C102" s="324"/>
      <c r="D102" s="324"/>
      <c r="E102" s="324"/>
      <c r="F102" s="324"/>
    </row>
    <row r="103" spans="1:6">
      <c r="A103" s="1235" t="s">
        <v>76</v>
      </c>
      <c r="B103" s="1236">
        <v>145</v>
      </c>
      <c r="C103" s="324"/>
      <c r="D103" s="324"/>
      <c r="E103" s="324"/>
      <c r="F103" s="324"/>
    </row>
    <row r="104" spans="1:6">
      <c r="A104" s="1235" t="s">
        <v>77</v>
      </c>
      <c r="B104" s="1236">
        <v>6042</v>
      </c>
      <c r="C104" s="324"/>
      <c r="D104" s="324"/>
      <c r="E104" s="324"/>
      <c r="F104" s="324"/>
    </row>
    <row r="105" spans="1:6">
      <c r="A105" s="1230" t="s">
        <v>78</v>
      </c>
      <c r="B105" s="1238">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27" t="s">
        <v>626</v>
      </c>
      <c r="B108" s="325"/>
      <c r="C108" s="325"/>
      <c r="D108" s="325"/>
      <c r="E108" s="325"/>
      <c r="F108" s="329"/>
    </row>
    <row r="109" spans="1:6" ht="16.5" thickTop="1" thickBot="1">
      <c r="A109" s="1232" t="s">
        <v>4</v>
      </c>
      <c r="B109" s="1233" t="s">
        <v>5</v>
      </c>
      <c r="C109" s="1233"/>
      <c r="D109" s="1233"/>
      <c r="E109" s="1233"/>
      <c r="F109" s="1234"/>
    </row>
    <row r="110" spans="1:6">
      <c r="A110" s="1235" t="s">
        <v>627</v>
      </c>
      <c r="B110" s="1236">
        <v>0</v>
      </c>
      <c r="C110" s="324"/>
      <c r="D110" s="324"/>
      <c r="E110" s="324"/>
      <c r="F110" s="324"/>
    </row>
    <row r="111" spans="1:6">
      <c r="A111" s="1253" t="s">
        <v>628</v>
      </c>
      <c r="B111" s="1254">
        <v>0</v>
      </c>
      <c r="C111" s="1257"/>
      <c r="D111" s="1257"/>
      <c r="E111" s="1257"/>
      <c r="F111" s="1257"/>
    </row>
    <row r="112" spans="1:6">
      <c r="A112" s="1235"/>
      <c r="B112" s="324"/>
      <c r="C112" s="324"/>
      <c r="D112" s="324"/>
      <c r="E112" s="324"/>
      <c r="F112" s="324"/>
    </row>
    <row r="113" spans="1:6" ht="15.75" thickBot="1">
      <c r="A113" s="1230"/>
      <c r="B113" s="327"/>
      <c r="C113" s="327"/>
      <c r="D113" s="327"/>
      <c r="E113" s="327"/>
      <c r="F113" s="327"/>
    </row>
    <row r="114" spans="1:6" ht="20.25" thickBot="1">
      <c r="A114" s="122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32" t="s">
        <v>4</v>
      </c>
      <c r="B116" s="1233" t="s">
        <v>5</v>
      </c>
      <c r="C116" s="1233" t="s">
        <v>5</v>
      </c>
      <c r="D116" s="1233"/>
      <c r="E116" s="1233"/>
      <c r="F116" s="1234"/>
    </row>
    <row r="117" spans="1:6">
      <c r="A117" s="1235" t="s">
        <v>82</v>
      </c>
      <c r="B117" s="1236">
        <v>0</v>
      </c>
      <c r="C117" s="1236">
        <v>0</v>
      </c>
      <c r="D117" s="324"/>
      <c r="E117" s="324"/>
      <c r="F117" s="324"/>
    </row>
    <row r="118" spans="1:6">
      <c r="A118" s="1235" t="s">
        <v>83</v>
      </c>
      <c r="B118" s="1236">
        <v>0</v>
      </c>
      <c r="C118" s="1236">
        <v>0</v>
      </c>
      <c r="D118" s="324"/>
      <c r="E118" s="324"/>
      <c r="F118" s="324"/>
    </row>
    <row r="119" spans="1:6">
      <c r="A119" s="1235" t="s">
        <v>31</v>
      </c>
      <c r="B119" s="1236">
        <v>0</v>
      </c>
      <c r="C119" s="1236">
        <v>0</v>
      </c>
      <c r="D119" s="324"/>
      <c r="E119" s="324"/>
      <c r="F119" s="324"/>
    </row>
    <row r="120" spans="1:6">
      <c r="A120" s="1235" t="s">
        <v>84</v>
      </c>
      <c r="B120" s="1236">
        <v>0</v>
      </c>
      <c r="C120" s="1236">
        <v>0</v>
      </c>
      <c r="D120" s="324"/>
      <c r="E120" s="324"/>
      <c r="F120" s="324"/>
    </row>
    <row r="121" spans="1:6">
      <c r="A121" s="1235" t="s">
        <v>85</v>
      </c>
      <c r="B121" s="1236">
        <v>0</v>
      </c>
      <c r="C121" s="1236">
        <v>0</v>
      </c>
      <c r="D121" s="324"/>
      <c r="E121" s="324"/>
      <c r="F121" s="324"/>
    </row>
    <row r="122" spans="1:6">
      <c r="A122" s="1235" t="s">
        <v>86</v>
      </c>
      <c r="B122" s="1236">
        <v>0</v>
      </c>
      <c r="C122" s="1236">
        <v>0</v>
      </c>
      <c r="D122" s="324"/>
      <c r="E122" s="324"/>
      <c r="F122" s="324"/>
    </row>
    <row r="123" spans="1:6">
      <c r="A123" s="1235" t="s">
        <v>87</v>
      </c>
      <c r="B123" s="1236">
        <v>5</v>
      </c>
      <c r="C123" s="1236">
        <v>18</v>
      </c>
      <c r="D123" s="324"/>
      <c r="E123" s="324"/>
      <c r="F123" s="324"/>
    </row>
    <row r="124" spans="1:6">
      <c r="A124" s="1235" t="s">
        <v>88</v>
      </c>
      <c r="B124" s="1236">
        <v>1</v>
      </c>
      <c r="C124" s="1236">
        <v>1</v>
      </c>
      <c r="D124" s="324"/>
      <c r="E124" s="324"/>
      <c r="F124" s="324"/>
    </row>
    <row r="125" spans="1:6">
      <c r="A125" s="1230" t="s">
        <v>904</v>
      </c>
      <c r="B125" s="1236">
        <v>0</v>
      </c>
      <c r="C125" s="1236">
        <v>0</v>
      </c>
      <c r="D125" s="324"/>
      <c r="E125" s="324"/>
      <c r="F125" s="324"/>
    </row>
    <row r="126" spans="1:6" ht="15.75" thickBot="1">
      <c r="A126" s="1250"/>
      <c r="B126" s="324"/>
      <c r="C126" s="324"/>
      <c r="D126" s="324"/>
      <c r="E126" s="324"/>
      <c r="F126" s="324"/>
    </row>
    <row r="127" spans="1:6" ht="20.25" thickBot="1">
      <c r="A127" s="1227" t="s">
        <v>282</v>
      </c>
      <c r="B127" s="325"/>
      <c r="C127" s="325"/>
      <c r="D127" s="325"/>
      <c r="E127" s="325"/>
      <c r="F127" s="329"/>
    </row>
    <row r="128" spans="1:6" ht="16.5" thickTop="1" thickBot="1">
      <c r="A128" s="1232" t="s">
        <v>4</v>
      </c>
      <c r="B128" s="1233" t="s">
        <v>5</v>
      </c>
      <c r="C128" s="1233"/>
      <c r="D128" s="1233"/>
      <c r="E128" s="1233"/>
      <c r="F128" s="1234"/>
    </row>
    <row r="129" spans="1:6">
      <c r="A129" s="1235" t="s">
        <v>283</v>
      </c>
      <c r="B129" s="1236">
        <v>158</v>
      </c>
      <c r="C129" s="324"/>
      <c r="D129" s="324"/>
      <c r="E129" s="324"/>
      <c r="F129" s="324"/>
    </row>
    <row r="130" spans="1:6">
      <c r="A130" s="1235" t="s">
        <v>284</v>
      </c>
      <c r="B130" s="1236">
        <v>0</v>
      </c>
      <c r="C130" s="324"/>
      <c r="D130" s="324"/>
      <c r="E130" s="324"/>
      <c r="F130" s="324"/>
    </row>
    <row r="131" spans="1:6">
      <c r="A131" s="1235" t="s">
        <v>285</v>
      </c>
      <c r="B131" s="1236">
        <v>0</v>
      </c>
      <c r="C131" s="324"/>
      <c r="D131" s="324"/>
      <c r="E131" s="324"/>
      <c r="F131" s="324"/>
    </row>
    <row r="132" spans="1:6">
      <c r="A132" s="1230" t="s">
        <v>286</v>
      </c>
      <c r="B132" s="1231">
        <v>11</v>
      </c>
      <c r="C132" s="327"/>
      <c r="D132" s="327"/>
      <c r="E132" s="327"/>
      <c r="F132" s="327"/>
    </row>
    <row r="133" spans="1:6">
      <c r="A133" s="324"/>
      <c r="B133" s="324"/>
      <c r="C133" s="324"/>
      <c r="D133" s="324"/>
      <c r="E133" s="324"/>
      <c r="F133" s="324"/>
    </row>
    <row r="134" spans="1:6">
      <c r="A134" s="125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5" customWidth="1"/>
  </cols>
  <sheetData>
    <row r="1" spans="1:9" ht="18.75" thickBot="1">
      <c r="A1" s="121" t="s">
        <v>173</v>
      </c>
      <c r="B1" s="501"/>
    </row>
    <row r="2" spans="1:9">
      <c r="A2" s="44" t="s">
        <v>907</v>
      </c>
      <c r="B2" s="502"/>
    </row>
    <row r="3" spans="1:9">
      <c r="A3" s="44"/>
      <c r="B3" s="502"/>
    </row>
    <row r="4" spans="1:9" ht="18">
      <c r="A4" s="136" t="s">
        <v>174</v>
      </c>
      <c r="B4" s="503" t="s">
        <v>377</v>
      </c>
    </row>
    <row r="5" spans="1:9" ht="21">
      <c r="A5" s="116" t="s">
        <v>176</v>
      </c>
      <c r="B5" s="504"/>
      <c r="E5" s="9"/>
      <c r="F5" s="9"/>
      <c r="G5" s="9"/>
    </row>
    <row r="6" spans="1:9">
      <c r="A6" s="117" t="s">
        <v>177</v>
      </c>
      <c r="B6" s="505">
        <v>4.0513950503279288</v>
      </c>
      <c r="E6" s="10"/>
      <c r="F6" s="10"/>
      <c r="G6" s="10"/>
      <c r="H6" s="10"/>
      <c r="I6" s="10"/>
    </row>
    <row r="7" spans="1:9">
      <c r="A7" s="117" t="s">
        <v>6</v>
      </c>
      <c r="B7" s="505">
        <v>123.2550295208157</v>
      </c>
      <c r="H7" s="10"/>
      <c r="I7" s="10"/>
    </row>
    <row r="8" spans="1:9">
      <c r="A8" s="117" t="s">
        <v>7</v>
      </c>
      <c r="B8" s="505">
        <v>68.872016048768984</v>
      </c>
      <c r="H8" s="10"/>
      <c r="I8" s="10"/>
    </row>
    <row r="9" spans="1:9">
      <c r="A9" s="117" t="s">
        <v>8</v>
      </c>
      <c r="B9" s="505">
        <v>31.909886478760502</v>
      </c>
      <c r="E9" s="10"/>
      <c r="F9" s="10"/>
      <c r="G9" s="10"/>
      <c r="H9" s="10"/>
      <c r="I9" s="10"/>
    </row>
    <row r="10" spans="1:9">
      <c r="A10" s="117" t="s">
        <v>9</v>
      </c>
      <c r="B10" s="505">
        <v>47.849994776441498</v>
      </c>
      <c r="E10" s="11"/>
      <c r="F10" s="11"/>
      <c r="G10" s="11"/>
      <c r="H10" s="10"/>
      <c r="I10" s="10"/>
    </row>
    <row r="11" spans="1:9">
      <c r="A11" s="117" t="s">
        <v>10</v>
      </c>
      <c r="B11" s="505">
        <v>41.361552447157969</v>
      </c>
      <c r="E11" s="11"/>
      <c r="F11" s="11"/>
      <c r="G11" s="11"/>
      <c r="H11" s="10"/>
      <c r="I11" s="10"/>
    </row>
    <row r="12" spans="1:9">
      <c r="A12" s="118" t="s">
        <v>16</v>
      </c>
      <c r="B12" s="505">
        <v>8</v>
      </c>
      <c r="E12" s="10"/>
      <c r="F12" s="10"/>
      <c r="G12" s="10"/>
      <c r="H12" s="10"/>
      <c r="I12" s="10"/>
    </row>
    <row r="13" spans="1:9">
      <c r="A13" s="118" t="s">
        <v>17</v>
      </c>
      <c r="B13" s="505">
        <v>5</v>
      </c>
      <c r="E13" s="10"/>
      <c r="F13" s="10"/>
      <c r="G13" s="10"/>
      <c r="H13" s="10"/>
      <c r="I13" s="10"/>
    </row>
    <row r="14" spans="1:9">
      <c r="A14" s="118" t="s">
        <v>178</v>
      </c>
      <c r="B14" s="505">
        <v>1.5</v>
      </c>
      <c r="E14" s="10"/>
      <c r="F14" s="10"/>
      <c r="G14" s="10"/>
      <c r="H14" s="10"/>
      <c r="I14" s="10"/>
    </row>
    <row r="15" spans="1:9">
      <c r="A15" s="118" t="s">
        <v>179</v>
      </c>
      <c r="B15" s="505">
        <v>18</v>
      </c>
      <c r="E15" s="10"/>
      <c r="F15" s="10"/>
      <c r="G15" s="10"/>
      <c r="H15" s="10"/>
      <c r="I15" s="10"/>
    </row>
    <row r="16" spans="1:9">
      <c r="A16" s="118" t="s">
        <v>180</v>
      </c>
      <c r="B16" s="506">
        <v>10</v>
      </c>
      <c r="E16" s="10"/>
      <c r="F16" s="10"/>
      <c r="G16" s="10"/>
      <c r="H16" s="10"/>
      <c r="I16" s="10"/>
    </row>
    <row r="17" spans="1:9" s="43" customFormat="1" ht="15.75" thickBot="1">
      <c r="A17" s="119"/>
      <c r="B17" s="507"/>
      <c r="E17" s="155"/>
      <c r="F17" s="155"/>
      <c r="G17" s="155"/>
      <c r="H17" s="155"/>
      <c r="I17" s="155"/>
    </row>
    <row r="18" spans="1:9" s="43" customFormat="1" ht="15.75" thickBot="1">
      <c r="A18" s="192"/>
      <c r="B18" s="508"/>
      <c r="E18" s="155"/>
      <c r="F18" s="155"/>
      <c r="G18" s="155"/>
      <c r="H18" s="155"/>
      <c r="I18" s="155"/>
    </row>
    <row r="19" spans="1:9" ht="18.75" thickBot="1">
      <c r="A19" s="121" t="s">
        <v>181</v>
      </c>
      <c r="B19" s="501"/>
      <c r="E19" s="10"/>
      <c r="F19" s="10"/>
      <c r="G19" s="10"/>
      <c r="H19" s="10"/>
      <c r="I19" s="10"/>
    </row>
    <row r="20" spans="1:9">
      <c r="A20" s="44" t="s">
        <v>907</v>
      </c>
      <c r="B20" s="502"/>
      <c r="E20" s="10"/>
      <c r="F20" s="10"/>
      <c r="G20" s="10"/>
      <c r="H20" s="10"/>
      <c r="I20" s="10"/>
    </row>
    <row r="21" spans="1:9">
      <c r="A21" s="44"/>
      <c r="B21" s="502"/>
      <c r="E21" s="10"/>
      <c r="F21" s="10"/>
      <c r="G21" s="10"/>
      <c r="H21" s="10"/>
      <c r="I21" s="10"/>
    </row>
    <row r="22" spans="1:9" ht="18">
      <c r="A22" s="137" t="s">
        <v>174</v>
      </c>
      <c r="B22" s="509" t="s">
        <v>377</v>
      </c>
      <c r="E22" s="10"/>
      <c r="F22" s="10"/>
      <c r="G22" s="10"/>
      <c r="H22" s="10"/>
      <c r="I22" s="10"/>
    </row>
    <row r="23" spans="1:9" s="72" customFormat="1">
      <c r="A23" s="118" t="s">
        <v>176</v>
      </c>
      <c r="B23" s="505">
        <v>8.2447569212488219</v>
      </c>
    </row>
    <row r="24" spans="1:9">
      <c r="A24" s="117" t="s">
        <v>177</v>
      </c>
      <c r="B24" s="505">
        <v>4.2231090152811745</v>
      </c>
      <c r="E24" s="10"/>
      <c r="F24" s="10"/>
      <c r="G24" s="10"/>
      <c r="H24" s="10"/>
      <c r="I24" s="10"/>
    </row>
    <row r="25" spans="1:9">
      <c r="A25" s="117" t="s">
        <v>6</v>
      </c>
      <c r="B25" s="505">
        <v>30.648801397177166</v>
      </c>
      <c r="E25" s="10"/>
      <c r="F25" s="10"/>
      <c r="G25" s="10"/>
      <c r="H25" s="10"/>
      <c r="I25" s="10"/>
    </row>
    <row r="26" spans="1:9">
      <c r="A26" s="117" t="s">
        <v>7</v>
      </c>
      <c r="B26" s="505">
        <v>1.9394927414205594</v>
      </c>
      <c r="E26" s="10"/>
      <c r="F26" s="10"/>
      <c r="G26" s="10"/>
      <c r="H26" s="10"/>
      <c r="I26" s="10"/>
    </row>
    <row r="27" spans="1:9">
      <c r="A27" s="117" t="s">
        <v>8</v>
      </c>
      <c r="B27" s="505">
        <v>1.1850645797210961</v>
      </c>
      <c r="E27" s="10"/>
      <c r="F27" s="10"/>
      <c r="G27" s="10"/>
      <c r="H27" s="10"/>
      <c r="I27" s="10"/>
    </row>
    <row r="28" spans="1:9">
      <c r="A28" s="117" t="s">
        <v>9</v>
      </c>
      <c r="B28" s="505">
        <v>4.7542988509326838</v>
      </c>
      <c r="E28" s="10"/>
      <c r="F28" s="10"/>
      <c r="G28" s="10"/>
      <c r="H28" s="10"/>
      <c r="I28" s="10"/>
    </row>
    <row r="29" spans="1:9">
      <c r="A29" s="117" t="s">
        <v>10</v>
      </c>
      <c r="B29" s="505">
        <v>3.3232292777158943</v>
      </c>
      <c r="E29" s="10"/>
      <c r="F29" s="10"/>
      <c r="G29" s="10"/>
      <c r="H29" s="10"/>
      <c r="I29" s="10"/>
    </row>
    <row r="30" spans="1:9">
      <c r="A30" s="118" t="s">
        <v>178</v>
      </c>
      <c r="B30" s="505">
        <v>4.5146961512215507</v>
      </c>
      <c r="E30" s="10"/>
      <c r="F30" s="10"/>
      <c r="G30" s="10"/>
      <c r="H30" s="10"/>
      <c r="I30" s="10"/>
    </row>
    <row r="31" spans="1:9">
      <c r="A31" s="117" t="s">
        <v>11</v>
      </c>
      <c r="B31" s="505">
        <v>1.6075002802320004</v>
      </c>
      <c r="E31" s="10"/>
      <c r="F31" s="10"/>
      <c r="G31" s="10"/>
      <c r="H31" s="10"/>
      <c r="I31" s="10"/>
    </row>
    <row r="32" spans="1:9">
      <c r="A32" s="117" t="s">
        <v>12</v>
      </c>
      <c r="B32" s="505">
        <v>4.8225008406960006</v>
      </c>
      <c r="E32" s="10"/>
      <c r="F32" s="10"/>
      <c r="G32" s="10"/>
      <c r="H32" s="10"/>
      <c r="I32" s="10"/>
    </row>
    <row r="33" spans="1:11">
      <c r="A33" s="117" t="s">
        <v>13</v>
      </c>
      <c r="B33" s="505">
        <v>6.3685027042560023</v>
      </c>
      <c r="E33" s="10"/>
      <c r="F33" s="10"/>
      <c r="G33" s="10"/>
      <c r="H33" s="10"/>
      <c r="I33" s="10"/>
    </row>
    <row r="34" spans="1:11">
      <c r="A34" s="117" t="s">
        <v>14</v>
      </c>
      <c r="B34" s="505">
        <v>4.6362973013280016</v>
      </c>
      <c r="E34" s="10"/>
      <c r="F34" s="10"/>
      <c r="G34" s="10"/>
      <c r="H34" s="10"/>
      <c r="I34" s="10"/>
    </row>
    <row r="35" spans="1:11">
      <c r="A35" s="117" t="s">
        <v>15</v>
      </c>
      <c r="B35" s="505">
        <v>12.338973989496003</v>
      </c>
      <c r="E35" s="10"/>
      <c r="F35" s="10"/>
      <c r="G35" s="10"/>
      <c r="H35" s="10"/>
      <c r="I35" s="10"/>
    </row>
    <row r="36" spans="1:11">
      <c r="A36" s="118" t="s">
        <v>16</v>
      </c>
      <c r="B36" s="505">
        <v>0.19</v>
      </c>
      <c r="E36" s="10"/>
      <c r="F36" s="10"/>
      <c r="G36" s="10"/>
      <c r="H36" s="10"/>
      <c r="I36" s="10"/>
    </row>
    <row r="37" spans="1:11">
      <c r="A37" s="118" t="s">
        <v>17</v>
      </c>
      <c r="B37" s="505">
        <v>0.13</v>
      </c>
    </row>
    <row r="38" spans="1:11">
      <c r="A38" s="118" t="s">
        <v>179</v>
      </c>
      <c r="B38" s="505">
        <v>1.56</v>
      </c>
    </row>
    <row r="39" spans="1:11">
      <c r="A39" s="118" t="s">
        <v>180</v>
      </c>
      <c r="B39" s="505">
        <v>0.76</v>
      </c>
    </row>
    <row r="40" spans="1:11">
      <c r="A40" s="118" t="s">
        <v>18</v>
      </c>
      <c r="B40" s="506">
        <v>2.3645904920866174E-2</v>
      </c>
    </row>
    <row r="41" spans="1:11" ht="15.75" thickBot="1">
      <c r="A41" s="119"/>
      <c r="B41" s="510"/>
    </row>
    <row r="42" spans="1:11" s="43" customFormat="1" ht="15.75" thickBot="1">
      <c r="A42" s="193"/>
      <c r="B42" s="508"/>
      <c r="E42" s="194"/>
      <c r="F42" s="194"/>
      <c r="G42" s="194"/>
      <c r="H42" s="194"/>
      <c r="I42" s="194"/>
      <c r="J42" s="194"/>
      <c r="K42" s="194"/>
    </row>
    <row r="43" spans="1:11" ht="15.75" thickBot="1">
      <c r="A43" s="121" t="s">
        <v>182</v>
      </c>
      <c r="B43" s="511"/>
    </row>
    <row r="44" spans="1:11">
      <c r="A44" s="44" t="s">
        <v>669</v>
      </c>
      <c r="B44" s="502"/>
    </row>
    <row r="45" spans="1:11">
      <c r="A45" s="44"/>
      <c r="B45" s="502"/>
    </row>
    <row r="46" spans="1:11" ht="18">
      <c r="A46" s="136" t="s">
        <v>183</v>
      </c>
      <c r="B46" s="503" t="s">
        <v>568</v>
      </c>
    </row>
    <row r="47" spans="1:11">
      <c r="A47" s="116" t="s">
        <v>184</v>
      </c>
      <c r="B47" s="512">
        <v>0.91078472402969768</v>
      </c>
    </row>
    <row r="48" spans="1:11">
      <c r="A48" s="118" t="s">
        <v>185</v>
      </c>
      <c r="B48" s="505">
        <v>0.91081736334237906</v>
      </c>
    </row>
    <row r="49" spans="1:9">
      <c r="A49" s="118" t="s">
        <v>178</v>
      </c>
      <c r="B49" s="505">
        <v>3.3927234279543167E-2</v>
      </c>
    </row>
    <row r="50" spans="1:9">
      <c r="A50" s="118" t="s">
        <v>18</v>
      </c>
      <c r="B50" s="505">
        <v>9.8456821733816993E-4</v>
      </c>
      <c r="E50" s="10"/>
      <c r="F50" s="10"/>
      <c r="G50" s="10"/>
      <c r="H50" s="10"/>
      <c r="I50" s="10"/>
    </row>
    <row r="51" spans="1:9">
      <c r="A51" s="118" t="s">
        <v>16</v>
      </c>
      <c r="B51" s="505">
        <v>6.354064672145299E-3</v>
      </c>
      <c r="E51" s="10"/>
      <c r="F51" s="10"/>
      <c r="G51" s="10"/>
      <c r="H51" s="10"/>
      <c r="I51" s="10"/>
    </row>
    <row r="52" spans="1:9" ht="15.75" thickBot="1">
      <c r="A52" s="119" t="s">
        <v>120</v>
      </c>
      <c r="B52" s="513">
        <v>0.10414436253376488</v>
      </c>
    </row>
    <row r="53" spans="1:9">
      <c r="B53" s="51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election activeCell="B15" sqref="B15"/>
    </sheetView>
  </sheetViews>
  <sheetFormatPr defaultRowHeight="15"/>
  <cols>
    <col min="1" max="1" width="80" customWidth="1"/>
    <col min="2" max="2" width="36" style="443" customWidth="1"/>
    <col min="3" max="3" width="70.28515625" style="518" customWidth="1"/>
  </cols>
  <sheetData>
    <row r="1" spans="1:3" s="324" customFormat="1" ht="15.75" thickBot="1">
      <c r="A1" s="358" t="s">
        <v>597</v>
      </c>
      <c r="B1" s="516"/>
      <c r="C1" s="517"/>
    </row>
    <row r="2" spans="1:3" s="324" customFormat="1">
      <c r="A2" s="362"/>
      <c r="B2" s="482"/>
      <c r="C2" s="519"/>
    </row>
    <row r="3" spans="1:3" s="324" customFormat="1">
      <c r="A3" s="360"/>
      <c r="B3" s="520">
        <v>2011</v>
      </c>
      <c r="C3" s="363" t="s">
        <v>175</v>
      </c>
    </row>
    <row r="4" spans="1:3">
      <c r="A4" s="120" t="s">
        <v>290</v>
      </c>
      <c r="B4" s="521">
        <v>3851.6199769999998</v>
      </c>
      <c r="C4" s="138" t="s">
        <v>664</v>
      </c>
    </row>
    <row r="5" spans="1:3" ht="15.75" thickBot="1">
      <c r="A5" s="115" t="s">
        <v>596</v>
      </c>
      <c r="B5" s="522">
        <v>672548</v>
      </c>
      <c r="C5" s="139" t="s">
        <v>594</v>
      </c>
    </row>
    <row r="11" spans="1:3">
      <c r="B11" s="738"/>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438</v>
      </c>
      <c r="B1" s="359"/>
    </row>
    <row r="2" spans="1:2" s="324" customFormat="1">
      <c r="A2" s="350"/>
      <c r="B2" s="357"/>
    </row>
    <row r="3" spans="1:2" s="324" customFormat="1" ht="18">
      <c r="A3" s="360"/>
      <c r="B3" s="361" t="s">
        <v>441</v>
      </c>
    </row>
    <row r="4" spans="1:2" ht="18">
      <c r="A4" s="120" t="s">
        <v>439</v>
      </c>
      <c r="B4" s="523">
        <v>310</v>
      </c>
    </row>
    <row r="5" spans="1:2" ht="18.75" thickBot="1">
      <c r="A5" s="115" t="s">
        <v>440</v>
      </c>
      <c r="B5" s="524">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428</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429</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480</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498</v>
      </c>
      <c r="B3" s="49">
        <f ca="1">IF(ISERROR('SEAP template'!C27),0,'SEAP template'!C27)</f>
        <v>177388.16941740547</v>
      </c>
      <c r="C3" s="43" t="s">
        <v>163</v>
      </c>
      <c r="D3" s="43"/>
      <c r="E3" s="155"/>
      <c r="F3" s="43"/>
      <c r="G3" s="43"/>
      <c r="H3" s="43"/>
      <c r="I3" s="43"/>
      <c r="J3" s="43"/>
      <c r="K3" s="96"/>
    </row>
    <row r="4" spans="1:11">
      <c r="A4" s="350" t="s">
        <v>164</v>
      </c>
      <c r="B4" s="49">
        <f>IF(ISERROR('SEAP template'!B78+'SEAP template'!C78),0,'SEAP template'!B78+'SEAP template'!C78)</f>
        <v>11735.370818626439</v>
      </c>
      <c r="C4" s="43" t="s">
        <v>163</v>
      </c>
      <c r="D4" s="43"/>
      <c r="E4" s="43"/>
      <c r="F4" s="43"/>
      <c r="G4" s="43"/>
      <c r="H4" s="43"/>
      <c r="I4" s="43"/>
      <c r="J4" s="43"/>
      <c r="K4" s="96"/>
    </row>
    <row r="5" spans="1:11">
      <c r="A5" s="350" t="s">
        <v>530</v>
      </c>
      <c r="B5" s="49">
        <f>IF(ISERROR('Eigen informatie GS &amp; warmtenet'!B4),0,'Eigen informatie GS &amp; warmtenet'!B4)</f>
        <v>0</v>
      </c>
      <c r="C5" s="43" t="s">
        <v>163</v>
      </c>
      <c r="D5" s="43"/>
      <c r="E5" s="43"/>
      <c r="F5" s="43"/>
      <c r="G5" s="43"/>
      <c r="H5" s="43"/>
      <c r="I5" s="43"/>
      <c r="J5" s="43"/>
      <c r="K5" s="96"/>
    </row>
    <row r="6" spans="1:11">
      <c r="A6" s="350" t="s">
        <v>165</v>
      </c>
      <c r="B6" s="526">
        <f>E6</f>
        <v>0.221</v>
      </c>
      <c r="C6" s="43" t="s">
        <v>166</v>
      </c>
      <c r="D6" s="43"/>
      <c r="E6" s="946">
        <v>0.221</v>
      </c>
      <c r="F6" s="43" t="s">
        <v>788</v>
      </c>
      <c r="G6" s="43" t="s">
        <v>792</v>
      </c>
      <c r="H6" s="43"/>
      <c r="I6" s="43"/>
      <c r="J6" s="43"/>
      <c r="K6" s="96"/>
    </row>
    <row r="7" spans="1:11">
      <c r="A7" s="350"/>
      <c r="B7" s="445"/>
      <c r="C7" s="43"/>
      <c r="D7" s="43"/>
      <c r="E7" s="43"/>
      <c r="F7" s="48"/>
      <c r="G7" s="43"/>
      <c r="H7" s="43"/>
      <c r="I7" s="43"/>
      <c r="J7" s="43"/>
      <c r="K7" s="96"/>
    </row>
    <row r="8" spans="1:11">
      <c r="A8" s="350"/>
      <c r="B8" s="445"/>
      <c r="C8" s="43"/>
      <c r="D8" s="43"/>
      <c r="E8" s="43"/>
      <c r="F8" s="48"/>
      <c r="G8" s="43"/>
      <c r="H8" s="947"/>
      <c r="I8" s="948"/>
      <c r="J8" s="43"/>
      <c r="K8" s="96"/>
    </row>
    <row r="9" spans="1:11">
      <c r="A9" s="350" t="s">
        <v>168</v>
      </c>
      <c r="B9" s="49">
        <f>IF(ISERROR('SEAP template'!Q78),0,'SEAP template'!Q78)</f>
        <v>0</v>
      </c>
      <c r="C9" s="43" t="s">
        <v>167</v>
      </c>
      <c r="D9" s="43"/>
      <c r="E9" s="43"/>
      <c r="F9" s="43"/>
      <c r="G9" s="43"/>
      <c r="H9" s="43"/>
      <c r="I9" s="43"/>
      <c r="J9" s="43"/>
      <c r="K9" s="96"/>
    </row>
    <row r="10" spans="1:11">
      <c r="A10" s="350" t="s">
        <v>403</v>
      </c>
      <c r="B10" s="48">
        <v>0</v>
      </c>
      <c r="C10" s="43" t="s">
        <v>167</v>
      </c>
      <c r="D10" s="155"/>
      <c r="E10" s="43"/>
      <c r="F10" s="43"/>
      <c r="G10" s="43"/>
      <c r="H10" s="43"/>
      <c r="I10" s="43"/>
      <c r="J10" s="43"/>
      <c r="K10" s="96"/>
    </row>
    <row r="11" spans="1:11">
      <c r="A11" s="350"/>
      <c r="B11" s="445"/>
      <c r="C11" s="43"/>
      <c r="D11" s="43"/>
      <c r="E11" s="43"/>
      <c r="F11" s="43"/>
      <c r="G11" s="43"/>
      <c r="H11" s="43"/>
      <c r="I11" s="43"/>
      <c r="J11" s="43"/>
      <c r="K11" s="96"/>
    </row>
    <row r="12" spans="1:11">
      <c r="A12" s="351" t="s">
        <v>169</v>
      </c>
      <c r="B12" s="525">
        <f ca="1">IF((B4+B5)&gt;B3,(B9+B10)/(B4+B5),((B3-B4-B5)*B6+B9+B10)/B3)</f>
        <v>0.20637942547445917</v>
      </c>
      <c r="C12" s="43" t="s">
        <v>166</v>
      </c>
      <c r="D12" s="43"/>
      <c r="E12" s="155"/>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481</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499</v>
      </c>
      <c r="B20" s="49">
        <f ca="1">IF(ISERROR('SEAP template'!D27),0,('SEAP template'!D27))</f>
        <v>0</v>
      </c>
      <c r="C20" s="43" t="s">
        <v>163</v>
      </c>
      <c r="D20" s="43"/>
      <c r="E20" s="155"/>
      <c r="F20" s="155"/>
      <c r="G20" s="43"/>
      <c r="H20" s="43"/>
      <c r="I20" s="43"/>
      <c r="J20" s="43"/>
      <c r="K20" s="96"/>
    </row>
    <row r="21" spans="1:11">
      <c r="A21" s="350"/>
      <c r="B21" s="43"/>
      <c r="C21" s="43"/>
      <c r="D21" s="43"/>
      <c r="E21" s="43"/>
      <c r="F21" s="43"/>
      <c r="G21" s="43"/>
      <c r="H21" s="43"/>
      <c r="I21" s="43"/>
      <c r="J21" s="43"/>
      <c r="K21" s="96"/>
    </row>
    <row r="22" spans="1:11" s="43" customFormat="1">
      <c r="A22" s="351" t="s">
        <v>172</v>
      </c>
      <c r="B22" s="527">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1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15" t="s">
        <v>727</v>
      </c>
      <c r="B1" s="15" t="s">
        <v>297</v>
      </c>
      <c r="C1" s="15" t="s">
        <v>301</v>
      </c>
      <c r="D1" s="15" t="s">
        <v>302</v>
      </c>
      <c r="E1" s="15" t="s">
        <v>303</v>
      </c>
      <c r="F1" s="15" t="s">
        <v>304</v>
      </c>
      <c r="H1" s="992" t="s">
        <v>953</v>
      </c>
    </row>
    <row r="2" spans="1:8">
      <c r="A2" s="308" t="str">
        <f>CONCATENATE(TableECFTransport[[#This Row],[Voertuigtype]],"_",TableECFTransport[[#This Row],[Wegtype]],"_",TableECFTransport[[#This Row],[Brandstoftechnologie]],"_",TableECFTransport[[#This Row],[Brandstof]])</f>
        <v>Tram_gemiddeld_Electric_Electric</v>
      </c>
      <c r="B2" s="991" t="s">
        <v>318</v>
      </c>
      <c r="C2" s="991" t="s">
        <v>329</v>
      </c>
      <c r="D2" s="991" t="s">
        <v>299</v>
      </c>
      <c r="E2" s="991" t="s">
        <v>299</v>
      </c>
      <c r="F2" s="984">
        <v>1.269E-8</v>
      </c>
    </row>
    <row r="3" spans="1:8">
      <c r="A3" s="308" t="str">
        <f>CONCATENATE(TableECFTransport[[#This Row],[Voertuigtype]],"_",TableECFTransport[[#This Row],[Wegtype]],"_",TableECFTransport[[#This Row],[Brandstoftechnologie]],"_",TableECFTransport[[#This Row],[Brandstof]])</f>
        <v>Lichte voertuigen_Niet-genummerde wegen_Fuel Cell H2_H2</v>
      </c>
      <c r="B3" s="991" t="s">
        <v>728</v>
      </c>
      <c r="C3" s="991" t="s">
        <v>64</v>
      </c>
      <c r="D3" s="991" t="s">
        <v>909</v>
      </c>
      <c r="E3" s="991" t="s">
        <v>910</v>
      </c>
      <c r="F3" s="98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991" t="s">
        <v>728</v>
      </c>
      <c r="C4" s="991" t="s">
        <v>63</v>
      </c>
      <c r="D4" s="991" t="s">
        <v>909</v>
      </c>
      <c r="E4" s="991" t="s">
        <v>910</v>
      </c>
      <c r="F4" s="98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991" t="s">
        <v>728</v>
      </c>
      <c r="C5" s="991" t="s">
        <v>65</v>
      </c>
      <c r="D5" s="991" t="s">
        <v>909</v>
      </c>
      <c r="E5" s="991" t="s">
        <v>910</v>
      </c>
      <c r="F5" s="984">
        <v>1.5973299999999999E-9</v>
      </c>
    </row>
    <row r="6" spans="1:8">
      <c r="A6" s="308" t="str">
        <f>CONCATENATE(TableECFTransport[[#This Row],[Voertuigtype]],"_",TableECFTransport[[#This Row],[Wegtype]],"_",TableECFTransport[[#This Row],[Brandstoftechnologie]],"_",TableECFTransport[[#This Row],[Brandstof]])</f>
        <v>Lichte voertuigen_Niet-genummerde wegen_Electric_Electric</v>
      </c>
      <c r="B6" s="991" t="s">
        <v>728</v>
      </c>
      <c r="C6" s="991" t="s">
        <v>64</v>
      </c>
      <c r="D6" s="991" t="s">
        <v>299</v>
      </c>
      <c r="E6" s="991" t="s">
        <v>299</v>
      </c>
      <c r="F6" s="984">
        <v>6.560549017612544E-10</v>
      </c>
    </row>
    <row r="7" spans="1:8">
      <c r="A7" s="308" t="str">
        <f>CONCATENATE(TableECFTransport[[#This Row],[Voertuigtype]],"_",TableECFTransport[[#This Row],[Wegtype]],"_",TableECFTransport[[#This Row],[Brandstoftechnologie]],"_",TableECFTransport[[#This Row],[Brandstof]])</f>
        <v>Lichte voertuigen_Genummerde wegen_Electric_Electric</v>
      </c>
      <c r="B7" s="991" t="s">
        <v>728</v>
      </c>
      <c r="C7" s="991" t="s">
        <v>63</v>
      </c>
      <c r="D7" s="991" t="s">
        <v>299</v>
      </c>
      <c r="E7" s="991" t="s">
        <v>299</v>
      </c>
      <c r="F7" s="984">
        <v>6.560549017612544E-10</v>
      </c>
    </row>
    <row r="8" spans="1:8">
      <c r="A8" s="308" t="str">
        <f>CONCATENATE(TableECFTransport[[#This Row],[Voertuigtype]],"_",TableECFTransport[[#This Row],[Wegtype]],"_",TableECFTransport[[#This Row],[Brandstoftechnologie]],"_",TableECFTransport[[#This Row],[Brandstof]])</f>
        <v>Lichte voertuigen_Snelwegen_Electric_Electric</v>
      </c>
      <c r="B8" s="991" t="s">
        <v>728</v>
      </c>
      <c r="C8" s="991" t="s">
        <v>65</v>
      </c>
      <c r="D8" s="991" t="s">
        <v>299</v>
      </c>
      <c r="E8" s="991" t="s">
        <v>299</v>
      </c>
      <c r="F8" s="984">
        <v>6.560549017612544E-10</v>
      </c>
    </row>
    <row r="9" spans="1:8">
      <c r="A9" s="308" t="str">
        <f>CONCATENATE(TableECFTransport[[#This Row],[Voertuigtype]],"_",TableECFTransport[[#This Row],[Wegtype]],"_",TableECFTransport[[#This Row],[Brandstoftechnologie]],"_",TableECFTransport[[#This Row],[Brandstof]])</f>
        <v>Zware voertuigen_Niet-genummerde wegen_Electric_Electric</v>
      </c>
      <c r="B9" s="991" t="s">
        <v>730</v>
      </c>
      <c r="C9" s="991" t="s">
        <v>64</v>
      </c>
      <c r="D9" s="991" t="s">
        <v>299</v>
      </c>
      <c r="E9" s="991" t="s">
        <v>299</v>
      </c>
      <c r="F9" s="98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991" t="s">
        <v>730</v>
      </c>
      <c r="C10" s="991" t="s">
        <v>63</v>
      </c>
      <c r="D10" s="991" t="s">
        <v>299</v>
      </c>
      <c r="E10" s="991" t="s">
        <v>299</v>
      </c>
      <c r="F10" s="98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991" t="s">
        <v>730</v>
      </c>
      <c r="C11" s="991" t="s">
        <v>65</v>
      </c>
      <c r="D11" s="991" t="s">
        <v>299</v>
      </c>
      <c r="E11" s="991" t="s">
        <v>299</v>
      </c>
      <c r="F11" s="98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991" t="s">
        <v>736</v>
      </c>
      <c r="C12" s="991" t="s">
        <v>64</v>
      </c>
      <c r="D12" s="991" t="s">
        <v>299</v>
      </c>
      <c r="E12" s="991" t="s">
        <v>299</v>
      </c>
      <c r="F12" s="984">
        <v>4.6800000000000004E-9</v>
      </c>
    </row>
    <row r="13" spans="1:8">
      <c r="A13" s="308" t="str">
        <f>CONCATENATE(TableECFTransport[[#This Row],[Voertuigtype]],"_",TableECFTransport[[#This Row],[Wegtype]],"_",TableECFTransport[[#This Row],[Brandstoftechnologie]],"_",TableECFTransport[[#This Row],[Brandstof]])</f>
        <v>BUS_Genummerde wegen_Electric_Electric</v>
      </c>
      <c r="B13" s="991" t="s">
        <v>736</v>
      </c>
      <c r="C13" s="991" t="s">
        <v>63</v>
      </c>
      <c r="D13" s="991" t="s">
        <v>299</v>
      </c>
      <c r="E13" s="991" t="s">
        <v>299</v>
      </c>
      <c r="F13" s="984">
        <v>4.6800000000000004E-9</v>
      </c>
    </row>
    <row r="14" spans="1:8">
      <c r="A14" s="308" t="str">
        <f>CONCATENATE(TableECFTransport[[#This Row],[Voertuigtype]],"_",TableECFTransport[[#This Row],[Wegtype]],"_",TableECFTransport[[#This Row],[Brandstoftechnologie]],"_",TableECFTransport[[#This Row],[Brandstof]])</f>
        <v>BUS_Snelwegen_Electric_Electric</v>
      </c>
      <c r="B14" s="991" t="s">
        <v>736</v>
      </c>
      <c r="C14" s="991" t="s">
        <v>65</v>
      </c>
      <c r="D14" s="991" t="s">
        <v>299</v>
      </c>
      <c r="E14" s="991" t="s">
        <v>299</v>
      </c>
      <c r="F14" s="98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991" t="s">
        <v>728</v>
      </c>
      <c r="C15" s="991" t="s">
        <v>64</v>
      </c>
      <c r="D15" s="991" t="s">
        <v>298</v>
      </c>
      <c r="E15" s="991" t="s">
        <v>298</v>
      </c>
      <c r="F15" s="984">
        <v>4.3671650207911805E-9</v>
      </c>
    </row>
    <row r="16" spans="1:8">
      <c r="A16" s="308" t="str">
        <f>CONCATENATE(TableECFTransport[[#This Row],[Voertuigtype]],"_",TableECFTransport[[#This Row],[Wegtype]],"_",TableECFTransport[[#This Row],[Brandstoftechnologie]],"_",TableECFTransport[[#This Row],[Brandstof]])</f>
        <v>Lichte voertuigen_Genummerde wegen_CNG_CNG</v>
      </c>
      <c r="B16" s="991" t="s">
        <v>728</v>
      </c>
      <c r="C16" s="991" t="s">
        <v>63</v>
      </c>
      <c r="D16" s="991" t="s">
        <v>298</v>
      </c>
      <c r="E16" s="991" t="s">
        <v>298</v>
      </c>
      <c r="F16" s="984">
        <v>2.5748538462893691E-9</v>
      </c>
    </row>
    <row r="17" spans="1:6">
      <c r="A17" s="308" t="str">
        <f>CONCATENATE(TableECFTransport[[#This Row],[Voertuigtype]],"_",TableECFTransport[[#This Row],[Wegtype]],"_",TableECFTransport[[#This Row],[Brandstoftechnologie]],"_",TableECFTransport[[#This Row],[Brandstof]])</f>
        <v>Lichte voertuigen_Snelwegen_CNG_CNG</v>
      </c>
      <c r="B17" s="991" t="s">
        <v>728</v>
      </c>
      <c r="C17" s="991" t="s">
        <v>65</v>
      </c>
      <c r="D17" s="991" t="s">
        <v>298</v>
      </c>
      <c r="E17" s="991" t="s">
        <v>298</v>
      </c>
      <c r="F17" s="984">
        <v>2.5438390186423356E-9</v>
      </c>
    </row>
    <row r="18" spans="1:6">
      <c r="A18" s="308" t="str">
        <f>CONCATENATE(TableECFTransport[[#This Row],[Voertuigtype]],"_",TableECFTransport[[#This Row],[Wegtype]],"_",TableECFTransport[[#This Row],[Brandstoftechnologie]],"_",TableECFTransport[[#This Row],[Brandstof]])</f>
        <v>Lichte voertuigen_Niet-genummerde wegen_Diesel_Diesel</v>
      </c>
      <c r="B18" s="991" t="s">
        <v>728</v>
      </c>
      <c r="C18" s="991" t="s">
        <v>64</v>
      </c>
      <c r="D18" s="991" t="s">
        <v>195</v>
      </c>
      <c r="E18" s="991" t="s">
        <v>195</v>
      </c>
      <c r="F18" s="984">
        <v>3.3111930930999238E-9</v>
      </c>
    </row>
    <row r="19" spans="1:6">
      <c r="A19" s="308" t="str">
        <f>CONCATENATE(TableECFTransport[[#This Row],[Voertuigtype]],"_",TableECFTransport[[#This Row],[Wegtype]],"_",TableECFTransport[[#This Row],[Brandstoftechnologie]],"_",TableECFTransport[[#This Row],[Brandstof]])</f>
        <v>Lichte voertuigen_Genummerde wegen_Diesel_Diesel</v>
      </c>
      <c r="B19" s="991" t="s">
        <v>728</v>
      </c>
      <c r="C19" s="991" t="s">
        <v>63</v>
      </c>
      <c r="D19" s="991" t="s">
        <v>195</v>
      </c>
      <c r="E19" s="991" t="s">
        <v>195</v>
      </c>
      <c r="F19" s="984">
        <v>2.1804767059440451E-9</v>
      </c>
    </row>
    <row r="20" spans="1:6">
      <c r="A20" s="308" t="str">
        <f>CONCATENATE(TableECFTransport[[#This Row],[Voertuigtype]],"_",TableECFTransport[[#This Row],[Wegtype]],"_",TableECFTransport[[#This Row],[Brandstoftechnologie]],"_",TableECFTransport[[#This Row],[Brandstof]])</f>
        <v>Lichte voertuigen_Snelwegen_Diesel_Diesel</v>
      </c>
      <c r="B20" s="991" t="s">
        <v>728</v>
      </c>
      <c r="C20" s="991" t="s">
        <v>65</v>
      </c>
      <c r="D20" s="991" t="s">
        <v>195</v>
      </c>
      <c r="E20" s="991" t="s">
        <v>195</v>
      </c>
      <c r="F20" s="984">
        <v>2.4794292189089788E-9</v>
      </c>
    </row>
    <row r="21" spans="1:6">
      <c r="A21" s="308" t="str">
        <f>CONCATENATE(TableECFTransport[[#This Row],[Voertuigtype]],"_",TableECFTransport[[#This Row],[Wegtype]],"_",TableECFTransport[[#This Row],[Brandstoftechnologie]],"_",TableECFTransport[[#This Row],[Brandstof]])</f>
        <v>Lichte voertuigen_Niet-genummerde wegen_Diesel Hybrid PHEV_Diesel</v>
      </c>
      <c r="B21" s="991" t="s">
        <v>728</v>
      </c>
      <c r="C21" s="991" t="s">
        <v>64</v>
      </c>
      <c r="D21" s="991" t="s">
        <v>911</v>
      </c>
      <c r="E21" s="991" t="s">
        <v>195</v>
      </c>
      <c r="F21" s="984">
        <v>1.9142227073441033E-9</v>
      </c>
    </row>
    <row r="22" spans="1:6">
      <c r="A22" s="308" t="str">
        <f>CONCATENATE(TableECFTransport[[#This Row],[Voertuigtype]],"_",TableECFTransport[[#This Row],[Wegtype]],"_",TableECFTransport[[#This Row],[Brandstoftechnologie]],"_",TableECFTransport[[#This Row],[Brandstof]])</f>
        <v>Lichte voertuigen_Niet-genummerde wegen_Diesel Hybrid PHEV_Electric</v>
      </c>
      <c r="B22" s="991" t="s">
        <v>728</v>
      </c>
      <c r="C22" s="991" t="s">
        <v>64</v>
      </c>
      <c r="D22" s="991" t="s">
        <v>911</v>
      </c>
      <c r="E22" s="991" t="s">
        <v>299</v>
      </c>
      <c r="F22" s="984">
        <v>6.3807423578136783E-10</v>
      </c>
    </row>
    <row r="23" spans="1:6">
      <c r="A23" s="308" t="str">
        <f>CONCATENATE(TableECFTransport[[#This Row],[Voertuigtype]],"_",TableECFTransport[[#This Row],[Wegtype]],"_",TableECFTransport[[#This Row],[Brandstoftechnologie]],"_",TableECFTransport[[#This Row],[Brandstof]])</f>
        <v>Lichte voertuigen_Genummerde wegen_Diesel Hybrid PHEV_Diesel</v>
      </c>
      <c r="B23" s="991" t="s">
        <v>728</v>
      </c>
      <c r="C23" s="991" t="s">
        <v>63</v>
      </c>
      <c r="D23" s="991" t="s">
        <v>911</v>
      </c>
      <c r="E23" s="991" t="s">
        <v>195</v>
      </c>
      <c r="F23" s="984">
        <v>1.1855157427822169E-9</v>
      </c>
    </row>
    <row r="24" spans="1:6">
      <c r="A24" s="308" t="str">
        <f>CONCATENATE(TableECFTransport[[#This Row],[Voertuigtype]],"_",TableECFTransport[[#This Row],[Wegtype]],"_",TableECFTransport[[#This Row],[Brandstoftechnologie]],"_",TableECFTransport[[#This Row],[Brandstof]])</f>
        <v>Lichte voertuigen_Genummerde wegen_Diesel Hybrid PHEV_Electric</v>
      </c>
      <c r="B24" s="991" t="s">
        <v>728</v>
      </c>
      <c r="C24" s="991" t="s">
        <v>63</v>
      </c>
      <c r="D24" s="991" t="s">
        <v>911</v>
      </c>
      <c r="E24" s="991" t="s">
        <v>299</v>
      </c>
      <c r="F24" s="984">
        <v>3.9517191426073901E-10</v>
      </c>
    </row>
    <row r="25" spans="1:6">
      <c r="A25" s="308" t="str">
        <f>CONCATENATE(TableECFTransport[[#This Row],[Voertuigtype]],"_",TableECFTransport[[#This Row],[Wegtype]],"_",TableECFTransport[[#This Row],[Brandstoftechnologie]],"_",TableECFTransport[[#This Row],[Brandstof]])</f>
        <v>Lichte voertuigen_Snelwegen_Diesel Hybrid PHEV_Diesel</v>
      </c>
      <c r="B25" s="991" t="s">
        <v>728</v>
      </c>
      <c r="C25" s="991" t="s">
        <v>65</v>
      </c>
      <c r="D25" s="991" t="s">
        <v>911</v>
      </c>
      <c r="E25" s="991" t="s">
        <v>195</v>
      </c>
      <c r="F25" s="984">
        <v>1.8695903807456471E-9</v>
      </c>
    </row>
    <row r="26" spans="1:6">
      <c r="A26" s="308" t="str">
        <f>CONCATENATE(TableECFTransport[[#This Row],[Voertuigtype]],"_",TableECFTransport[[#This Row],[Wegtype]],"_",TableECFTransport[[#This Row],[Brandstoftechnologie]],"_",TableECFTransport[[#This Row],[Brandstof]])</f>
        <v>Lichte voertuigen_Snelwegen_Diesel Hybrid PHEV_Electric</v>
      </c>
      <c r="B26" s="991" t="s">
        <v>728</v>
      </c>
      <c r="C26" s="991" t="s">
        <v>65</v>
      </c>
      <c r="D26" s="991" t="s">
        <v>911</v>
      </c>
      <c r="E26" s="991" t="s">
        <v>299</v>
      </c>
      <c r="F26" s="984">
        <v>6.2319679358188246E-10</v>
      </c>
    </row>
    <row r="27" spans="1:6">
      <c r="A27" s="308" t="str">
        <f>CONCATENATE(TableECFTransport[[#This Row],[Voertuigtype]],"_",TableECFTransport[[#This Row],[Wegtype]],"_",TableECFTransport[[#This Row],[Brandstoftechnologie]],"_",TableECFTransport[[#This Row],[Brandstof]])</f>
        <v>Lichte voertuigen_Niet-genummerde wegen_LPG_LPG</v>
      </c>
      <c r="B27" s="991" t="s">
        <v>728</v>
      </c>
      <c r="C27" s="991" t="s">
        <v>64</v>
      </c>
      <c r="D27" s="991" t="s">
        <v>112</v>
      </c>
      <c r="E27" s="991" t="s">
        <v>112</v>
      </c>
      <c r="F27" s="984">
        <v>3.6243146552538369E-9</v>
      </c>
    </row>
    <row r="28" spans="1:6">
      <c r="A28" s="308" t="str">
        <f>CONCATENATE(TableECFTransport[[#This Row],[Voertuigtype]],"_",TableECFTransport[[#This Row],[Wegtype]],"_",TableECFTransport[[#This Row],[Brandstoftechnologie]],"_",TableECFTransport[[#This Row],[Brandstof]])</f>
        <v>Lichte voertuigen_Genummerde wegen_LPG_LPG</v>
      </c>
      <c r="B28" s="991" t="s">
        <v>728</v>
      </c>
      <c r="C28" s="991" t="s">
        <v>63</v>
      </c>
      <c r="D28" s="991" t="s">
        <v>112</v>
      </c>
      <c r="E28" s="991" t="s">
        <v>112</v>
      </c>
      <c r="F28" s="984">
        <v>2.2704051796597494E-9</v>
      </c>
    </row>
    <row r="29" spans="1:6">
      <c r="A29" s="308" t="str">
        <f>CONCATENATE(TableECFTransport[[#This Row],[Voertuigtype]],"_",TableECFTransport[[#This Row],[Wegtype]],"_",TableECFTransport[[#This Row],[Brandstoftechnologie]],"_",TableECFTransport[[#This Row],[Brandstof]])</f>
        <v>Lichte voertuigen_Snelwegen_LPG_LPG</v>
      </c>
      <c r="B29" s="991" t="s">
        <v>728</v>
      </c>
      <c r="C29" s="991" t="s">
        <v>65</v>
      </c>
      <c r="D29" s="991" t="s">
        <v>112</v>
      </c>
      <c r="E29" s="991" t="s">
        <v>112</v>
      </c>
      <c r="F29" s="984">
        <v>2.7794488029886064E-9</v>
      </c>
    </row>
    <row r="30" spans="1:6">
      <c r="A30" s="308" t="str">
        <f>CONCATENATE(TableECFTransport[[#This Row],[Voertuigtype]],"_",TableECFTransport[[#This Row],[Wegtype]],"_",TableECFTransport[[#This Row],[Brandstoftechnologie]],"_",TableECFTransport[[#This Row],[Brandstof]])</f>
        <v>Lichte voertuigen_Niet-genummerde wegen_Petrol_Petrol</v>
      </c>
      <c r="B30" s="991" t="s">
        <v>728</v>
      </c>
      <c r="C30" s="991" t="s">
        <v>64</v>
      </c>
      <c r="D30" s="991" t="s">
        <v>300</v>
      </c>
      <c r="E30" s="991" t="s">
        <v>300</v>
      </c>
      <c r="F30" s="984">
        <v>3.5221798845966689E-9</v>
      </c>
    </row>
    <row r="31" spans="1:6">
      <c r="A31" s="308" t="str">
        <f>CONCATENATE(TableECFTransport[[#This Row],[Voertuigtype]],"_",TableECFTransport[[#This Row],[Wegtype]],"_",TableECFTransport[[#This Row],[Brandstoftechnologie]],"_",TableECFTransport[[#This Row],[Brandstof]])</f>
        <v>Lichte voertuigen_Genummerde wegen_Petrol_Petrol</v>
      </c>
      <c r="B31" s="991" t="s">
        <v>728</v>
      </c>
      <c r="C31" s="991" t="s">
        <v>63</v>
      </c>
      <c r="D31" s="991" t="s">
        <v>300</v>
      </c>
      <c r="E31" s="991" t="s">
        <v>300</v>
      </c>
      <c r="F31" s="984">
        <v>2.1996580632690516E-9</v>
      </c>
    </row>
    <row r="32" spans="1:6">
      <c r="A32" s="308" t="str">
        <f>CONCATENATE(TableECFTransport[[#This Row],[Voertuigtype]],"_",TableECFTransport[[#This Row],[Wegtype]],"_",TableECFTransport[[#This Row],[Brandstoftechnologie]],"_",TableECFTransport[[#This Row],[Brandstof]])</f>
        <v>Lichte voertuigen_Snelwegen_Petrol_Petrol</v>
      </c>
      <c r="B32" s="991" t="s">
        <v>728</v>
      </c>
      <c r="C32" s="991" t="s">
        <v>65</v>
      </c>
      <c r="D32" s="991" t="s">
        <v>300</v>
      </c>
      <c r="E32" s="991" t="s">
        <v>300</v>
      </c>
      <c r="F32" s="984">
        <v>2.3177755545632623E-9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991" t="s">
        <v>728</v>
      </c>
      <c r="C33" s="991" t="s">
        <v>64</v>
      </c>
      <c r="D33" s="991" t="s">
        <v>912</v>
      </c>
      <c r="E33" s="991" t="s">
        <v>300</v>
      </c>
      <c r="F33" s="984">
        <v>2.7255927068596706E-9</v>
      </c>
    </row>
    <row r="34" spans="1:6">
      <c r="A34" s="991" t="str">
        <f>CONCATENATE(TableECFTransport[[#This Row],[Voertuigtype]],"_",TableECFTransport[[#This Row],[Wegtype]],"_",TableECFTransport[[#This Row],[Brandstoftechnologie]],"_",TableECFTransport[[#This Row],[Brandstof]])</f>
        <v>Lichte voertuigen_Genummerde wegen_Petrol Hybrid CS_Petrol</v>
      </c>
      <c r="B34" s="991" t="s">
        <v>728</v>
      </c>
      <c r="C34" s="991" t="s">
        <v>63</v>
      </c>
      <c r="D34" s="991" t="s">
        <v>912</v>
      </c>
      <c r="E34" s="991" t="s">
        <v>300</v>
      </c>
      <c r="F34" s="984">
        <v>1.5286225700912466E-9</v>
      </c>
    </row>
    <row r="35" spans="1:6">
      <c r="A35" s="991" t="str">
        <f>CONCATENATE(TableECFTransport[[#This Row],[Voertuigtype]],"_",TableECFTransport[[#This Row],[Wegtype]],"_",TableECFTransport[[#This Row],[Brandstoftechnologie]],"_",TableECFTransport[[#This Row],[Brandstof]])</f>
        <v>Lichte voertuigen_Snelwegen_Petrol Hybrid CS_Petrol</v>
      </c>
      <c r="B35" s="991" t="s">
        <v>728</v>
      </c>
      <c r="C35" s="991" t="s">
        <v>65</v>
      </c>
      <c r="D35" s="991" t="s">
        <v>912</v>
      </c>
      <c r="E35" s="991" t="s">
        <v>300</v>
      </c>
      <c r="F35" s="984">
        <v>1.8430285644448176E-9</v>
      </c>
    </row>
    <row r="36" spans="1:6">
      <c r="A36" s="991" t="str">
        <f>CONCATENATE(TableECFTransport[[#This Row],[Voertuigtype]],"_",TableECFTransport[[#This Row],[Wegtype]],"_",TableECFTransport[[#This Row],[Brandstoftechnologie]],"_",TableECFTransport[[#This Row],[Brandstof]])</f>
        <v>Lichte voertuigen_Niet-genummerde wegen_Petrol Hybrid PHEV_Electric</v>
      </c>
      <c r="B36" s="991" t="s">
        <v>728</v>
      </c>
      <c r="C36" s="991" t="s">
        <v>64</v>
      </c>
      <c r="D36" s="991" t="s">
        <v>913</v>
      </c>
      <c r="E36" s="991" t="s">
        <v>299</v>
      </c>
      <c r="F36" s="984">
        <v>6.1932111357707429E-10</v>
      </c>
    </row>
    <row r="37" spans="1:6">
      <c r="A37" s="991" t="str">
        <f>CONCATENATE(TableECFTransport[[#This Row],[Voertuigtype]],"_",TableECFTransport[[#This Row],[Wegtype]],"_",TableECFTransport[[#This Row],[Brandstoftechnologie]],"_",TableECFTransport[[#This Row],[Brandstof]])</f>
        <v>Lichte voertuigen_Niet-genummerde wegen_Petrol Hybrid PHEV_Petrol</v>
      </c>
      <c r="B37" s="991" t="s">
        <v>728</v>
      </c>
      <c r="C37" s="991" t="s">
        <v>64</v>
      </c>
      <c r="D37" s="991" t="s">
        <v>913</v>
      </c>
      <c r="E37" s="991" t="s">
        <v>300</v>
      </c>
      <c r="F37" s="984">
        <v>1.8579633407312228E-9</v>
      </c>
    </row>
    <row r="38" spans="1:6">
      <c r="A38" s="991" t="str">
        <f>CONCATENATE(TableECFTransport[[#This Row],[Voertuigtype]],"_",TableECFTransport[[#This Row],[Wegtype]],"_",TableECFTransport[[#This Row],[Brandstoftechnologie]],"_",TableECFTransport[[#This Row],[Brandstof]])</f>
        <v>Lichte voertuigen_Genummerde wegen_Petrol Hybrid PHEV_Electric</v>
      </c>
      <c r="B38" s="991" t="s">
        <v>728</v>
      </c>
      <c r="C38" s="991" t="s">
        <v>63</v>
      </c>
      <c r="D38" s="991" t="s">
        <v>913</v>
      </c>
      <c r="E38" s="991" t="s">
        <v>299</v>
      </c>
      <c r="F38" s="984">
        <v>3.477717815432733E-10</v>
      </c>
    </row>
    <row r="39" spans="1:6">
      <c r="A39" s="991" t="str">
        <f>CONCATENATE(TableECFTransport[[#This Row],[Voertuigtype]],"_",TableECFTransport[[#This Row],[Wegtype]],"_",TableECFTransport[[#This Row],[Brandstoftechnologie]],"_",TableECFTransport[[#This Row],[Brandstof]])</f>
        <v>Lichte voertuigen_Genummerde wegen_Petrol Hybrid PHEV_Petrol</v>
      </c>
      <c r="B39" s="991" t="s">
        <v>728</v>
      </c>
      <c r="C39" s="991" t="s">
        <v>63</v>
      </c>
      <c r="D39" s="991" t="s">
        <v>913</v>
      </c>
      <c r="E39" s="991" t="s">
        <v>300</v>
      </c>
      <c r="F39" s="984">
        <v>1.0433153446298198E-9</v>
      </c>
    </row>
    <row r="40" spans="1:6">
      <c r="A40" s="991" t="str">
        <f>CONCATENATE(TableECFTransport[[#This Row],[Voertuigtype]],"_",TableECFTransport[[#This Row],[Wegtype]],"_",TableECFTransport[[#This Row],[Brandstoftechnologie]],"_",TableECFTransport[[#This Row],[Brandstof]])</f>
        <v>Lichte voertuigen_Snelwegen_Petrol Hybrid PHEV_Electric</v>
      </c>
      <c r="B40" s="991" t="s">
        <v>728</v>
      </c>
      <c r="C40" s="991" t="s">
        <v>65</v>
      </c>
      <c r="D40" s="991" t="s">
        <v>913</v>
      </c>
      <c r="E40" s="991" t="s">
        <v>299</v>
      </c>
      <c r="F40" s="984">
        <v>5.3360614188174661E-10</v>
      </c>
    </row>
    <row r="41" spans="1:6">
      <c r="A41" s="991" t="str">
        <f>CONCATENATE(TableECFTransport[[#This Row],[Voertuigtype]],"_",TableECFTransport[[#This Row],[Wegtype]],"_",TableECFTransport[[#This Row],[Brandstoftechnologie]],"_",TableECFTransport[[#This Row],[Brandstof]])</f>
        <v>Lichte voertuigen_Snelwegen_Petrol Hybrid PHEV_Petrol</v>
      </c>
      <c r="B41" s="991" t="s">
        <v>728</v>
      </c>
      <c r="C41" s="991" t="s">
        <v>65</v>
      </c>
      <c r="D41" s="991" t="s">
        <v>913</v>
      </c>
      <c r="E41" s="991" t="s">
        <v>300</v>
      </c>
      <c r="F41" s="984">
        <v>1.6008184256452401E-9</v>
      </c>
    </row>
    <row r="42" spans="1:6">
      <c r="A42" s="991" t="str">
        <f>CONCATENATE(TableECFTransport[[#This Row],[Voertuigtype]],"_",TableECFTransport[[#This Row],[Wegtype]],"_",TableECFTransport[[#This Row],[Brandstoftechnologie]],"_",TableECFTransport[[#This Row],[Brandstof]])</f>
        <v>Zware voertuigen_Niet-genummerde wegen_Diesel_Diesel</v>
      </c>
      <c r="B42" s="991" t="s">
        <v>730</v>
      </c>
      <c r="C42" s="991" t="s">
        <v>64</v>
      </c>
      <c r="D42" s="991" t="s">
        <v>195</v>
      </c>
      <c r="E42" s="991" t="s">
        <v>195</v>
      </c>
      <c r="F42" s="984">
        <v>1.3544688778201673E-8</v>
      </c>
    </row>
    <row r="43" spans="1:6">
      <c r="A43" s="991" t="str">
        <f>CONCATENATE(TableECFTransport[[#This Row],[Voertuigtype]],"_",TableECFTransport[[#This Row],[Wegtype]],"_",TableECFTransport[[#This Row],[Brandstoftechnologie]],"_",TableECFTransport[[#This Row],[Brandstof]])</f>
        <v>Zware voertuigen_Genummerde wegen_Diesel_Diesel</v>
      </c>
      <c r="B43" s="991" t="s">
        <v>730</v>
      </c>
      <c r="C43" s="991" t="s">
        <v>63</v>
      </c>
      <c r="D43" s="991" t="s">
        <v>195</v>
      </c>
      <c r="E43" s="991" t="s">
        <v>195</v>
      </c>
      <c r="F43" s="984">
        <v>9.7784498833859478E-9</v>
      </c>
    </row>
    <row r="44" spans="1:6">
      <c r="A44" s="991" t="str">
        <f>CONCATENATE(TableECFTransport[[#This Row],[Voertuigtype]],"_",TableECFTransport[[#This Row],[Wegtype]],"_",TableECFTransport[[#This Row],[Brandstoftechnologie]],"_",TableECFTransport[[#This Row],[Brandstof]])</f>
        <v>Zware voertuigen_Snelwegen_Diesel_Diesel</v>
      </c>
      <c r="B44" s="991" t="s">
        <v>730</v>
      </c>
      <c r="C44" s="991" t="s">
        <v>65</v>
      </c>
      <c r="D44" s="991" t="s">
        <v>195</v>
      </c>
      <c r="E44" s="991" t="s">
        <v>195</v>
      </c>
      <c r="F44" s="984">
        <v>9.4353889064506204E-9</v>
      </c>
    </row>
    <row r="45" spans="1:6">
      <c r="A45" s="991" t="str">
        <f>CONCATENATE(TableECFTransport[[#This Row],[Voertuigtype]],"_",TableECFTransport[[#This Row],[Wegtype]],"_",TableECFTransport[[#This Row],[Brandstoftechnologie]],"_",TableECFTransport[[#This Row],[Brandstof]])</f>
        <v>Zware voertuigen_Niet-genummerde wegen_Petrol_Petrol</v>
      </c>
      <c r="B45" s="991" t="s">
        <v>730</v>
      </c>
      <c r="C45" s="991" t="s">
        <v>64</v>
      </c>
      <c r="D45" s="991" t="s">
        <v>300</v>
      </c>
      <c r="E45" s="991" t="s">
        <v>300</v>
      </c>
      <c r="F45" s="984">
        <v>7.6653519389191315E-9</v>
      </c>
    </row>
    <row r="46" spans="1:6">
      <c r="A46" s="991" t="str">
        <f>CONCATENATE(TableECFTransport[[#This Row],[Voertuigtype]],"_",TableECFTransport[[#This Row],[Wegtype]],"_",TableECFTransport[[#This Row],[Brandstoftechnologie]],"_",TableECFTransport[[#This Row],[Brandstof]])</f>
        <v>Zware voertuigen_Genummerde wegen_Petrol_Petrol</v>
      </c>
      <c r="B46" s="991" t="s">
        <v>730</v>
      </c>
      <c r="C46" s="991" t="s">
        <v>63</v>
      </c>
      <c r="D46" s="991" t="s">
        <v>300</v>
      </c>
      <c r="E46" s="991" t="s">
        <v>300</v>
      </c>
      <c r="F46" s="984">
        <v>6.3506130742713411E-9</v>
      </c>
    </row>
    <row r="47" spans="1:6">
      <c r="A47" s="991" t="str">
        <f>CONCATENATE(TableECFTransport[[#This Row],[Voertuigtype]],"_",TableECFTransport[[#This Row],[Wegtype]],"_",TableECFTransport[[#This Row],[Brandstoftechnologie]],"_",TableECFTransport[[#This Row],[Brandstof]])</f>
        <v>Zware voertuigen_Snelwegen_Petrol_Petrol</v>
      </c>
      <c r="B47" s="991" t="s">
        <v>730</v>
      </c>
      <c r="C47" s="991" t="s">
        <v>65</v>
      </c>
      <c r="D47" s="991" t="s">
        <v>300</v>
      </c>
      <c r="E47" s="991" t="s">
        <v>300</v>
      </c>
      <c r="F47" s="984">
        <v>6.5365124469575579E-9</v>
      </c>
    </row>
    <row r="48" spans="1:6">
      <c r="A48" s="991" t="str">
        <f>CONCATENATE(TableECFTransport[[#This Row],[Voertuigtype]],"_",TableECFTransport[[#This Row],[Wegtype]],"_",TableECFTransport[[#This Row],[Brandstoftechnologie]],"_",TableECFTransport[[#This Row],[Brandstof]])</f>
        <v>BUS_Niet-genummerde wegen_CNG_CNG</v>
      </c>
      <c r="B48" s="991" t="s">
        <v>736</v>
      </c>
      <c r="C48" s="991" t="s">
        <v>64</v>
      </c>
      <c r="D48" s="991" t="s">
        <v>298</v>
      </c>
      <c r="E48" s="991" t="s">
        <v>298</v>
      </c>
      <c r="F48" s="984">
        <v>2.3303083752649972E-8</v>
      </c>
    </row>
    <row r="49" spans="1:6">
      <c r="A49" s="991" t="str">
        <f>CONCATENATE(TableECFTransport[[#This Row],[Voertuigtype]],"_",TableECFTransport[[#This Row],[Wegtype]],"_",TableECFTransport[[#This Row],[Brandstoftechnologie]],"_",TableECFTransport[[#This Row],[Brandstof]])</f>
        <v>BUS_Genummerde wegen_CNG_CNG</v>
      </c>
      <c r="B49" s="991" t="s">
        <v>736</v>
      </c>
      <c r="C49" s="991" t="s">
        <v>63</v>
      </c>
      <c r="D49" s="991" t="s">
        <v>298</v>
      </c>
      <c r="E49" s="991" t="s">
        <v>298</v>
      </c>
      <c r="F49" s="984">
        <v>1.2452720009185941E-8</v>
      </c>
    </row>
    <row r="50" spans="1:6">
      <c r="A50" s="991" t="str">
        <f>CONCATENATE(TableECFTransport[[#This Row],[Voertuigtype]],"_",TableECFTransport[[#This Row],[Wegtype]],"_",TableECFTransport[[#This Row],[Brandstoftechnologie]],"_",TableECFTransport[[#This Row],[Brandstof]])</f>
        <v>BUS_Niet-genummerde wegen_Diesel_Diesel</v>
      </c>
      <c r="B50" s="991" t="s">
        <v>736</v>
      </c>
      <c r="C50" s="991" t="s">
        <v>64</v>
      </c>
      <c r="D50" s="991" t="s">
        <v>195</v>
      </c>
      <c r="E50" s="991" t="s">
        <v>195</v>
      </c>
      <c r="F50" s="984">
        <v>1.7778346093046629E-8</v>
      </c>
    </row>
    <row r="51" spans="1:6">
      <c r="A51" s="991" t="str">
        <f>CONCATENATE(TableECFTransport[[#This Row],[Voertuigtype]],"_",TableECFTransport[[#This Row],[Wegtype]],"_",TableECFTransport[[#This Row],[Brandstoftechnologie]],"_",TableECFTransport[[#This Row],[Brandstof]])</f>
        <v>BUS_Genummerde wegen_Diesel_Diesel</v>
      </c>
      <c r="B51" s="991" t="s">
        <v>736</v>
      </c>
      <c r="C51" s="991" t="s">
        <v>63</v>
      </c>
      <c r="D51" s="991" t="s">
        <v>195</v>
      </c>
      <c r="E51" s="991" t="s">
        <v>195</v>
      </c>
      <c r="F51" s="984">
        <v>9.7922915217600791E-9</v>
      </c>
    </row>
    <row r="52" spans="1:6">
      <c r="A52" s="991" t="str">
        <f>CONCATENATE(TableECFTransport[[#This Row],[Voertuigtype]],"_",TableECFTransport[[#This Row],[Wegtype]],"_",TableECFTransport[[#This Row],[Brandstoftechnologie]],"_",TableECFTransport[[#This Row],[Brandstof]])</f>
        <v>BUS_Niet-genummerde wegen_Diesel Hybrid PHEV_Diesel</v>
      </c>
      <c r="B52" s="991" t="s">
        <v>736</v>
      </c>
      <c r="C52" s="991" t="s">
        <v>64</v>
      </c>
      <c r="D52" s="991" t="s">
        <v>911</v>
      </c>
      <c r="E52" s="991" t="s">
        <v>195</v>
      </c>
      <c r="F52" s="984">
        <v>1.2122949179999998E-8</v>
      </c>
    </row>
    <row r="53" spans="1:6">
      <c r="A53" s="991" t="str">
        <f>CONCATENATE(TableECFTransport[[#This Row],[Voertuigtype]],"_",TableECFTransport[[#This Row],[Wegtype]],"_",TableECFTransport[[#This Row],[Brandstoftechnologie]],"_",TableECFTransport[[#This Row],[Brandstof]])</f>
        <v>BUS_Niet-genummerde wegen_Diesel Hybrid PHEV_Electric</v>
      </c>
      <c r="B53" s="991" t="s">
        <v>736</v>
      </c>
      <c r="C53" s="991" t="s">
        <v>64</v>
      </c>
      <c r="D53" s="991" t="s">
        <v>911</v>
      </c>
      <c r="E53" s="991" t="s">
        <v>299</v>
      </c>
      <c r="F53" s="984">
        <v>4.040983059999999E-9</v>
      </c>
    </row>
    <row r="54" spans="1:6">
      <c r="A54" s="991" t="str">
        <f>CONCATENATE(TableECFTransport[[#This Row],[Voertuigtype]],"_",TableECFTransport[[#This Row],[Wegtype]],"_",TableECFTransport[[#This Row],[Brandstoftechnologie]],"_",TableECFTransport[[#This Row],[Brandstof]])</f>
        <v>BUS_Genummerde wegen_Diesel Hybrid PHEV_Diesel</v>
      </c>
      <c r="B54" s="991" t="s">
        <v>736</v>
      </c>
      <c r="C54" s="991" t="s">
        <v>63</v>
      </c>
      <c r="D54" s="991" t="s">
        <v>911</v>
      </c>
      <c r="E54" s="991" t="s">
        <v>195</v>
      </c>
      <c r="F54" s="984">
        <v>6.0281746424999986E-9</v>
      </c>
    </row>
    <row r="55" spans="1:6">
      <c r="A55" s="991" t="str">
        <f>CONCATENATE(TableECFTransport[[#This Row],[Voertuigtype]],"_",TableECFTransport[[#This Row],[Wegtype]],"_",TableECFTransport[[#This Row],[Brandstoftechnologie]],"_",TableECFTransport[[#This Row],[Brandstof]])</f>
        <v>BUS_Genummerde wegen_Diesel Hybrid PHEV_Electric</v>
      </c>
      <c r="B55" s="991" t="s">
        <v>736</v>
      </c>
      <c r="C55" s="991" t="s">
        <v>63</v>
      </c>
      <c r="D55" s="991" t="s">
        <v>911</v>
      </c>
      <c r="E55" s="991" t="s">
        <v>299</v>
      </c>
      <c r="F55" s="984">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6" sqref="AC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31">
        <v>2011</v>
      </c>
      <c r="B1" s="113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33"/>
      <c r="B2" s="113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33"/>
      <c r="B3" s="113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35"/>
      <c r="B4" s="113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3" t="s">
        <v>383</v>
      </c>
      <c r="B5" s="149" t="s">
        <v>941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1"/>
      <c r="D6" s="151"/>
      <c r="E6" s="151"/>
      <c r="F6" s="151"/>
      <c r="G6" s="150"/>
      <c r="H6" s="151"/>
      <c r="I6" s="151"/>
      <c r="J6" s="151"/>
      <c r="K6" s="150"/>
      <c r="L6" s="151"/>
      <c r="M6" s="151"/>
      <c r="N6" s="151"/>
      <c r="O6" s="151"/>
      <c r="P6" s="151"/>
      <c r="Q6" s="150"/>
      <c r="R6" s="150"/>
      <c r="S6" s="151"/>
      <c r="T6" s="151"/>
      <c r="U6" s="151"/>
      <c r="V6" s="151"/>
      <c r="W6" s="151"/>
      <c r="X6" s="151"/>
      <c r="Y6" s="151"/>
      <c r="Z6" s="151"/>
      <c r="AA6" s="152"/>
      <c r="AB6" s="152"/>
      <c r="AC6" s="210"/>
    </row>
    <row r="7" spans="1:29">
      <c r="A7" s="211" t="s">
        <v>148</v>
      </c>
      <c r="B7" s="212"/>
      <c r="C7" s="801">
        <v>0</v>
      </c>
      <c r="D7" s="801">
        <v>1.4650660623995182</v>
      </c>
      <c r="E7" s="801">
        <v>0</v>
      </c>
      <c r="F7" s="802">
        <v>1.4650660623995182</v>
      </c>
      <c r="G7" s="801">
        <v>0</v>
      </c>
      <c r="H7" s="801">
        <v>0</v>
      </c>
      <c r="I7" s="801">
        <v>2.0235400000000001</v>
      </c>
      <c r="J7" s="801">
        <v>0.62542261293449875</v>
      </c>
      <c r="K7" s="801">
        <v>0</v>
      </c>
      <c r="L7" s="801">
        <v>65.063544279281032</v>
      </c>
      <c r="M7" s="801">
        <v>0</v>
      </c>
      <c r="N7" s="801">
        <v>0</v>
      </c>
      <c r="O7" s="801">
        <v>0</v>
      </c>
      <c r="P7" s="801">
        <v>0</v>
      </c>
      <c r="Q7" s="801">
        <v>0</v>
      </c>
      <c r="R7" s="802">
        <v>67.712506892215529</v>
      </c>
      <c r="S7" s="801">
        <v>81.020451572490572</v>
      </c>
      <c r="T7" s="801">
        <v>0</v>
      </c>
      <c r="U7" s="801">
        <v>0</v>
      </c>
      <c r="V7" s="802">
        <v>81.020451572490572</v>
      </c>
      <c r="W7" s="802">
        <v>150.19802452710562</v>
      </c>
      <c r="X7" s="801">
        <v>0</v>
      </c>
      <c r="Y7" s="801">
        <v>11.597073821038368</v>
      </c>
      <c r="Z7" s="801">
        <v>40.431095546363998</v>
      </c>
      <c r="AA7" s="803">
        <v>1.4356467233097441</v>
      </c>
      <c r="AB7" s="803">
        <v>0</v>
      </c>
      <c r="AC7" s="802">
        <v>203.66184061781775</v>
      </c>
    </row>
    <row r="8" spans="1:29">
      <c r="A8" s="213" t="s">
        <v>149</v>
      </c>
      <c r="B8" s="214"/>
      <c r="C8" s="804">
        <v>0</v>
      </c>
      <c r="D8" s="804">
        <v>0</v>
      </c>
      <c r="E8" s="804">
        <v>0</v>
      </c>
      <c r="F8" s="805">
        <v>0</v>
      </c>
      <c r="G8" s="804">
        <v>0</v>
      </c>
      <c r="H8" s="804">
        <v>0</v>
      </c>
      <c r="I8" s="804">
        <v>0.93539191091156837</v>
      </c>
      <c r="J8" s="804">
        <v>2.6753471661064613E-3</v>
      </c>
      <c r="K8" s="804">
        <v>0</v>
      </c>
      <c r="L8" s="804">
        <v>8.2342144930908372</v>
      </c>
      <c r="M8" s="804">
        <v>0</v>
      </c>
      <c r="N8" s="804">
        <v>0.4005120828874203</v>
      </c>
      <c r="O8" s="804">
        <v>0</v>
      </c>
      <c r="P8" s="804">
        <v>0</v>
      </c>
      <c r="Q8" s="804">
        <v>0</v>
      </c>
      <c r="R8" s="805">
        <v>9.5727938340559326</v>
      </c>
      <c r="S8" s="804">
        <v>42.673134049162229</v>
      </c>
      <c r="T8" s="804">
        <v>0</v>
      </c>
      <c r="U8" s="804">
        <v>0</v>
      </c>
      <c r="V8" s="805">
        <v>42.673134049162229</v>
      </c>
      <c r="W8" s="805">
        <v>52.245927883218158</v>
      </c>
      <c r="X8" s="804">
        <v>1.1285989999999999</v>
      </c>
      <c r="Y8" s="804">
        <v>1.271106782445357</v>
      </c>
      <c r="Z8" s="804">
        <v>43.657108963579603</v>
      </c>
      <c r="AA8" s="806">
        <v>0.59043218354829652</v>
      </c>
      <c r="AB8" s="806">
        <v>0</v>
      </c>
      <c r="AC8" s="805">
        <v>98.893174812791415</v>
      </c>
    </row>
    <row r="9" spans="1:29">
      <c r="A9" s="3"/>
      <c r="B9" s="6" t="s">
        <v>150</v>
      </c>
      <c r="C9" s="807">
        <v>0</v>
      </c>
      <c r="D9" s="807">
        <v>0</v>
      </c>
      <c r="E9" s="807">
        <v>0</v>
      </c>
      <c r="F9" s="808">
        <v>0</v>
      </c>
      <c r="G9" s="807">
        <v>0</v>
      </c>
      <c r="H9" s="807">
        <v>0</v>
      </c>
      <c r="I9" s="807">
        <v>0.23986594197038361</v>
      </c>
      <c r="J9" s="807">
        <v>0</v>
      </c>
      <c r="K9" s="807">
        <v>0</v>
      </c>
      <c r="L9" s="807">
        <v>0.74071144437677905</v>
      </c>
      <c r="M9" s="807">
        <v>0</v>
      </c>
      <c r="N9" s="807">
        <v>0</v>
      </c>
      <c r="O9" s="807">
        <v>0</v>
      </c>
      <c r="P9" s="807">
        <v>0</v>
      </c>
      <c r="Q9" s="807">
        <v>0</v>
      </c>
      <c r="R9" s="808">
        <v>0.98057738634716263</v>
      </c>
      <c r="S9" s="807">
        <v>4.8069369150770882</v>
      </c>
      <c r="T9" s="807">
        <v>0</v>
      </c>
      <c r="U9" s="807">
        <v>0</v>
      </c>
      <c r="V9" s="808">
        <v>4.8069369150770882</v>
      </c>
      <c r="W9" s="808">
        <v>5.7875143014242507</v>
      </c>
      <c r="X9" s="807">
        <v>0</v>
      </c>
      <c r="Y9" s="807">
        <v>0</v>
      </c>
      <c r="Z9" s="807">
        <v>4.3768619326489491</v>
      </c>
      <c r="AA9" s="809">
        <v>0</v>
      </c>
      <c r="AB9" s="809">
        <v>0</v>
      </c>
      <c r="AC9" s="808">
        <v>10.164376234073199</v>
      </c>
    </row>
    <row r="10" spans="1:29">
      <c r="A10" s="3"/>
      <c r="B10" s="6" t="s">
        <v>151</v>
      </c>
      <c r="C10" s="807">
        <v>0</v>
      </c>
      <c r="D10" s="807">
        <v>0</v>
      </c>
      <c r="E10" s="807">
        <v>0</v>
      </c>
      <c r="F10" s="808">
        <v>0</v>
      </c>
      <c r="G10" s="807">
        <v>0</v>
      </c>
      <c r="H10" s="807">
        <v>0</v>
      </c>
      <c r="I10" s="807">
        <v>1.1479243261291476E-3</v>
      </c>
      <c r="J10" s="807">
        <v>0</v>
      </c>
      <c r="K10" s="807">
        <v>0</v>
      </c>
      <c r="L10" s="807">
        <v>0.67500914773328857</v>
      </c>
      <c r="M10" s="807">
        <v>0</v>
      </c>
      <c r="N10" s="807">
        <v>7.070841878929539E-3</v>
      </c>
      <c r="O10" s="807">
        <v>0</v>
      </c>
      <c r="P10" s="807">
        <v>0</v>
      </c>
      <c r="Q10" s="807">
        <v>0</v>
      </c>
      <c r="R10" s="808">
        <v>0.68322791393834736</v>
      </c>
      <c r="S10" s="807">
        <v>4.5959470811234651</v>
      </c>
      <c r="T10" s="807">
        <v>0</v>
      </c>
      <c r="U10" s="807">
        <v>0</v>
      </c>
      <c r="V10" s="808">
        <v>4.5959470811234651</v>
      </c>
      <c r="W10" s="808">
        <v>5.2791749950618128</v>
      </c>
      <c r="X10" s="807">
        <v>0</v>
      </c>
      <c r="Y10" s="807">
        <v>2.3935049200000003E-2</v>
      </c>
      <c r="Z10" s="807">
        <v>3.1567112020160595</v>
      </c>
      <c r="AA10" s="809">
        <v>0</v>
      </c>
      <c r="AB10" s="809">
        <v>0</v>
      </c>
      <c r="AC10" s="808">
        <v>8.4598212462778726</v>
      </c>
    </row>
    <row r="11" spans="1:29">
      <c r="A11" s="3"/>
      <c r="B11" s="6" t="s">
        <v>152</v>
      </c>
      <c r="C11" s="807">
        <v>0</v>
      </c>
      <c r="D11" s="807">
        <v>0</v>
      </c>
      <c r="E11" s="807">
        <v>0</v>
      </c>
      <c r="F11" s="808">
        <v>0</v>
      </c>
      <c r="G11" s="807">
        <v>0</v>
      </c>
      <c r="H11" s="807">
        <v>0</v>
      </c>
      <c r="I11" s="807">
        <v>1.4339483086039156E-3</v>
      </c>
      <c r="J11" s="807">
        <v>0</v>
      </c>
      <c r="K11" s="807">
        <v>0</v>
      </c>
      <c r="L11" s="807">
        <v>1.3616964244893957</v>
      </c>
      <c r="M11" s="807">
        <v>0</v>
      </c>
      <c r="N11" s="807">
        <v>0</v>
      </c>
      <c r="O11" s="807">
        <v>0</v>
      </c>
      <c r="P11" s="807">
        <v>0</v>
      </c>
      <c r="Q11" s="807">
        <v>0</v>
      </c>
      <c r="R11" s="808">
        <v>1.3631303727979995</v>
      </c>
      <c r="S11" s="807">
        <v>3.2372712731834645</v>
      </c>
      <c r="T11" s="807">
        <v>0</v>
      </c>
      <c r="U11" s="807">
        <v>0</v>
      </c>
      <c r="V11" s="808">
        <v>3.2372712731834645</v>
      </c>
      <c r="W11" s="808">
        <v>4.6004016459814636</v>
      </c>
      <c r="X11" s="807">
        <v>0</v>
      </c>
      <c r="Y11" s="807">
        <v>5.5458E-3</v>
      </c>
      <c r="Z11" s="807">
        <v>1.1553974813253276</v>
      </c>
      <c r="AA11" s="809">
        <v>0</v>
      </c>
      <c r="AB11" s="809">
        <v>0</v>
      </c>
      <c r="AC11" s="808">
        <v>5.7613449273067916</v>
      </c>
    </row>
    <row r="12" spans="1:29">
      <c r="A12" s="3"/>
      <c r="B12" s="6" t="s">
        <v>153</v>
      </c>
      <c r="C12" s="807">
        <v>0</v>
      </c>
      <c r="D12" s="807">
        <v>0</v>
      </c>
      <c r="E12" s="807">
        <v>0</v>
      </c>
      <c r="F12" s="808">
        <v>0</v>
      </c>
      <c r="G12" s="807">
        <v>0</v>
      </c>
      <c r="H12" s="807">
        <v>0</v>
      </c>
      <c r="I12" s="807">
        <v>0.59883151513920008</v>
      </c>
      <c r="J12" s="807">
        <v>2.6753471661064613E-3</v>
      </c>
      <c r="K12" s="807">
        <v>0</v>
      </c>
      <c r="L12" s="807">
        <v>2.642748627418309</v>
      </c>
      <c r="M12" s="807">
        <v>0</v>
      </c>
      <c r="N12" s="807">
        <v>0</v>
      </c>
      <c r="O12" s="807">
        <v>0</v>
      </c>
      <c r="P12" s="807">
        <v>0</v>
      </c>
      <c r="Q12" s="807">
        <v>0</v>
      </c>
      <c r="R12" s="808">
        <v>3.2442554897236153</v>
      </c>
      <c r="S12" s="807">
        <v>16.490034604121142</v>
      </c>
      <c r="T12" s="807">
        <v>0</v>
      </c>
      <c r="U12" s="807">
        <v>0</v>
      </c>
      <c r="V12" s="808">
        <v>16.490034604121142</v>
      </c>
      <c r="W12" s="808">
        <v>19.734290093844756</v>
      </c>
      <c r="X12" s="807">
        <v>0</v>
      </c>
      <c r="Y12" s="807">
        <v>0.26686140000000003</v>
      </c>
      <c r="Z12" s="807">
        <v>17.311266350711634</v>
      </c>
      <c r="AA12" s="809">
        <v>0</v>
      </c>
      <c r="AB12" s="809">
        <v>0</v>
      </c>
      <c r="AC12" s="808">
        <v>37.312417844556393</v>
      </c>
    </row>
    <row r="13" spans="1:29">
      <c r="A13" s="3"/>
      <c r="B13" s="6" t="s">
        <v>154</v>
      </c>
      <c r="C13" s="807">
        <v>0</v>
      </c>
      <c r="D13" s="807">
        <v>0</v>
      </c>
      <c r="E13" s="807">
        <v>0</v>
      </c>
      <c r="F13" s="808">
        <v>0</v>
      </c>
      <c r="G13" s="807">
        <v>0</v>
      </c>
      <c r="H13" s="807">
        <v>0</v>
      </c>
      <c r="I13" s="807">
        <v>6.5798928220573871E-2</v>
      </c>
      <c r="J13" s="807">
        <v>0</v>
      </c>
      <c r="K13" s="807">
        <v>0</v>
      </c>
      <c r="L13" s="807">
        <v>1.9744221352276887</v>
      </c>
      <c r="M13" s="807">
        <v>0</v>
      </c>
      <c r="N13" s="807">
        <v>1.7184242162E-3</v>
      </c>
      <c r="O13" s="807">
        <v>0</v>
      </c>
      <c r="P13" s="807">
        <v>0</v>
      </c>
      <c r="Q13" s="807">
        <v>0</v>
      </c>
      <c r="R13" s="808">
        <v>2.0419394876644623</v>
      </c>
      <c r="S13" s="807">
        <v>9.1476132403225687</v>
      </c>
      <c r="T13" s="807">
        <v>0</v>
      </c>
      <c r="U13" s="807">
        <v>0</v>
      </c>
      <c r="V13" s="808">
        <v>9.1476132403225687</v>
      </c>
      <c r="W13" s="808">
        <v>11.189552727987031</v>
      </c>
      <c r="X13" s="807">
        <v>0</v>
      </c>
      <c r="Y13" s="807">
        <v>6.081894E-3</v>
      </c>
      <c r="Z13" s="807">
        <v>13.005872203028927</v>
      </c>
      <c r="AA13" s="809">
        <v>0</v>
      </c>
      <c r="AB13" s="809">
        <v>0</v>
      </c>
      <c r="AC13" s="808">
        <v>24.201506825015958</v>
      </c>
    </row>
    <row r="14" spans="1:29">
      <c r="A14" s="215"/>
      <c r="B14" s="216" t="s">
        <v>155</v>
      </c>
      <c r="C14" s="810">
        <v>0</v>
      </c>
      <c r="D14" s="810">
        <v>0</v>
      </c>
      <c r="E14" s="810">
        <v>0</v>
      </c>
      <c r="F14" s="811">
        <v>0</v>
      </c>
      <c r="G14" s="807">
        <v>0</v>
      </c>
      <c r="H14" s="807">
        <v>0</v>
      </c>
      <c r="I14" s="807">
        <v>2.8313652946677776E-2</v>
      </c>
      <c r="J14" s="807">
        <v>0</v>
      </c>
      <c r="K14" s="807">
        <v>0</v>
      </c>
      <c r="L14" s="807">
        <v>0.83962671384537646</v>
      </c>
      <c r="M14" s="807">
        <v>0</v>
      </c>
      <c r="N14" s="807">
        <v>0.39172281679229076</v>
      </c>
      <c r="O14" s="807">
        <v>0</v>
      </c>
      <c r="P14" s="807">
        <v>0</v>
      </c>
      <c r="Q14" s="807">
        <v>0</v>
      </c>
      <c r="R14" s="811">
        <v>1.259663183584345</v>
      </c>
      <c r="S14" s="807">
        <v>4.3953309353345045</v>
      </c>
      <c r="T14" s="810">
        <v>0</v>
      </c>
      <c r="U14" s="810">
        <v>0</v>
      </c>
      <c r="V14" s="811">
        <v>4.3953309353345045</v>
      </c>
      <c r="W14" s="811">
        <v>5.6549941189188493</v>
      </c>
      <c r="X14" s="807">
        <v>1.1285989999999999</v>
      </c>
      <c r="Y14" s="807">
        <v>0.96868263924535702</v>
      </c>
      <c r="Z14" s="807">
        <v>4.6509997938487055</v>
      </c>
      <c r="AA14" s="812">
        <v>0</v>
      </c>
      <c r="AB14" s="812">
        <v>0</v>
      </c>
      <c r="AC14" s="811">
        <v>12.403275552012913</v>
      </c>
    </row>
    <row r="15" spans="1:29">
      <c r="A15" s="213" t="s">
        <v>156</v>
      </c>
      <c r="B15" s="217"/>
      <c r="C15" s="813">
        <v>0</v>
      </c>
      <c r="D15" s="813">
        <v>4.6294683399999897E-2</v>
      </c>
      <c r="E15" s="813">
        <v>0.27958403999999998</v>
      </c>
      <c r="F15" s="814">
        <v>0.3258787233999999</v>
      </c>
      <c r="G15" s="813">
        <v>0</v>
      </c>
      <c r="H15" s="813">
        <v>0</v>
      </c>
      <c r="I15" s="813">
        <v>0.43677774631650601</v>
      </c>
      <c r="J15" s="813">
        <v>0.177079042996164</v>
      </c>
      <c r="K15" s="813">
        <v>0</v>
      </c>
      <c r="L15" s="813">
        <v>8.152548427772965</v>
      </c>
      <c r="M15" s="813">
        <v>0</v>
      </c>
      <c r="N15" s="813">
        <v>1.5225393158196623</v>
      </c>
      <c r="O15" s="813">
        <v>0</v>
      </c>
      <c r="P15" s="813">
        <v>0.73553042499999999</v>
      </c>
      <c r="Q15" s="813">
        <v>0</v>
      </c>
      <c r="R15" s="814">
        <v>11.024474957905298</v>
      </c>
      <c r="S15" s="813">
        <v>34.11080161185599</v>
      </c>
      <c r="T15" s="813">
        <v>0</v>
      </c>
      <c r="U15" s="813">
        <v>0</v>
      </c>
      <c r="V15" s="814">
        <v>34.11080161185599</v>
      </c>
      <c r="W15" s="814">
        <v>45.461155293161291</v>
      </c>
      <c r="X15" s="813">
        <v>4.3920904048954288</v>
      </c>
      <c r="Y15" s="813">
        <v>0.87095798458799956</v>
      </c>
      <c r="Z15" s="813">
        <v>48.397694433966471</v>
      </c>
      <c r="AA15" s="815">
        <v>0</v>
      </c>
      <c r="AB15" s="815">
        <v>0</v>
      </c>
      <c r="AC15" s="814">
        <v>99.121898116611206</v>
      </c>
    </row>
    <row r="16" spans="1:29">
      <c r="A16" s="5"/>
      <c r="B16" s="6" t="s">
        <v>34</v>
      </c>
      <c r="C16" s="816">
        <v>0</v>
      </c>
      <c r="D16" s="816">
        <v>0</v>
      </c>
      <c r="E16" s="816">
        <v>0</v>
      </c>
      <c r="F16" s="808">
        <v>0</v>
      </c>
      <c r="G16" s="816">
        <v>0</v>
      </c>
      <c r="H16" s="816">
        <v>0</v>
      </c>
      <c r="I16" s="816">
        <v>2.24482776E-3</v>
      </c>
      <c r="J16" s="816">
        <v>0</v>
      </c>
      <c r="K16" s="816">
        <v>0</v>
      </c>
      <c r="L16" s="816">
        <v>0</v>
      </c>
      <c r="M16" s="816">
        <v>0</v>
      </c>
      <c r="N16" s="816">
        <v>3.8862360000000012E-3</v>
      </c>
      <c r="O16" s="816">
        <v>0</v>
      </c>
      <c r="P16" s="816">
        <v>0</v>
      </c>
      <c r="Q16" s="816">
        <v>0</v>
      </c>
      <c r="R16" s="808">
        <v>6.1310637600000013E-3</v>
      </c>
      <c r="S16" s="816">
        <v>6.3671612045999026E-2</v>
      </c>
      <c r="T16" s="816">
        <v>0</v>
      </c>
      <c r="U16" s="816">
        <v>0</v>
      </c>
      <c r="V16" s="817">
        <v>6.3671612045999026E-2</v>
      </c>
      <c r="W16" s="808">
        <v>6.9802675805999026E-2</v>
      </c>
      <c r="X16" s="816">
        <v>0</v>
      </c>
      <c r="Y16" s="816">
        <v>0</v>
      </c>
      <c r="Z16" s="816">
        <v>0</v>
      </c>
      <c r="AA16" s="809">
        <v>0</v>
      </c>
      <c r="AB16" s="809">
        <v>0</v>
      </c>
      <c r="AC16" s="808">
        <v>6.9802675805999026E-2</v>
      </c>
    </row>
    <row r="17" spans="1:31">
      <c r="A17" s="5"/>
      <c r="B17" s="6" t="s">
        <v>37</v>
      </c>
      <c r="C17" s="816">
        <v>0</v>
      </c>
      <c r="D17" s="816">
        <v>0</v>
      </c>
      <c r="E17" s="816">
        <v>0.15866815000000001</v>
      </c>
      <c r="F17" s="808">
        <v>0.15866815000000001</v>
      </c>
      <c r="G17" s="816">
        <v>0</v>
      </c>
      <c r="H17" s="816">
        <v>0</v>
      </c>
      <c r="I17" s="816">
        <v>7.1204537699999992E-4</v>
      </c>
      <c r="J17" s="816">
        <v>0</v>
      </c>
      <c r="K17" s="816">
        <v>0</v>
      </c>
      <c r="L17" s="816">
        <v>6.9550615690955997E-2</v>
      </c>
      <c r="M17" s="816">
        <v>0</v>
      </c>
      <c r="N17" s="816">
        <v>0.22275191983999998</v>
      </c>
      <c r="O17" s="816">
        <v>0</v>
      </c>
      <c r="P17" s="816">
        <v>5.9200250000000024E-3</v>
      </c>
      <c r="Q17" s="816">
        <v>0</v>
      </c>
      <c r="R17" s="808">
        <v>0.29893460590795595</v>
      </c>
      <c r="S17" s="816">
        <v>0.45487571287393358</v>
      </c>
      <c r="T17" s="816">
        <v>0</v>
      </c>
      <c r="U17" s="816">
        <v>0</v>
      </c>
      <c r="V17" s="817">
        <v>0.45487571287393358</v>
      </c>
      <c r="W17" s="808">
        <v>0.91247846878188954</v>
      </c>
      <c r="X17" s="816">
        <v>6.2216309999999997E-2</v>
      </c>
      <c r="Y17" s="816">
        <v>0</v>
      </c>
      <c r="Z17" s="816">
        <v>0.84512268719999817</v>
      </c>
      <c r="AA17" s="809">
        <v>0</v>
      </c>
      <c r="AB17" s="809">
        <v>0</v>
      </c>
      <c r="AC17" s="808">
        <v>1.8198174659818878</v>
      </c>
    </row>
    <row r="18" spans="1:31">
      <c r="A18" s="5"/>
      <c r="B18" s="6" t="s">
        <v>35</v>
      </c>
      <c r="C18" s="816">
        <v>0</v>
      </c>
      <c r="D18" s="816">
        <v>0</v>
      </c>
      <c r="E18" s="816">
        <v>0.11157439999999999</v>
      </c>
      <c r="F18" s="808">
        <v>0.11157439999999999</v>
      </c>
      <c r="G18" s="816">
        <v>0</v>
      </c>
      <c r="H18" s="816">
        <v>0</v>
      </c>
      <c r="I18" s="816">
        <v>3.7999359550091011E-2</v>
      </c>
      <c r="J18" s="816">
        <v>0</v>
      </c>
      <c r="K18" s="816">
        <v>0</v>
      </c>
      <c r="L18" s="816">
        <v>0.53858611592464256</v>
      </c>
      <c r="M18" s="816">
        <v>0</v>
      </c>
      <c r="N18" s="816">
        <v>5.5157781060228055E-2</v>
      </c>
      <c r="O18" s="816">
        <v>0</v>
      </c>
      <c r="P18" s="816">
        <v>0</v>
      </c>
      <c r="Q18" s="816">
        <v>0</v>
      </c>
      <c r="R18" s="808">
        <v>0.63174325653496166</v>
      </c>
      <c r="S18" s="816">
        <v>6.9477279689110736</v>
      </c>
      <c r="T18" s="816">
        <v>0</v>
      </c>
      <c r="U18" s="816">
        <v>0</v>
      </c>
      <c r="V18" s="817">
        <v>6.9477279689110736</v>
      </c>
      <c r="W18" s="808">
        <v>7.6910456254460353</v>
      </c>
      <c r="X18" s="816">
        <v>0</v>
      </c>
      <c r="Y18" s="816">
        <v>2.0268793E-2</v>
      </c>
      <c r="Z18" s="816">
        <v>5.4077917639420789</v>
      </c>
      <c r="AA18" s="809">
        <v>0</v>
      </c>
      <c r="AB18" s="809">
        <v>0</v>
      </c>
      <c r="AC18" s="808">
        <v>13.119106182388114</v>
      </c>
    </row>
    <row r="19" spans="1:31">
      <c r="A19" s="5"/>
      <c r="B19" s="6" t="s">
        <v>32</v>
      </c>
      <c r="C19" s="816">
        <v>0</v>
      </c>
      <c r="D19" s="816">
        <v>7.3249999999999997E-4</v>
      </c>
      <c r="E19" s="816">
        <v>0</v>
      </c>
      <c r="F19" s="808">
        <v>7.3249999999999997E-4</v>
      </c>
      <c r="G19" s="816">
        <v>0</v>
      </c>
      <c r="H19" s="816">
        <v>0</v>
      </c>
      <c r="I19" s="816">
        <v>0.13641284933346731</v>
      </c>
      <c r="J19" s="816">
        <v>0.17707614049616399</v>
      </c>
      <c r="K19" s="816">
        <v>0</v>
      </c>
      <c r="L19" s="816">
        <v>6.141552787890217</v>
      </c>
      <c r="M19" s="816">
        <v>0</v>
      </c>
      <c r="N19" s="816">
        <v>0.20748075177743647</v>
      </c>
      <c r="O19" s="816">
        <v>0</v>
      </c>
      <c r="P19" s="816">
        <v>0</v>
      </c>
      <c r="Q19" s="816">
        <v>0</v>
      </c>
      <c r="R19" s="808">
        <v>6.6625225294972843</v>
      </c>
      <c r="S19" s="816">
        <v>6.5794731641534856</v>
      </c>
      <c r="T19" s="816">
        <v>0</v>
      </c>
      <c r="U19" s="816">
        <v>0</v>
      </c>
      <c r="V19" s="817">
        <v>6.5794731641534856</v>
      </c>
      <c r="W19" s="808">
        <v>13.24272819365077</v>
      </c>
      <c r="X19" s="816">
        <v>0.47487000000000001</v>
      </c>
      <c r="Y19" s="816">
        <v>0.60194363099799952</v>
      </c>
      <c r="Z19" s="816">
        <v>8.1216373926762166</v>
      </c>
      <c r="AA19" s="809">
        <v>0</v>
      </c>
      <c r="AB19" s="809">
        <v>0</v>
      </c>
      <c r="AC19" s="808">
        <v>22.441179217324986</v>
      </c>
    </row>
    <row r="20" spans="1:31">
      <c r="A20" s="5"/>
      <c r="B20" s="6" t="s">
        <v>40</v>
      </c>
      <c r="C20" s="816">
        <v>0</v>
      </c>
      <c r="D20" s="816">
        <v>4.5483662999999952E-2</v>
      </c>
      <c r="E20" s="816">
        <v>-1.0947800000000001E-3</v>
      </c>
      <c r="F20" s="808">
        <v>4.4388882999999948E-2</v>
      </c>
      <c r="G20" s="816">
        <v>0</v>
      </c>
      <c r="H20" s="816">
        <v>0</v>
      </c>
      <c r="I20" s="816">
        <v>9.8329590746062137E-2</v>
      </c>
      <c r="J20" s="816">
        <v>0</v>
      </c>
      <c r="K20" s="816">
        <v>0</v>
      </c>
      <c r="L20" s="816">
        <v>0.83076581022245177</v>
      </c>
      <c r="M20" s="816">
        <v>0</v>
      </c>
      <c r="N20" s="816">
        <v>0.90798485776912075</v>
      </c>
      <c r="O20" s="816">
        <v>0</v>
      </c>
      <c r="P20" s="816">
        <v>0</v>
      </c>
      <c r="Q20" s="816">
        <v>0</v>
      </c>
      <c r="R20" s="808">
        <v>1.8370802587376347</v>
      </c>
      <c r="S20" s="816">
        <v>7.2420871481679132</v>
      </c>
      <c r="T20" s="816">
        <v>0</v>
      </c>
      <c r="U20" s="816">
        <v>0</v>
      </c>
      <c r="V20" s="817">
        <v>7.2420871481679132</v>
      </c>
      <c r="W20" s="808">
        <v>9.1235562899055473</v>
      </c>
      <c r="X20" s="816">
        <v>0</v>
      </c>
      <c r="Y20" s="816">
        <v>0.15766658219000007</v>
      </c>
      <c r="Z20" s="816">
        <v>10.777517464185561</v>
      </c>
      <c r="AA20" s="809">
        <v>0</v>
      </c>
      <c r="AB20" s="809">
        <v>0</v>
      </c>
      <c r="AC20" s="808">
        <v>20.058740336281108</v>
      </c>
    </row>
    <row r="21" spans="1:31">
      <c r="A21" s="5"/>
      <c r="B21" s="6" t="s">
        <v>39</v>
      </c>
      <c r="C21" s="816">
        <v>0</v>
      </c>
      <c r="D21" s="816">
        <v>0</v>
      </c>
      <c r="E21" s="816">
        <v>0</v>
      </c>
      <c r="F21" s="808">
        <v>0</v>
      </c>
      <c r="G21" s="816">
        <v>0</v>
      </c>
      <c r="H21" s="816">
        <v>0</v>
      </c>
      <c r="I21" s="816">
        <v>6.2368312986916764E-3</v>
      </c>
      <c r="J21" s="816">
        <v>0</v>
      </c>
      <c r="K21" s="816">
        <v>0</v>
      </c>
      <c r="L21" s="816">
        <v>4.3105495243907922E-2</v>
      </c>
      <c r="M21" s="816">
        <v>0</v>
      </c>
      <c r="N21" s="816">
        <v>1.5346453908877336E-2</v>
      </c>
      <c r="O21" s="816">
        <v>0</v>
      </c>
      <c r="P21" s="816">
        <v>0</v>
      </c>
      <c r="Q21" s="816">
        <v>0</v>
      </c>
      <c r="R21" s="808">
        <v>6.4688780451476927E-2</v>
      </c>
      <c r="S21" s="816">
        <v>3.9634230005757067</v>
      </c>
      <c r="T21" s="816">
        <v>0</v>
      </c>
      <c r="U21" s="816">
        <v>0</v>
      </c>
      <c r="V21" s="817">
        <v>3.9634230005757067</v>
      </c>
      <c r="W21" s="808">
        <v>4.0281117810271834</v>
      </c>
      <c r="X21" s="816">
        <v>0</v>
      </c>
      <c r="Y21" s="816">
        <v>1.9397999999999999E-2</v>
      </c>
      <c r="Z21" s="816">
        <v>2.7344754590981495</v>
      </c>
      <c r="AA21" s="809">
        <v>0</v>
      </c>
      <c r="AB21" s="809">
        <v>0</v>
      </c>
      <c r="AC21" s="808">
        <v>6.7819852401253327</v>
      </c>
    </row>
    <row r="22" spans="1:31">
      <c r="A22" s="5"/>
      <c r="B22" s="6" t="s">
        <v>36</v>
      </c>
      <c r="C22" s="816">
        <v>0</v>
      </c>
      <c r="D22" s="816">
        <v>7.852039999994842E-5</v>
      </c>
      <c r="E22" s="816">
        <v>1.0436270000000001E-2</v>
      </c>
      <c r="F22" s="808">
        <v>1.0514790399999949E-2</v>
      </c>
      <c r="G22" s="816">
        <v>0</v>
      </c>
      <c r="H22" s="816">
        <v>0</v>
      </c>
      <c r="I22" s="816">
        <v>4.5910923805786374E-2</v>
      </c>
      <c r="J22" s="816">
        <v>2.9024999999999997E-6</v>
      </c>
      <c r="K22" s="816">
        <v>0</v>
      </c>
      <c r="L22" s="816">
        <v>0.20881870495472327</v>
      </c>
      <c r="M22" s="816">
        <v>0</v>
      </c>
      <c r="N22" s="816">
        <v>-1.2131777027999835E-2</v>
      </c>
      <c r="O22" s="816">
        <v>0</v>
      </c>
      <c r="P22" s="816">
        <v>0</v>
      </c>
      <c r="Q22" s="816">
        <v>0</v>
      </c>
      <c r="R22" s="808">
        <v>0.24260075423250982</v>
      </c>
      <c r="S22" s="816">
        <v>1.0767462052923999</v>
      </c>
      <c r="T22" s="816">
        <v>0</v>
      </c>
      <c r="U22" s="816">
        <v>0</v>
      </c>
      <c r="V22" s="817">
        <v>1.0767462052923999</v>
      </c>
      <c r="W22" s="808">
        <v>1.3298617499249097</v>
      </c>
      <c r="X22" s="816">
        <v>1.0760059310000001</v>
      </c>
      <c r="Y22" s="816">
        <v>0</v>
      </c>
      <c r="Z22" s="816">
        <v>1.8510042782840566</v>
      </c>
      <c r="AA22" s="809">
        <v>0</v>
      </c>
      <c r="AB22" s="809">
        <v>0</v>
      </c>
      <c r="AC22" s="808">
        <v>4.2568719592089668</v>
      </c>
    </row>
    <row r="23" spans="1:31">
      <c r="A23" s="5"/>
      <c r="B23" s="6" t="s">
        <v>38</v>
      </c>
      <c r="C23" s="816">
        <v>0</v>
      </c>
      <c r="D23" s="816">
        <v>0</v>
      </c>
      <c r="E23" s="816">
        <v>0</v>
      </c>
      <c r="F23" s="808">
        <v>0</v>
      </c>
      <c r="G23" s="816">
        <v>0</v>
      </c>
      <c r="H23" s="816">
        <v>0</v>
      </c>
      <c r="I23" s="816">
        <v>5.6950570951867528E-2</v>
      </c>
      <c r="J23" s="816">
        <v>0</v>
      </c>
      <c r="K23" s="816">
        <v>0</v>
      </c>
      <c r="L23" s="816">
        <v>0.34388259705726382</v>
      </c>
      <c r="M23" s="816">
        <v>0</v>
      </c>
      <c r="N23" s="816">
        <v>4.9150300000000001E-2</v>
      </c>
      <c r="O23" s="816">
        <v>0</v>
      </c>
      <c r="P23" s="816">
        <v>0</v>
      </c>
      <c r="Q23" s="816">
        <v>0</v>
      </c>
      <c r="R23" s="808">
        <v>0.4499834680091313</v>
      </c>
      <c r="S23" s="816">
        <v>0.53969360671919997</v>
      </c>
      <c r="T23" s="816">
        <v>0</v>
      </c>
      <c r="U23" s="816">
        <v>0</v>
      </c>
      <c r="V23" s="817">
        <v>0.53969360671919997</v>
      </c>
      <c r="W23" s="808">
        <v>0.98967707472833122</v>
      </c>
      <c r="X23" s="816">
        <v>0.66275824246685622</v>
      </c>
      <c r="Y23" s="816">
        <v>0</v>
      </c>
      <c r="Z23" s="816">
        <v>3.3297063332112988</v>
      </c>
      <c r="AA23" s="809">
        <v>0</v>
      </c>
      <c r="AB23" s="809">
        <v>0</v>
      </c>
      <c r="AC23" s="808">
        <v>4.9821416504064864</v>
      </c>
    </row>
    <row r="24" spans="1:31">
      <c r="A24" s="218"/>
      <c r="B24" s="216" t="s">
        <v>33</v>
      </c>
      <c r="C24" s="816">
        <v>0</v>
      </c>
      <c r="D24" s="816">
        <v>0</v>
      </c>
      <c r="E24" s="816">
        <v>0</v>
      </c>
      <c r="F24" s="808">
        <v>0</v>
      </c>
      <c r="G24" s="816">
        <v>0</v>
      </c>
      <c r="H24" s="816">
        <v>0</v>
      </c>
      <c r="I24" s="816">
        <v>5.1980747493540001E-2</v>
      </c>
      <c r="J24" s="816">
        <v>0</v>
      </c>
      <c r="K24" s="816">
        <v>0</v>
      </c>
      <c r="L24" s="816">
        <v>-2.3713699211196759E-2</v>
      </c>
      <c r="M24" s="816">
        <v>0</v>
      </c>
      <c r="N24" s="816">
        <v>7.2912792491999667E-2</v>
      </c>
      <c r="O24" s="816">
        <v>0</v>
      </c>
      <c r="P24" s="816">
        <v>0.72961039999999999</v>
      </c>
      <c r="Q24" s="816">
        <v>0</v>
      </c>
      <c r="R24" s="808">
        <v>0.83079024077434294</v>
      </c>
      <c r="S24" s="816">
        <v>7.2431031931162835</v>
      </c>
      <c r="T24" s="816">
        <v>0</v>
      </c>
      <c r="U24" s="816">
        <v>0</v>
      </c>
      <c r="V24" s="817">
        <v>7.2431031931162835</v>
      </c>
      <c r="W24" s="808">
        <v>8.0738934338906265</v>
      </c>
      <c r="X24" s="816">
        <v>2.1162399214285728</v>
      </c>
      <c r="Y24" s="816">
        <v>7.1680978399999998E-2</v>
      </c>
      <c r="Z24" s="816">
        <v>15.330439055369112</v>
      </c>
      <c r="AA24" s="809">
        <v>0</v>
      </c>
      <c r="AB24" s="809">
        <v>0</v>
      </c>
      <c r="AC24" s="808">
        <v>25.592253389088313</v>
      </c>
    </row>
    <row r="25" spans="1:31">
      <c r="A25" s="5" t="s">
        <v>105</v>
      </c>
      <c r="B25" s="127"/>
      <c r="C25" s="818">
        <f>SUM(C27:C32)</f>
        <v>0</v>
      </c>
      <c r="D25" s="818">
        <f>SUM(D27:D32)</f>
        <v>0.23668578428600956</v>
      </c>
      <c r="E25" s="818">
        <f>SUM(E27:E32)</f>
        <v>0</v>
      </c>
      <c r="F25" s="814">
        <f>SUM(F27:F32)</f>
        <v>0.23668578428600956</v>
      </c>
      <c r="G25" s="804">
        <f>SUM(G27:G32)</f>
        <v>0</v>
      </c>
      <c r="H25" s="804">
        <f t="shared" ref="H25:Q25" si="0">SUM(H27:H32)</f>
        <v>0</v>
      </c>
      <c r="I25" s="804">
        <f t="shared" si="0"/>
        <v>2.1076347959960759E-2</v>
      </c>
      <c r="J25" s="804">
        <f t="shared" si="0"/>
        <v>9.8501982239829436E-2</v>
      </c>
      <c r="K25" s="804">
        <f t="shared" si="0"/>
        <v>0</v>
      </c>
      <c r="L25" s="804">
        <f t="shared" si="0"/>
        <v>8.0481110504118991</v>
      </c>
      <c r="M25" s="804">
        <f t="shared" si="0"/>
        <v>0</v>
      </c>
      <c r="N25" s="804">
        <f t="shared" si="0"/>
        <v>0.71577332518810344</v>
      </c>
      <c r="O25" s="804">
        <f t="shared" si="0"/>
        <v>0</v>
      </c>
      <c r="P25" s="804">
        <f t="shared" si="0"/>
        <v>0</v>
      </c>
      <c r="Q25" s="804">
        <f t="shared" si="0"/>
        <v>0</v>
      </c>
      <c r="R25" s="814">
        <f>SUM(R27:R32)</f>
        <v>8.8834627057997917</v>
      </c>
      <c r="S25" s="804">
        <f>SUM(S27:S32)</f>
        <v>13.121942999999998</v>
      </c>
      <c r="T25" s="804">
        <f t="shared" ref="T25:U25" si="1">SUM(T27:T32)</f>
        <v>0</v>
      </c>
      <c r="U25" s="804">
        <f t="shared" si="1"/>
        <v>0</v>
      </c>
      <c r="V25" s="814">
        <f t="shared" ref="V25:AB25" si="2">SUM(V27:V32)</f>
        <v>13.121942999999998</v>
      </c>
      <c r="W25" s="814">
        <f t="shared" si="2"/>
        <v>22.242091490085798</v>
      </c>
      <c r="X25" s="813">
        <f t="shared" si="2"/>
        <v>0</v>
      </c>
      <c r="Y25" s="813">
        <f t="shared" si="2"/>
        <v>2.3617198781072593</v>
      </c>
      <c r="Z25" s="806">
        <f t="shared" si="2"/>
        <v>-0.87857264749468744</v>
      </c>
      <c r="AA25" s="815">
        <f t="shared" si="2"/>
        <v>0</v>
      </c>
      <c r="AB25" s="815">
        <f t="shared" si="2"/>
        <v>0</v>
      </c>
      <c r="AC25" s="805">
        <f>SUM(AC27:AC32)</f>
        <v>23.725238720698368</v>
      </c>
      <c r="AE25" s="38"/>
    </row>
    <row r="26" spans="1:31">
      <c r="A26" s="5"/>
      <c r="B26" s="127"/>
      <c r="C26" s="818"/>
      <c r="D26" s="819"/>
      <c r="E26" s="818"/>
      <c r="F26" s="808"/>
      <c r="G26" s="819"/>
      <c r="H26" s="819"/>
      <c r="I26" s="819"/>
      <c r="J26" s="819"/>
      <c r="K26" s="819"/>
      <c r="L26" s="819"/>
      <c r="M26" s="819"/>
      <c r="N26" s="819"/>
      <c r="O26" s="819"/>
      <c r="P26" s="819"/>
      <c r="Q26" s="819"/>
      <c r="R26" s="808"/>
      <c r="S26" s="819"/>
      <c r="T26" s="818"/>
      <c r="U26" s="818"/>
      <c r="V26" s="808"/>
      <c r="W26" s="808"/>
      <c r="X26" s="818"/>
      <c r="Y26" s="822"/>
      <c r="Z26" s="822">
        <v>2.3388879215053437</v>
      </c>
      <c r="AA26" s="823"/>
      <c r="AB26" s="820"/>
      <c r="AC26" s="821"/>
      <c r="AE26" s="38"/>
    </row>
    <row r="27" spans="1:31">
      <c r="A27" s="3"/>
      <c r="B27" s="6" t="s">
        <v>157</v>
      </c>
      <c r="C27" s="807">
        <v>0</v>
      </c>
      <c r="D27" s="807">
        <v>9.9570534594412476E-3</v>
      </c>
      <c r="E27" s="807">
        <v>0</v>
      </c>
      <c r="F27" s="808">
        <v>9.9570534594412476E-3</v>
      </c>
      <c r="G27" s="807">
        <v>0</v>
      </c>
      <c r="H27" s="807">
        <v>0</v>
      </c>
      <c r="I27" s="807">
        <v>6.8110993929520833E-3</v>
      </c>
      <c r="J27" s="807">
        <v>1.2864673158667415E-3</v>
      </c>
      <c r="K27" s="807">
        <v>0</v>
      </c>
      <c r="L27" s="807">
        <v>4.7846619373844863</v>
      </c>
      <c r="M27" s="807">
        <v>0</v>
      </c>
      <c r="N27" s="807">
        <v>4.2892697777983674E-3</v>
      </c>
      <c r="O27" s="807">
        <v>0</v>
      </c>
      <c r="P27" s="807">
        <v>0</v>
      </c>
      <c r="Q27" s="807">
        <v>0</v>
      </c>
      <c r="R27" s="808">
        <v>4.7970487738711034</v>
      </c>
      <c r="S27" s="807">
        <v>0.15661600000000001</v>
      </c>
      <c r="T27" s="807">
        <v>0</v>
      </c>
      <c r="U27" s="807">
        <v>0</v>
      </c>
      <c r="V27" s="808">
        <v>0.15661600000000001</v>
      </c>
      <c r="W27" s="808">
        <v>4.9636218273305444</v>
      </c>
      <c r="X27" s="807">
        <v>0</v>
      </c>
      <c r="Y27" s="807">
        <v>1.279590503375208</v>
      </c>
      <c r="Z27" s="807">
        <v>1.7919016509569965</v>
      </c>
      <c r="AA27" s="809">
        <v>0</v>
      </c>
      <c r="AB27" s="809">
        <v>0</v>
      </c>
      <c r="AC27" s="808">
        <v>8.0351139816627484</v>
      </c>
    </row>
    <row r="28" spans="1:31">
      <c r="A28" s="3"/>
      <c r="B28" s="6" t="s">
        <v>158</v>
      </c>
      <c r="C28" s="807">
        <v>0</v>
      </c>
      <c r="D28" s="807">
        <v>3.097093842199862E-4</v>
      </c>
      <c r="E28" s="807">
        <v>0</v>
      </c>
      <c r="F28" s="808">
        <v>3.097093842199862E-4</v>
      </c>
      <c r="G28" s="807">
        <v>0</v>
      </c>
      <c r="H28" s="807">
        <v>0</v>
      </c>
      <c r="I28" s="807">
        <v>4.2337532515706435E-3</v>
      </c>
      <c r="J28" s="807">
        <v>1.044497340877003E-4</v>
      </c>
      <c r="K28" s="807">
        <v>0</v>
      </c>
      <c r="L28" s="807">
        <v>1.7045845712074075</v>
      </c>
      <c r="M28" s="807">
        <v>0</v>
      </c>
      <c r="N28" s="807">
        <v>0</v>
      </c>
      <c r="O28" s="807">
        <v>0</v>
      </c>
      <c r="P28" s="807">
        <v>0</v>
      </c>
      <c r="Q28" s="807">
        <v>0</v>
      </c>
      <c r="R28" s="808">
        <v>1.7089227741930657</v>
      </c>
      <c r="S28" s="807">
        <v>0</v>
      </c>
      <c r="T28" s="807">
        <v>0</v>
      </c>
      <c r="U28" s="807">
        <v>0</v>
      </c>
      <c r="V28" s="808">
        <v>0</v>
      </c>
      <c r="W28" s="808">
        <v>1.7092324835772856</v>
      </c>
      <c r="X28" s="807">
        <v>0</v>
      </c>
      <c r="Y28" s="807">
        <v>0.60488500802347989</v>
      </c>
      <c r="Z28" s="807">
        <v>0.51603729256002073</v>
      </c>
      <c r="AA28" s="809">
        <v>0</v>
      </c>
      <c r="AB28" s="809">
        <v>0</v>
      </c>
      <c r="AC28" s="808">
        <v>2.8301547841607864</v>
      </c>
    </row>
    <row r="29" spans="1:31">
      <c r="A29" s="3"/>
      <c r="B29" s="6" t="s">
        <v>159</v>
      </c>
      <c r="C29" s="807">
        <v>0</v>
      </c>
      <c r="D29" s="807">
        <v>0.11355258947240625</v>
      </c>
      <c r="E29" s="807">
        <v>0</v>
      </c>
      <c r="F29" s="808">
        <v>0.11355258947240625</v>
      </c>
      <c r="G29" s="807">
        <v>0</v>
      </c>
      <c r="H29" s="807">
        <v>0</v>
      </c>
      <c r="I29" s="807">
        <v>4.4858154725372903E-3</v>
      </c>
      <c r="J29" s="807">
        <v>8.6997514533993956E-4</v>
      </c>
      <c r="K29" s="807">
        <v>0</v>
      </c>
      <c r="L29" s="807">
        <v>0.67640763251108571</v>
      </c>
      <c r="M29" s="807">
        <v>0</v>
      </c>
      <c r="N29" s="807">
        <v>0.57521672061384199</v>
      </c>
      <c r="O29" s="807">
        <v>0</v>
      </c>
      <c r="P29" s="807">
        <v>0</v>
      </c>
      <c r="Q29" s="807">
        <v>0</v>
      </c>
      <c r="R29" s="808">
        <v>1.256980143742805</v>
      </c>
      <c r="S29" s="807">
        <v>12.945658999999999</v>
      </c>
      <c r="T29" s="807">
        <v>0</v>
      </c>
      <c r="U29" s="807">
        <v>0</v>
      </c>
      <c r="V29" s="808">
        <v>12.945658999999999</v>
      </c>
      <c r="W29" s="808">
        <v>14.316191733215209</v>
      </c>
      <c r="X29" s="807">
        <v>0</v>
      </c>
      <c r="Y29" s="807">
        <v>0.47691130270857146</v>
      </c>
      <c r="Z29" s="807">
        <v>-3.868463852889982</v>
      </c>
      <c r="AA29" s="809">
        <v>0</v>
      </c>
      <c r="AB29" s="809">
        <v>0</v>
      </c>
      <c r="AC29" s="808">
        <v>10.924639183033801</v>
      </c>
    </row>
    <row r="30" spans="1:31">
      <c r="A30" s="3"/>
      <c r="B30" s="6" t="s">
        <v>160</v>
      </c>
      <c r="C30" s="807">
        <v>0</v>
      </c>
      <c r="D30" s="807">
        <v>0.11286643196994209</v>
      </c>
      <c r="E30" s="807">
        <v>0</v>
      </c>
      <c r="F30" s="808">
        <v>0.11286643196994209</v>
      </c>
      <c r="G30" s="807">
        <v>0</v>
      </c>
      <c r="H30" s="807">
        <v>0</v>
      </c>
      <c r="I30" s="807">
        <v>5.543922155803742E-3</v>
      </c>
      <c r="J30" s="807">
        <v>6.4126104764541756E-3</v>
      </c>
      <c r="K30" s="807">
        <v>0</v>
      </c>
      <c r="L30" s="807">
        <v>0.87222671957711984</v>
      </c>
      <c r="M30" s="807">
        <v>0</v>
      </c>
      <c r="N30" s="807">
        <v>0.13626733479646302</v>
      </c>
      <c r="O30" s="807">
        <v>0</v>
      </c>
      <c r="P30" s="807">
        <v>0</v>
      </c>
      <c r="Q30" s="807">
        <v>0</v>
      </c>
      <c r="R30" s="808">
        <v>1.0204505870058407</v>
      </c>
      <c r="S30" s="807">
        <v>1.9667999999999998E-2</v>
      </c>
      <c r="T30" s="807">
        <v>0</v>
      </c>
      <c r="U30" s="807">
        <v>0</v>
      </c>
      <c r="V30" s="808">
        <v>1.9667999999999998E-2</v>
      </c>
      <c r="W30" s="808">
        <v>1.1529850189757829</v>
      </c>
      <c r="X30" s="807">
        <v>0</v>
      </c>
      <c r="Y30" s="807">
        <v>3.3306400000000005E-4</v>
      </c>
      <c r="Z30" s="807">
        <v>0.68190256546227712</v>
      </c>
      <c r="AA30" s="809">
        <v>0</v>
      </c>
      <c r="AB30" s="809">
        <v>0</v>
      </c>
      <c r="AC30" s="808">
        <v>1.8352206484380602</v>
      </c>
    </row>
    <row r="31" spans="1:31">
      <c r="A31" s="3"/>
      <c r="B31" s="6" t="s">
        <v>161</v>
      </c>
      <c r="C31" s="807">
        <v>0</v>
      </c>
      <c r="D31" s="807">
        <v>0</v>
      </c>
      <c r="E31" s="807">
        <v>0</v>
      </c>
      <c r="F31" s="808">
        <v>0</v>
      </c>
      <c r="G31" s="807">
        <v>0</v>
      </c>
      <c r="H31" s="807">
        <v>0</v>
      </c>
      <c r="I31" s="807">
        <v>1.7576870969999996E-6</v>
      </c>
      <c r="J31" s="807">
        <v>8.6855845293085043E-2</v>
      </c>
      <c r="K31" s="807">
        <v>0</v>
      </c>
      <c r="L31" s="807">
        <v>6.8157765275399847E-3</v>
      </c>
      <c r="M31" s="807">
        <v>0</v>
      </c>
      <c r="N31" s="807">
        <v>0</v>
      </c>
      <c r="O31" s="807">
        <v>0</v>
      </c>
      <c r="P31" s="807">
        <v>0</v>
      </c>
      <c r="Q31" s="807">
        <v>0</v>
      </c>
      <c r="R31" s="808">
        <v>9.3673379507722018E-2</v>
      </c>
      <c r="S31" s="807">
        <v>0</v>
      </c>
      <c r="T31" s="807">
        <v>0</v>
      </c>
      <c r="U31" s="807">
        <v>0</v>
      </c>
      <c r="V31" s="808">
        <v>0</v>
      </c>
      <c r="W31" s="808">
        <v>9.3673379507722018E-2</v>
      </c>
      <c r="X31" s="807">
        <v>0</v>
      </c>
      <c r="Y31" s="807">
        <v>0</v>
      </c>
      <c r="Z31" s="807">
        <v>0</v>
      </c>
      <c r="AA31" s="809">
        <v>0</v>
      </c>
      <c r="AB31" s="809">
        <v>0</v>
      </c>
      <c r="AC31" s="808">
        <v>9.3673379507722018E-2</v>
      </c>
    </row>
    <row r="32" spans="1:31">
      <c r="A32" s="4"/>
      <c r="B32" s="126" t="s">
        <v>162</v>
      </c>
      <c r="C32" s="825">
        <v>0</v>
      </c>
      <c r="D32" s="825">
        <v>0</v>
      </c>
      <c r="E32" s="825">
        <v>0</v>
      </c>
      <c r="F32" s="824">
        <v>0</v>
      </c>
      <c r="G32" s="825">
        <v>0</v>
      </c>
      <c r="H32" s="825">
        <v>0</v>
      </c>
      <c r="I32" s="825">
        <v>0</v>
      </c>
      <c r="J32" s="825">
        <v>2.9726342749958399E-3</v>
      </c>
      <c r="K32" s="825">
        <v>0</v>
      </c>
      <c r="L32" s="825">
        <v>3.4144132042592998E-3</v>
      </c>
      <c r="M32" s="825">
        <v>0</v>
      </c>
      <c r="N32" s="825">
        <v>0</v>
      </c>
      <c r="O32" s="825">
        <v>0</v>
      </c>
      <c r="P32" s="825">
        <v>0</v>
      </c>
      <c r="Q32" s="825">
        <v>0</v>
      </c>
      <c r="R32" s="824">
        <v>6.3870474792551398E-3</v>
      </c>
      <c r="S32" s="825">
        <v>0</v>
      </c>
      <c r="T32" s="825">
        <v>0</v>
      </c>
      <c r="U32" s="825">
        <v>0</v>
      </c>
      <c r="V32" s="824">
        <v>0</v>
      </c>
      <c r="W32" s="824">
        <v>6.3870474792551398E-3</v>
      </c>
      <c r="X32" s="825">
        <v>0</v>
      </c>
      <c r="Y32" s="825">
        <v>0</v>
      </c>
      <c r="Z32" s="825">
        <v>4.9696416000000005E-5</v>
      </c>
      <c r="AA32" s="826">
        <v>0</v>
      </c>
      <c r="AB32" s="826">
        <v>0</v>
      </c>
      <c r="AC32" s="824">
        <v>6.43674389525514E-3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7" t="s">
        <v>466</v>
      </c>
      <c r="B2" s="1138"/>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29" t="s">
        <v>468</v>
      </c>
      <c r="C6" s="161" t="s">
        <v>484</v>
      </c>
    </row>
    <row r="7" spans="1:3" s="11" customFormat="1">
      <c r="A7" s="131"/>
      <c r="B7" s="132"/>
      <c r="C7" s="133"/>
    </row>
    <row r="8" spans="1:3" s="11" customFormat="1" ht="60">
      <c r="A8" s="113" t="s">
        <v>148</v>
      </c>
      <c r="B8" s="129" t="s">
        <v>468</v>
      </c>
      <c r="C8" s="305" t="s">
        <v>485</v>
      </c>
    </row>
    <row r="9" spans="1:3" s="11" customFormat="1">
      <c r="A9" s="131"/>
      <c r="B9" s="132"/>
      <c r="C9" s="133"/>
    </row>
    <row r="10" spans="1:3" s="11" customFormat="1" ht="60">
      <c r="A10" s="113" t="s">
        <v>149</v>
      </c>
      <c r="B10" s="129" t="s">
        <v>468</v>
      </c>
      <c r="C10" s="305" t="s">
        <v>485</v>
      </c>
    </row>
    <row r="11" spans="1:3" s="11" customFormat="1">
      <c r="A11" s="131"/>
      <c r="B11" s="132"/>
      <c r="C11" s="133"/>
    </row>
    <row r="12" spans="1:3" s="11" customFormat="1" ht="60">
      <c r="A12" s="113" t="s">
        <v>378</v>
      </c>
      <c r="B12" s="129" t="s">
        <v>468</v>
      </c>
      <c r="C12" s="305" t="s">
        <v>485</v>
      </c>
    </row>
    <row r="13" spans="1:3" s="11" customFormat="1">
      <c r="A13" s="131"/>
      <c r="B13" s="132"/>
      <c r="C13" s="133"/>
    </row>
    <row r="14" spans="1:3" s="11" customFormat="1" ht="60">
      <c r="A14" s="113" t="s">
        <v>105</v>
      </c>
      <c r="B14" s="129" t="s">
        <v>486</v>
      </c>
      <c r="C14" s="305" t="s">
        <v>485</v>
      </c>
    </row>
    <row r="15" spans="1:3" s="11" customFormat="1" ht="63">
      <c r="A15" s="123"/>
      <c r="B15" s="129" t="s">
        <v>487</v>
      </c>
      <c r="C15" s="305" t="s">
        <v>491</v>
      </c>
    </row>
    <row r="16" spans="1:3" s="11" customFormat="1">
      <c r="A16" s="131"/>
      <c r="B16" s="132"/>
      <c r="C16" s="133"/>
    </row>
    <row r="17" spans="1:3" s="11" customFormat="1" ht="45">
      <c r="A17" s="113" t="s">
        <v>467</v>
      </c>
      <c r="B17" s="129" t="s">
        <v>536</v>
      </c>
      <c r="C17" s="161" t="s">
        <v>537</v>
      </c>
    </row>
    <row r="18" spans="1:3" s="11" customFormat="1">
      <c r="A18" s="131"/>
      <c r="B18" s="132"/>
      <c r="C18" s="133"/>
    </row>
    <row r="19" spans="1:3" s="11" customFormat="1" ht="60">
      <c r="A19" s="113" t="s">
        <v>381</v>
      </c>
      <c r="B19" s="304" t="s">
        <v>534</v>
      </c>
      <c r="C19" s="161" t="s">
        <v>535</v>
      </c>
    </row>
    <row r="20" spans="1:3" s="11" customFormat="1">
      <c r="A20" s="113"/>
      <c r="B20" s="129"/>
      <c r="C20" s="130"/>
    </row>
    <row r="21" spans="1:3" ht="21">
      <c r="A21" s="125" t="s">
        <v>470</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39" t="s">
        <v>187</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2129.3139999999999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51">
        <f>MAX((B6+B5),0)</f>
        <v>2129.3139999999999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0.20637942547445917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439.44659997472252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39" t="s">
        <v>148</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55401.248</v>
      </c>
      <c r="C5" s="17">
        <f>IF(ISERROR('Eigen informatie GS &amp; warmtenet'!B57),0,'Eigen informatie GS &amp; warmtenet'!B57)</f>
        <v>0</v>
      </c>
      <c r="D5" s="30">
        <f>(SUM(HH_hh_gas_kWh,HH_rest_gas_kWh)/1000)*0.902</f>
        <v>116980.71734800001</v>
      </c>
      <c r="E5" s="17">
        <f>B32*B41</f>
        <v>2581.4139638753295</v>
      </c>
      <c r="F5" s="17">
        <f>B36*B45</f>
        <v>88115.005557369761</v>
      </c>
      <c r="G5" s="18"/>
      <c r="H5" s="17"/>
      <c r="I5" s="17"/>
      <c r="J5" s="17">
        <f>B35*B44+C35*C44</f>
        <v>1984.1265283077489</v>
      </c>
      <c r="K5" s="17"/>
      <c r="L5" s="17"/>
      <c r="M5" s="17"/>
      <c r="N5" s="17">
        <f>B34*B43+C34*C43</f>
        <v>14981.033662287911</v>
      </c>
      <c r="O5" s="17">
        <f>B52*B53*B54</f>
        <v>276.70999999999998</v>
      </c>
      <c r="P5" s="17">
        <f>B60*B61*B62/1000-B60*B61*B62/1000/B63</f>
        <v>324.13333333333333</v>
      </c>
    </row>
    <row r="6" spans="1:16">
      <c r="A6" s="16" t="s">
        <v>591</v>
      </c>
      <c r="B6" s="727">
        <f>kWh_PV_kleiner_dan_10kW</f>
        <v>4281.3570292174554</v>
      </c>
      <c r="C6" s="728"/>
      <c r="D6" s="728"/>
      <c r="E6" s="729"/>
      <c r="F6" s="729"/>
      <c r="G6" s="729"/>
      <c r="H6" s="729"/>
      <c r="I6" s="729"/>
      <c r="J6" s="729"/>
      <c r="K6" s="729"/>
      <c r="L6" s="729"/>
      <c r="M6" s="729"/>
      <c r="N6" s="729"/>
      <c r="O6" s="729"/>
      <c r="P6" s="729"/>
    </row>
    <row r="7" spans="1:16">
      <c r="B7" s="19"/>
      <c r="C7" s="19"/>
      <c r="D7" s="19"/>
      <c r="E7" s="19"/>
      <c r="F7" s="19"/>
      <c r="G7" s="19"/>
      <c r="H7" s="19"/>
      <c r="I7" s="19"/>
      <c r="J7" s="19"/>
      <c r="K7" s="19"/>
      <c r="L7" s="19"/>
      <c r="M7" s="19"/>
      <c r="N7" s="19"/>
      <c r="O7" s="19"/>
      <c r="P7" s="19"/>
    </row>
    <row r="8" spans="1:16" s="8" customFormat="1">
      <c r="A8" s="20" t="s">
        <v>205</v>
      </c>
      <c r="B8" s="21">
        <f>B5+B6</f>
        <v>59682.605029217455</v>
      </c>
      <c r="C8" s="21">
        <f>C5</f>
        <v>0</v>
      </c>
      <c r="D8" s="21">
        <f>D5</f>
        <v>116980.71734800001</v>
      </c>
      <c r="E8" s="21">
        <f>E5</f>
        <v>2581.4139638753295</v>
      </c>
      <c r="F8" s="21">
        <f>F5</f>
        <v>88115.005557369761</v>
      </c>
      <c r="G8" s="21"/>
      <c r="H8" s="21"/>
      <c r="I8" s="21"/>
      <c r="J8" s="21">
        <f>J5</f>
        <v>1984.1265283077489</v>
      </c>
      <c r="K8" s="21"/>
      <c r="L8" s="21">
        <f>L5</f>
        <v>0</v>
      </c>
      <c r="M8" s="21">
        <f>M5</f>
        <v>0</v>
      </c>
      <c r="N8" s="21">
        <f>N5</f>
        <v>14981.033662287911</v>
      </c>
      <c r="O8" s="21">
        <f>O5</f>
        <v>276.70999999999998</v>
      </c>
      <c r="P8" s="21">
        <f>P5</f>
        <v>324.13333333333333</v>
      </c>
    </row>
    <row r="9" spans="1:16">
      <c r="B9" s="19"/>
      <c r="C9" s="19"/>
      <c r="D9" s="255"/>
      <c r="E9" s="19"/>
      <c r="F9" s="19"/>
      <c r="G9" s="19"/>
      <c r="H9" s="19"/>
      <c r="I9" s="19"/>
      <c r="J9" s="19"/>
      <c r="K9" s="19"/>
      <c r="L9" s="19"/>
      <c r="M9" s="19"/>
      <c r="N9" s="19"/>
      <c r="O9" s="19"/>
      <c r="P9" s="19"/>
    </row>
    <row r="10" spans="1:16">
      <c r="A10" s="24" t="s">
        <v>207</v>
      </c>
      <c r="B10" s="25">
        <f ca="1">'EF ele_warmte'!B12</f>
        <v>0.20637942547445917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12317.261736748966</v>
      </c>
      <c r="C12" s="23">
        <f ca="1">C10*C8</f>
        <v>0</v>
      </c>
      <c r="D12" s="23">
        <f>D8*D10</f>
        <v>23630.104904296004</v>
      </c>
      <c r="E12" s="23">
        <f>E10*E8</f>
        <v>585.98096979969978</v>
      </c>
      <c r="F12" s="23">
        <f>F10*F8</f>
        <v>23526.706483817728</v>
      </c>
      <c r="G12" s="23"/>
      <c r="H12" s="23"/>
      <c r="I12" s="23"/>
      <c r="J12" s="23">
        <f>J10*J8</f>
        <v>702.38079102094309</v>
      </c>
      <c r="K12" s="23"/>
      <c r="L12" s="23">
        <f>L10*L8</f>
        <v>0</v>
      </c>
      <c r="M12" s="23">
        <f>M10*M8</f>
        <v>0</v>
      </c>
      <c r="N12" s="23">
        <f>N10*N8</f>
        <v>0</v>
      </c>
      <c r="O12" s="23">
        <f>O10*O8</f>
        <v>0</v>
      </c>
      <c r="P12" s="23">
        <f>P10*P8</f>
        <v>0</v>
      </c>
    </row>
    <row r="15" spans="1:16">
      <c r="A15" s="190" t="s">
        <v>482</v>
      </c>
      <c r="B15" s="200"/>
      <c r="C15" s="200"/>
      <c r="D15" s="222"/>
    </row>
    <row r="16" spans="1:16">
      <c r="A16" s="3"/>
      <c r="B16" s="43"/>
      <c r="C16" s="43"/>
      <c r="D16" s="171"/>
    </row>
    <row r="17" spans="1:5">
      <c r="A17" s="223" t="s">
        <v>935</v>
      </c>
      <c r="B17" s="199" t="s">
        <v>927</v>
      </c>
      <c r="C17" s="199" t="s">
        <v>928</v>
      </c>
      <c r="D17" s="224" t="s">
        <v>175</v>
      </c>
      <c r="E17" s="15"/>
    </row>
    <row r="18" spans="1:5">
      <c r="A18" s="241" t="s">
        <v>77</v>
      </c>
      <c r="B18" s="1002">
        <v>0.72810700138133444</v>
      </c>
      <c r="C18" s="1002"/>
      <c r="D18" s="294" t="s">
        <v>929</v>
      </c>
      <c r="E18" s="15"/>
    </row>
    <row r="19" spans="1:5">
      <c r="A19" s="241" t="s">
        <v>930</v>
      </c>
      <c r="B19" s="1002">
        <v>2.1099906700350789E-2</v>
      </c>
      <c r="C19" s="1002"/>
      <c r="D19" s="226"/>
      <c r="E19" s="15"/>
    </row>
    <row r="20" spans="1:5">
      <c r="A20" s="241" t="s">
        <v>931</v>
      </c>
      <c r="B20" s="1002"/>
      <c r="C20" s="1002"/>
      <c r="D20" s="226"/>
      <c r="E20" s="15"/>
    </row>
    <row r="21" spans="1:5">
      <c r="A21" s="241" t="s">
        <v>932</v>
      </c>
      <c r="B21" s="1002">
        <v>7.0895686513178643E-3</v>
      </c>
      <c r="C21" s="1002"/>
      <c r="D21" s="226"/>
      <c r="E21" s="15"/>
    </row>
    <row r="22" spans="1:5">
      <c r="A22" s="241" t="s">
        <v>933</v>
      </c>
      <c r="B22" s="1002">
        <v>0.20318607297960659</v>
      </c>
      <c r="C22" s="1002"/>
      <c r="D22" s="226"/>
      <c r="E22" s="15"/>
    </row>
    <row r="23" spans="1:5">
      <c r="A23" s="241" t="s">
        <v>78</v>
      </c>
      <c r="B23" s="1002"/>
      <c r="C23" s="1002"/>
      <c r="D23" s="225"/>
      <c r="E23" s="52"/>
    </row>
    <row r="24" spans="1:5">
      <c r="A24" s="241" t="s">
        <v>934</v>
      </c>
      <c r="B24" s="1002">
        <v>4.0517450287390303E-2</v>
      </c>
      <c r="C24" s="1002">
        <v>0.20447761472999923</v>
      </c>
      <c r="D24" s="225"/>
      <c r="E24" s="15"/>
    </row>
    <row r="25" spans="1:5" s="15" customFormat="1">
      <c r="A25" s="168"/>
      <c r="B25" s="29"/>
      <c r="C25" s="36"/>
      <c r="D25" s="225"/>
    </row>
    <row r="26" spans="1:5" s="15" customFormat="1">
      <c r="A26" s="227" t="s">
        <v>670</v>
      </c>
      <c r="B26" s="37">
        <f>aantalHuishoudens</f>
        <v>12358</v>
      </c>
      <c r="C26" s="36"/>
      <c r="D26" s="225"/>
    </row>
    <row r="27" spans="1:5" s="15" customFormat="1">
      <c r="A27" s="227" t="s">
        <v>671</v>
      </c>
      <c r="B27" s="37">
        <f>SUM(HH_hh_gas_aantal,HH_rest_gas_aantal)</f>
        <v>7361</v>
      </c>
      <c r="C27" s="36"/>
      <c r="D27" s="225"/>
    </row>
    <row r="28" spans="1:5" s="15" customFormat="1">
      <c r="A28" s="228"/>
      <c r="B28" s="29"/>
      <c r="C28" s="36"/>
      <c r="D28" s="229"/>
    </row>
    <row r="29" spans="1:5">
      <c r="A29" s="3"/>
      <c r="B29" s="43"/>
      <c r="C29" s="43"/>
      <c r="D29" s="171"/>
    </row>
    <row r="30" spans="1:5">
      <c r="A30" s="169" t="s">
        <v>474</v>
      </c>
      <c r="B30" s="166" t="s">
        <v>672</v>
      </c>
      <c r="C30" s="166" t="s">
        <v>673</v>
      </c>
      <c r="D30" s="171"/>
    </row>
    <row r="31" spans="1:5">
      <c r="A31" s="168" t="s">
        <v>936</v>
      </c>
      <c r="B31" s="33">
        <f>B27-0.05*B27</f>
        <v>6992.95</v>
      </c>
      <c r="C31" s="34" t="s">
        <v>104</v>
      </c>
      <c r="D31" s="171"/>
    </row>
    <row r="32" spans="1:5">
      <c r="A32" s="168" t="s">
        <v>72</v>
      </c>
      <c r="B32" s="33">
        <f>IF((B21*($B$26-($B$27-0.05*$B$27)-$B$60))&lt;0,0,B21*($B$26-($B$27-0.05*$B$27)-$B$60))</f>
        <v>37.915367625680503</v>
      </c>
      <c r="C32" s="34" t="s">
        <v>104</v>
      </c>
      <c r="D32" s="171"/>
    </row>
    <row r="33" spans="1:6">
      <c r="A33" s="168" t="s">
        <v>73</v>
      </c>
      <c r="B33" s="33">
        <f>IF((B22*($B$26-($B$27-0.05*$B$27)-$B$60))&lt;0,0,B22*($B$26-($B$27-0.05*$B$27)-$B$60))</f>
        <v>1086.6492775985851</v>
      </c>
      <c r="C33" s="34" t="s">
        <v>104</v>
      </c>
      <c r="D33" s="171"/>
    </row>
    <row r="34" spans="1:6">
      <c r="A34" s="168" t="s">
        <v>74</v>
      </c>
      <c r="B34" s="33">
        <f>IF((B24*($B$26-($B$27-0.05*$B$27)-$B$60))&lt;0,0,B24*($B$26-($B$27-0.05*$B$27)-$B$60))</f>
        <v>216.68935000947772</v>
      </c>
      <c r="C34" s="33">
        <f>B26*C24</f>
        <v>2526.9343628333304</v>
      </c>
      <c r="D34" s="230"/>
    </row>
    <row r="35" spans="1:6">
      <c r="A35" s="168" t="s">
        <v>76</v>
      </c>
      <c r="B35" s="33">
        <f>IF((B19*($B$26-($B$27-0.05*$B$27)-$B$60))&lt;0,0,B19*($B$26-($B$27-0.05*$B$27)-$B$60))</f>
        <v>112.84335602881104</v>
      </c>
      <c r="C35" s="33">
        <f>B35/2</f>
        <v>56.421678014405522</v>
      </c>
      <c r="D35" s="230"/>
    </row>
    <row r="36" spans="1:6">
      <c r="A36" s="168" t="s">
        <v>77</v>
      </c>
      <c r="B36" s="33">
        <f>IF((B18*($B$26-($B$27-0.05*$B$27)-$B$60))&lt;0,0,B18*($B$26-($B$27-0.05*$B$27)-$B$60))</f>
        <v>3893.952648737446</v>
      </c>
      <c r="C36" s="34" t="s">
        <v>104</v>
      </c>
      <c r="D36" s="171"/>
    </row>
    <row r="37" spans="1:6">
      <c r="A37" s="168" t="s">
        <v>78</v>
      </c>
      <c r="B37" s="33">
        <f>B60</f>
        <v>17</v>
      </c>
      <c r="C37" s="34" t="s">
        <v>104</v>
      </c>
      <c r="D37" s="171"/>
    </row>
    <row r="38" spans="1:6">
      <c r="A38" s="3"/>
      <c r="B38" s="43"/>
      <c r="C38" s="43"/>
      <c r="D38" s="171"/>
    </row>
    <row r="39" spans="1:6">
      <c r="A39" s="169" t="s">
        <v>477</v>
      </c>
      <c r="B39" s="165" t="s">
        <v>674</v>
      </c>
      <c r="C39" s="165" t="s">
        <v>675</v>
      </c>
      <c r="D39" s="294" t="s">
        <v>929</v>
      </c>
      <c r="E39" s="162"/>
      <c r="F39" s="162"/>
    </row>
    <row r="40" spans="1:6">
      <c r="A40" s="168" t="s">
        <v>70</v>
      </c>
      <c r="B40" s="163">
        <v>14.319221342029172</v>
      </c>
      <c r="C40" s="167" t="s">
        <v>104</v>
      </c>
      <c r="D40" s="170"/>
      <c r="E40" s="163"/>
      <c r="F40" s="163"/>
    </row>
    <row r="41" spans="1:6">
      <c r="A41" s="168" t="s">
        <v>72</v>
      </c>
      <c r="B41" s="163">
        <v>68.083579971064523</v>
      </c>
      <c r="C41" s="167" t="s">
        <v>104</v>
      </c>
      <c r="D41" s="170"/>
      <c r="E41" s="163"/>
      <c r="F41" s="163"/>
    </row>
    <row r="42" spans="1:6">
      <c r="A42" s="168" t="s">
        <v>73</v>
      </c>
      <c r="B42" s="163">
        <v>10.774375624792809</v>
      </c>
      <c r="C42" s="167" t="s">
        <v>104</v>
      </c>
      <c r="D42" s="170"/>
      <c r="E42" s="163"/>
      <c r="F42" s="163"/>
    </row>
    <row r="43" spans="1:6">
      <c r="A43" s="168" t="s">
        <v>74</v>
      </c>
      <c r="B43" s="167">
        <v>8.7257929173924591</v>
      </c>
      <c r="C43" s="167">
        <v>5.1802878061396767</v>
      </c>
      <c r="D43" s="170"/>
      <c r="E43" s="163"/>
      <c r="F43" s="163"/>
    </row>
    <row r="44" spans="1:6">
      <c r="A44" s="168" t="s">
        <v>76</v>
      </c>
      <c r="B44" s="163">
        <v>13.823848314822854</v>
      </c>
      <c r="C44" s="167">
        <v>7.5183352597490742</v>
      </c>
      <c r="D44" s="170"/>
      <c r="E44" s="163"/>
      <c r="F44" s="163"/>
    </row>
    <row r="45" spans="1:6">
      <c r="A45" s="168" t="s">
        <v>77</v>
      </c>
      <c r="B45" s="167">
        <v>22.628679263970941</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475</v>
      </c>
      <c r="B49" s="200"/>
      <c r="C49" s="200"/>
      <c r="D49" s="201"/>
    </row>
    <row r="50" spans="1:4" s="15" customFormat="1">
      <c r="A50" s="169"/>
      <c r="B50" s="32"/>
      <c r="C50" s="32"/>
      <c r="D50" s="202"/>
    </row>
    <row r="51" spans="1:4" s="15" customFormat="1">
      <c r="A51" s="203"/>
      <c r="B51" s="204"/>
      <c r="C51" s="205" t="s">
        <v>366</v>
      </c>
      <c r="D51" s="219" t="s">
        <v>175</v>
      </c>
    </row>
    <row r="52" spans="1:4">
      <c r="A52" s="168" t="s">
        <v>255</v>
      </c>
      <c r="B52" s="311">
        <f>aantalZB_NB_wonen+aantalZB_NB_wonen_met_kantoor+ZB_HH_bestaande_bouw</f>
        <v>177</v>
      </c>
      <c r="C52" s="43"/>
      <c r="D52" s="170"/>
    </row>
    <row r="53" spans="1:4">
      <c r="A53" s="168" t="s">
        <v>472</v>
      </c>
      <c r="B53" s="307">
        <v>4.2</v>
      </c>
      <c r="C53" s="43"/>
      <c r="D53" s="301" t="s">
        <v>502</v>
      </c>
    </row>
    <row r="54" spans="1:4">
      <c r="A54" s="241" t="s">
        <v>473</v>
      </c>
      <c r="B54" s="312">
        <f>1.34/3.6</f>
        <v>0.37222222222222223</v>
      </c>
      <c r="C54" s="43" t="s">
        <v>208</v>
      </c>
      <c r="D54" s="301" t="s">
        <v>502</v>
      </c>
    </row>
    <row r="55" spans="1:4">
      <c r="A55" s="172"/>
      <c r="B55" s="242"/>
      <c r="C55" s="175"/>
      <c r="D55" s="176"/>
    </row>
    <row r="56" spans="1:4">
      <c r="D56" s="164"/>
    </row>
    <row r="57" spans="1:4">
      <c r="A57" s="191" t="s">
        <v>476</v>
      </c>
      <c r="B57" s="200"/>
      <c r="C57" s="200"/>
      <c r="D57" s="201"/>
    </row>
    <row r="58" spans="1:4">
      <c r="A58" s="169"/>
      <c r="B58" s="32"/>
      <c r="C58" s="32"/>
      <c r="D58" s="206"/>
    </row>
    <row r="59" spans="1:4">
      <c r="A59" s="180"/>
      <c r="B59" s="179"/>
      <c r="C59" s="205" t="s">
        <v>366</v>
      </c>
      <c r="D59" s="220" t="s">
        <v>175</v>
      </c>
    </row>
    <row r="60" spans="1:4">
      <c r="A60" s="168" t="s">
        <v>255</v>
      </c>
      <c r="B60" s="311">
        <f>aantalWP_NB_wonen+aantalWP_NB_wonen_met_kantoor+WP_HH_bestaande_bouw</f>
        <v>17</v>
      </c>
      <c r="C60" s="32"/>
      <c r="D60" s="174"/>
    </row>
    <row r="61" spans="1:4">
      <c r="A61" s="168" t="s">
        <v>442</v>
      </c>
      <c r="B61" s="307">
        <v>13</v>
      </c>
      <c r="C61" s="32" t="s">
        <v>252</v>
      </c>
      <c r="D61" s="301" t="s">
        <v>502</v>
      </c>
    </row>
    <row r="62" spans="1:4">
      <c r="A62" s="168" t="s">
        <v>443</v>
      </c>
      <c r="B62" s="307">
        <v>2000</v>
      </c>
      <c r="C62" s="32" t="s">
        <v>254</v>
      </c>
      <c r="D62" s="301" t="s">
        <v>502</v>
      </c>
    </row>
    <row r="63" spans="1:4">
      <c r="A63" s="168" t="s">
        <v>404</v>
      </c>
      <c r="B63" s="307">
        <v>3.75</v>
      </c>
      <c r="C63" s="43"/>
      <c r="D63" s="301" t="s">
        <v>502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149</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39079.271999999997</v>
      </c>
      <c r="C5" s="17">
        <f>IF(ISERROR('Eigen informatie GS &amp; warmtenet'!B58),0,'Eigen informatie GS &amp; warmtenet'!B58)</f>
        <v>0</v>
      </c>
      <c r="D5" s="30">
        <f>SUM(D6:D12)</f>
        <v>41913.924030000002</v>
      </c>
      <c r="E5" s="17">
        <f>SUM(E6:E12)</f>
        <v>919.58701771230483</v>
      </c>
      <c r="F5" s="17">
        <f>SUM(F6:F12)</f>
        <v>8235.920957124792</v>
      </c>
      <c r="G5" s="18"/>
      <c r="H5" s="17"/>
      <c r="I5" s="17"/>
      <c r="J5" s="17">
        <f>SUM(J6:J12)</f>
        <v>0</v>
      </c>
      <c r="K5" s="17"/>
      <c r="L5" s="17"/>
      <c r="M5" s="17"/>
      <c r="N5" s="17">
        <f>SUM(N6:N12)</f>
        <v>1310.425263806728</v>
      </c>
      <c r="O5" s="17">
        <f>B38*B39*B40</f>
        <v>0</v>
      </c>
      <c r="P5" s="17">
        <f>B46*B47*B48/1000-B46*B47*B48/1000/B49</f>
        <v>0</v>
      </c>
      <c r="R5" s="32"/>
    </row>
    <row r="6" spans="1:18">
      <c r="A6" s="32" t="s">
        <v>53</v>
      </c>
      <c r="B6" s="37">
        <f>B26</f>
        <v>10748.994000000001</v>
      </c>
      <c r="C6" s="33"/>
      <c r="D6" s="37">
        <f>IF(ISERROR(TER_kantoor_gas_kWh/1000),0,TER_kantoor_gas_kWh/1000)*0.902</f>
        <v>12383.320774</v>
      </c>
      <c r="E6" s="33">
        <f>$C$26*'E Balans VL '!I12/100/3.6*1000000</f>
        <v>371.82931813521344</v>
      </c>
      <c r="F6" s="33">
        <f>$C$26*('E Balans VL '!L12+'E Balans VL '!N12)/100/3.6*1000000</f>
        <v>1640.9480718584107</v>
      </c>
      <c r="G6" s="34"/>
      <c r="H6" s="33"/>
      <c r="I6" s="33"/>
      <c r="J6" s="33">
        <f>$C$26*('E Balans VL '!D12+'E Balans VL '!E12)/100/3.6*1000000</f>
        <v>0</v>
      </c>
      <c r="K6" s="33"/>
      <c r="L6" s="33"/>
      <c r="M6" s="33"/>
      <c r="N6" s="33">
        <f>$C$26*'E Balans VL '!Y12/100/3.6*1000000</f>
        <v>165.70085222642783</v>
      </c>
      <c r="O6" s="33"/>
      <c r="P6" s="33"/>
      <c r="R6" s="32"/>
    </row>
    <row r="7" spans="1:18">
      <c r="A7" s="32" t="s">
        <v>52</v>
      </c>
      <c r="B7" s="37">
        <f t="shared" ref="B7:B12" si="0">B27</f>
        <v>8321.41</v>
      </c>
      <c r="C7" s="33"/>
      <c r="D7" s="37">
        <f>IF(ISERROR(TER_horeca_gas_kWh/1000),0,TER_horeca_gas_kWh/1000)*0.902</f>
        <v>8374.6622960000004</v>
      </c>
      <c r="E7" s="33">
        <f>$C$27*'E Balans VL '!I9/100/3.6*1000000</f>
        <v>456.03971038760733</v>
      </c>
      <c r="F7" s="33">
        <f>$C$27*('E Balans VL '!L9+'E Balans VL '!N9)/100/3.6*1000000</f>
        <v>1408.2609219114577</v>
      </c>
      <c r="G7" s="34"/>
      <c r="H7" s="33"/>
      <c r="I7" s="33"/>
      <c r="J7" s="33">
        <f>$C$27*('E Balans VL '!D9+'E Balans VL '!E9)/100/3.6*1000000</f>
        <v>0</v>
      </c>
      <c r="K7" s="33"/>
      <c r="L7" s="33"/>
      <c r="M7" s="33"/>
      <c r="N7" s="33">
        <f>$C$27*'E Balans VL '!Y9/100/3.6*1000000</f>
        <v>0</v>
      </c>
      <c r="O7" s="33"/>
      <c r="P7" s="33"/>
      <c r="R7" s="32"/>
    </row>
    <row r="8" spans="1:18">
      <c r="A8" s="6" t="s">
        <v>51</v>
      </c>
      <c r="B8" s="37">
        <f t="shared" si="0"/>
        <v>11188.816000000001</v>
      </c>
      <c r="C8" s="33"/>
      <c r="D8" s="37">
        <f>IF(ISERROR(TER_handel_gas_kWh/1000),0,TER_handel_gas_kWh/1000)*0.902</f>
        <v>7907.1214199999995</v>
      </c>
      <c r="E8" s="33">
        <f>$C$28*'E Balans VL '!I13/100/3.6*1000000</f>
        <v>56.606130628113689</v>
      </c>
      <c r="F8" s="33">
        <f>$C$28*('E Balans VL '!L13+'E Balans VL '!N13)/100/3.6*1000000</f>
        <v>1700.0530809925529</v>
      </c>
      <c r="G8" s="34"/>
      <c r="H8" s="33"/>
      <c r="I8" s="33"/>
      <c r="J8" s="33">
        <f>$C$28*('E Balans VL '!D13+'E Balans VL '!E13)/100/3.6*1000000</f>
        <v>0</v>
      </c>
      <c r="K8" s="33"/>
      <c r="L8" s="33"/>
      <c r="M8" s="33"/>
      <c r="N8" s="33">
        <f>$C$28*'E Balans VL '!Y13/100/3.6*1000000</f>
        <v>5.232189878173342</v>
      </c>
      <c r="O8" s="33"/>
      <c r="P8" s="33"/>
      <c r="R8" s="32"/>
    </row>
    <row r="9" spans="1:18">
      <c r="A9" s="32" t="s">
        <v>50</v>
      </c>
      <c r="B9" s="37">
        <f t="shared" si="0"/>
        <v>2085.194</v>
      </c>
      <c r="C9" s="33"/>
      <c r="D9" s="37">
        <f>IF(ISERROR(TER_gezond_gas_kWh/1000),0,TER_gezond_gas_kWh/1000)*0.902</f>
        <v>4945.1581740000001</v>
      </c>
      <c r="E9" s="33">
        <f>$C$29*'E Balans VL '!I10/100/3.6*1000000</f>
        <v>0.7582717468008543</v>
      </c>
      <c r="F9" s="33">
        <f>$C$29*('E Balans VL '!L10+'E Balans VL '!N10)/100/3.6*1000000</f>
        <v>450.55407696184437</v>
      </c>
      <c r="G9" s="34"/>
      <c r="H9" s="33"/>
      <c r="I9" s="33"/>
      <c r="J9" s="33">
        <f>$C$29*('E Balans VL '!D10+'E Balans VL '!E10)/100/3.6*1000000</f>
        <v>0</v>
      </c>
      <c r="K9" s="33"/>
      <c r="L9" s="33"/>
      <c r="M9" s="33"/>
      <c r="N9" s="33">
        <f>$C$29*'E Balans VL '!Y10/100/3.6*1000000</f>
        <v>15.810512203229068</v>
      </c>
      <c r="O9" s="33"/>
      <c r="P9" s="33"/>
      <c r="R9" s="32"/>
    </row>
    <row r="10" spans="1:18">
      <c r="A10" s="32" t="s">
        <v>49</v>
      </c>
      <c r="B10" s="37">
        <f t="shared" si="0"/>
        <v>5363.6049999999996</v>
      </c>
      <c r="C10" s="33"/>
      <c r="D10" s="37">
        <f>IF(ISERROR(TER_ander_gas_kWh/1000),0,TER_ander_gas_kWh/1000)*0.902</f>
        <v>2694.6916260000003</v>
      </c>
      <c r="E10" s="33">
        <f>$C$30*'E Balans VL '!I14/100/3.6*1000000</f>
        <v>32.65174311852607</v>
      </c>
      <c r="F10" s="33">
        <f>$C$30*('E Balans VL '!L14+'E Balans VL '!N14)/100/3.6*1000000</f>
        <v>1420.0113506800735</v>
      </c>
      <c r="G10" s="34"/>
      <c r="H10" s="33"/>
      <c r="I10" s="33"/>
      <c r="J10" s="33">
        <f>$C$30*('E Balans VL '!D14+'E Balans VL '!E14)/100/3.6*1000000</f>
        <v>0</v>
      </c>
      <c r="K10" s="33"/>
      <c r="L10" s="33"/>
      <c r="M10" s="33"/>
      <c r="N10" s="33">
        <f>$C$30*'E Balans VL '!Y14/100/3.6*1000000</f>
        <v>1117.0998231694618</v>
      </c>
      <c r="O10" s="33"/>
      <c r="P10" s="33"/>
      <c r="R10" s="32"/>
    </row>
    <row r="11" spans="1:18">
      <c r="A11" s="32" t="s">
        <v>54</v>
      </c>
      <c r="B11" s="37">
        <f t="shared" si="0"/>
        <v>1371.2529999999999</v>
      </c>
      <c r="C11" s="33"/>
      <c r="D11" s="37">
        <f>IF(ISERROR(TER_onderwijs_gas_kWh/1000),0,TER_onderwijs_gas_kWh/1000)*0.902</f>
        <v>5608.9697400000005</v>
      </c>
      <c r="E11" s="33">
        <f>$C$31*'E Balans VL '!I11/100/3.6*1000000</f>
        <v>1.7018436960434988</v>
      </c>
      <c r="F11" s="33">
        <f>$C$31*('E Balans VL '!L11+'E Balans VL '!N11)/100/3.6*1000000</f>
        <v>1616.0934547204517</v>
      </c>
      <c r="G11" s="34"/>
      <c r="H11" s="33"/>
      <c r="I11" s="33"/>
      <c r="J11" s="33">
        <f>$C$31*('E Balans VL '!D11+'E Balans VL '!E11)/100/3.6*1000000</f>
        <v>0</v>
      </c>
      <c r="K11" s="33"/>
      <c r="L11" s="33"/>
      <c r="M11" s="33"/>
      <c r="N11" s="33">
        <f>$C$31*'E Balans VL '!Y11/100/3.6*1000000</f>
        <v>6.5818863294360348</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ca="1">B5+B13+B14</f>
        <v>39079.271999999997</v>
      </c>
      <c r="C16" s="21">
        <f ca="1">C5+C13+C14</f>
        <v>0</v>
      </c>
      <c r="D16" s="21">
        <f t="shared" ref="D16:N16" ca="1" si="1">MAX((D5+D13+D14),0)</f>
        <v>41913.924030000002</v>
      </c>
      <c r="E16" s="21">
        <f t="shared" si="1"/>
        <v>919.58701771230483</v>
      </c>
      <c r="F16" s="21">
        <f t="shared" ca="1" si="1"/>
        <v>8235.920957124792</v>
      </c>
      <c r="G16" s="21">
        <f t="shared" si="1"/>
        <v>0</v>
      </c>
      <c r="H16" s="21">
        <f t="shared" si="1"/>
        <v>0</v>
      </c>
      <c r="I16" s="21">
        <f t="shared" si="1"/>
        <v>0</v>
      </c>
      <c r="J16" s="21">
        <f t="shared" si="1"/>
        <v>0</v>
      </c>
      <c r="K16" s="21">
        <f t="shared" si="1"/>
        <v>0</v>
      </c>
      <c r="L16" s="21">
        <f t="shared" ca="1" si="1"/>
        <v>0</v>
      </c>
      <c r="M16" s="21">
        <f t="shared" si="1"/>
        <v>0</v>
      </c>
      <c r="N16" s="21">
        <f t="shared" ca="1" si="1"/>
        <v>1310.425263806728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0.20637942547445917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8065.1577033201183</v>
      </c>
      <c r="C20" s="23">
        <f t="shared" ref="C20:P20" ca="1" si="2">C16*C18</f>
        <v>0</v>
      </c>
      <c r="D20" s="23">
        <f t="shared" ca="1" si="2"/>
        <v>8466.6126540600017</v>
      </c>
      <c r="E20" s="23">
        <f t="shared" si="2"/>
        <v>208.74625302069319</v>
      </c>
      <c r="F20" s="23">
        <f t="shared" ca="1" si="2"/>
        <v>2198.9908955523197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482</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10748.994000000001</v>
      </c>
      <c r="C26" s="39">
        <f>IF(ISERROR(B26*3.6/1000000/'E Balans VL '!Z12*100),0,B26*3.6/1000000/'E Balans VL '!Z12*100)</f>
        <v>0.22353291559406496</v>
      </c>
      <c r="D26" s="233" t="s">
        <v>676</v>
      </c>
      <c r="F26" s="6"/>
    </row>
    <row r="27" spans="1:18">
      <c r="A27" s="228" t="s">
        <v>52</v>
      </c>
      <c r="B27" s="33">
        <f>IF(ISERROR(TER_horeca_ele_kWh/1000),0,TER_horeca_ele_kWh/1000)</f>
        <v>8321.41</v>
      </c>
      <c r="C27" s="39">
        <f>IF(ISERROR(B27*3.6/1000000/'E Balans VL '!Z9*100),0,B27*3.6/1000000/'E Balans VL '!Z9*100)</f>
        <v>0.68444187778775756</v>
      </c>
      <c r="D27" s="233" t="s">
        <v>676</v>
      </c>
      <c r="F27" s="6"/>
    </row>
    <row r="28" spans="1:18">
      <c r="A28" s="168" t="s">
        <v>51</v>
      </c>
      <c r="B28" s="33">
        <f>IF(ISERROR(TER_handel_ele_kWh/1000),0,TER_handel_ele_kWh/1000)</f>
        <v>11188.816000000001</v>
      </c>
      <c r="C28" s="39">
        <f>IF(ISERROR(B28*3.6/1000000/'E Balans VL '!Z13*100),0,B28*3.6/1000000/'E Balans VL '!Z13*100)</f>
        <v>0.30970423952512216</v>
      </c>
      <c r="D28" s="233" t="s">
        <v>676</v>
      </c>
      <c r="F28" s="6"/>
    </row>
    <row r="29" spans="1:18">
      <c r="A29" s="228" t="s">
        <v>50</v>
      </c>
      <c r="B29" s="33">
        <f>IF(ISERROR(TER_gezond_ele_kWh/1000),0,TER_gezond_ele_kWh/1000)</f>
        <v>2085.194</v>
      </c>
      <c r="C29" s="39">
        <f>IF(ISERROR(B29*3.6/1000000/'E Balans VL '!Z10*100),0,B29*3.6/1000000/'E Balans VL '!Z10*100)</f>
        <v>0.23780124058247035</v>
      </c>
      <c r="D29" s="233" t="s">
        <v>676</v>
      </c>
      <c r="F29" s="6"/>
    </row>
    <row r="30" spans="1:18">
      <c r="A30" s="228" t="s">
        <v>49</v>
      </c>
      <c r="B30" s="33">
        <f>IF(ISERROR(TER_ander_ele_kWh/1000),0,TER_ander_ele_kWh/1000)</f>
        <v>5363.6049999999996</v>
      </c>
      <c r="C30" s="39">
        <f>IF(ISERROR(B30*3.6/1000000/'E Balans VL '!Z14*100),0,B30*3.6/1000000/'E Balans VL '!Z14*100)</f>
        <v>0.41515757591599045</v>
      </c>
      <c r="D30" s="233" t="s">
        <v>676</v>
      </c>
      <c r="F30" s="6"/>
    </row>
    <row r="31" spans="1:18">
      <c r="A31" s="228" t="s">
        <v>54</v>
      </c>
      <c r="B31" s="33">
        <f>IF(ISERROR(TER_onderwijs_ele_kWh/1000),0,TER_onderwijs_ele_kWh/1000)</f>
        <v>1371.2529999999999</v>
      </c>
      <c r="C31" s="39">
        <f>IF(ISERROR(B31*3.6/1000000/'E Balans VL '!Z11*100),0,B31*3.6/1000000/'E Balans VL '!Z11*100)</f>
        <v>0.42725649655540632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475</v>
      </c>
      <c r="B35" s="200"/>
      <c r="C35" s="200"/>
      <c r="D35" s="222"/>
    </row>
    <row r="36" spans="1:4">
      <c r="A36" s="232"/>
      <c r="B36" s="32"/>
      <c r="C36" s="32"/>
      <c r="D36" s="229"/>
    </row>
    <row r="37" spans="1:4">
      <c r="A37" s="238"/>
      <c r="B37" s="239"/>
      <c r="C37" s="221" t="s">
        <v>366</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472</v>
      </c>
      <c r="B39" s="307">
        <v>4.2</v>
      </c>
      <c r="C39" s="43"/>
      <c r="D39" s="301" t="s">
        <v>502</v>
      </c>
    </row>
    <row r="40" spans="1:4">
      <c r="A40" s="6" t="s">
        <v>473</v>
      </c>
      <c r="B40" s="312">
        <f>1.34/3.6</f>
        <v>0.37222222222222223</v>
      </c>
      <c r="C40" s="43" t="s">
        <v>208</v>
      </c>
      <c r="D40" s="301" t="s">
        <v>502</v>
      </c>
    </row>
    <row r="41" spans="1:4">
      <c r="A41" s="236"/>
      <c r="B41" s="177"/>
      <c r="C41" s="177"/>
      <c r="D41" s="237"/>
    </row>
    <row r="43" spans="1:4">
      <c r="A43" s="191" t="s">
        <v>476</v>
      </c>
      <c r="B43" s="200"/>
      <c r="C43" s="200"/>
      <c r="D43" s="222"/>
    </row>
    <row r="44" spans="1:4">
      <c r="A44" s="227"/>
      <c r="B44" s="32"/>
      <c r="C44" s="32"/>
      <c r="D44" s="229"/>
    </row>
    <row r="45" spans="1:4">
      <c r="A45" s="238"/>
      <c r="B45" s="239"/>
      <c r="C45" s="221" t="s">
        <v>366</v>
      </c>
      <c r="D45" s="240" t="s">
        <v>175</v>
      </c>
    </row>
    <row r="46" spans="1:4">
      <c r="A46" s="168" t="s">
        <v>255</v>
      </c>
      <c r="B46" s="528">
        <f>aantalWP_NB_ander+antalWP_NB_ander_met_kantoor+aantalWP_NB_kantoor+aantalWP_NB_school+WP_NHH_bestaande_bouw+aantalWP_NB_NIET_RESIDENTIEEL_EPN</f>
        <v>0</v>
      </c>
      <c r="C46" s="32"/>
      <c r="D46" s="229"/>
    </row>
    <row r="47" spans="1:4">
      <c r="A47" s="168" t="s">
        <v>442</v>
      </c>
      <c r="B47" s="529">
        <v>13</v>
      </c>
      <c r="C47" s="32" t="s">
        <v>252</v>
      </c>
      <c r="D47" s="301" t="s">
        <v>502</v>
      </c>
    </row>
    <row r="48" spans="1:4">
      <c r="A48" s="168" t="s">
        <v>443</v>
      </c>
      <c r="B48" s="529">
        <v>2000</v>
      </c>
      <c r="C48" s="32" t="s">
        <v>254</v>
      </c>
      <c r="D48" s="301" t="s">
        <v>502</v>
      </c>
    </row>
    <row r="49" spans="1:4">
      <c r="A49" s="168" t="s">
        <v>404</v>
      </c>
      <c r="B49" s="529">
        <v>3.75</v>
      </c>
      <c r="C49" s="32"/>
      <c r="D49" s="301" t="s">
        <v>502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topLeftCell="D1" zoomScale="80" zoomScaleNormal="80" workbookViewId="0">
      <selection activeCell="K5" sqref="K5"/>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156</v>
      </c>
      <c r="B1" s="1140" t="s">
        <v>188</v>
      </c>
      <c r="C1" s="1141"/>
      <c r="D1" s="1141"/>
      <c r="E1" s="1141"/>
      <c r="F1" s="1141"/>
      <c r="G1" s="1141"/>
      <c r="H1" s="1141"/>
      <c r="I1" s="1141"/>
      <c r="J1" s="1141"/>
      <c r="K1" s="1141"/>
      <c r="L1" s="1141"/>
      <c r="M1" s="1141"/>
      <c r="N1" s="1141"/>
      <c r="O1" s="1141"/>
      <c r="P1" s="1141"/>
      <c r="R1" s="709"/>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c r="R2" s="709"/>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09"/>
    </row>
    <row r="4" spans="1:18" ht="15.75">
      <c r="A4" s="13"/>
      <c r="B4" s="14"/>
      <c r="C4" s="14"/>
      <c r="D4" s="14"/>
      <c r="E4" s="14"/>
      <c r="F4" s="14"/>
      <c r="G4" s="14"/>
      <c r="H4" s="14"/>
      <c r="I4" s="14"/>
      <c r="J4" s="14"/>
      <c r="K4" s="14"/>
      <c r="L4" s="14"/>
      <c r="M4" s="14"/>
      <c r="N4" s="14"/>
      <c r="O4" s="14"/>
      <c r="P4" s="14"/>
      <c r="R4" s="6"/>
    </row>
    <row r="5" spans="1:18">
      <c r="A5" s="16" t="s">
        <v>258</v>
      </c>
      <c r="B5" s="30">
        <f>SUM(B6:B15)</f>
        <v>70383.042000000001</v>
      </c>
      <c r="C5" s="17">
        <f>IF(ISERROR('Eigen informatie GS &amp; warmtenet'!B59),0,'Eigen informatie GS &amp; warmtenet'!B59)</f>
        <v>0</v>
      </c>
      <c r="D5" s="30">
        <f>SUM(D6:D15)</f>
        <v>128844.030612</v>
      </c>
      <c r="E5" s="17">
        <f>SUM(E6:E15)</f>
        <v>807.27773797258669</v>
      </c>
      <c r="F5" s="17">
        <f>SUM(F6:F15)</f>
        <v>20859.496496055057</v>
      </c>
      <c r="G5" s="18"/>
      <c r="H5" s="17"/>
      <c r="I5" s="17"/>
      <c r="J5" s="17">
        <f>SUM(J6:J15)</f>
        <v>646.1099726919349</v>
      </c>
      <c r="K5" s="17"/>
      <c r="L5" s="17"/>
      <c r="M5" s="17"/>
      <c r="N5" s="17">
        <f>SUM(N6:N15)</f>
        <v>1623.8575029886645</v>
      </c>
      <c r="O5" s="17">
        <f>B43*B44*B45</f>
        <v>0</v>
      </c>
      <c r="P5" s="17">
        <f>B51*B52*B53/1000-B51*B52*B53/1000/B54</f>
        <v>0</v>
      </c>
      <c r="R5" s="32"/>
    </row>
    <row r="6" spans="1:18">
      <c r="A6" s="6" t="s">
        <v>34</v>
      </c>
      <c r="B6" s="37">
        <f>IF( ISERROR(IND_ijzer_ele_kWh/1000),0,IND_ijzer_ele_kWh/1000)</f>
        <v>8529.6910000000007</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31122.563999999998</v>
      </c>
      <c r="C8" s="33"/>
      <c r="D8" s="37">
        <f>IF( ISERROR(IND_metaal_Gas_kWH/1000),0,IND_metaal_Gas_kWH/1000)*0.902</f>
        <v>54842.824916000005</v>
      </c>
      <c r="E8" s="33">
        <f>C30*'E Balans VL '!I18/100/3.6*1000000</f>
        <v>218.69139034573695</v>
      </c>
      <c r="F8" s="33">
        <f>C30*'E Balans VL '!L18/100/3.6*1000000+C30*'E Balans VL '!N18/100/3.6*1000000</f>
        <v>3417.075442278247</v>
      </c>
      <c r="G8" s="34"/>
      <c r="H8" s="33"/>
      <c r="I8" s="33"/>
      <c r="J8" s="40">
        <f>C30*'E Balans VL '!D18/100/3.6*1000000+C30*'E Balans VL '!E18/100/3.6*1000000</f>
        <v>642.12557663838186</v>
      </c>
      <c r="K8" s="33"/>
      <c r="L8" s="33"/>
      <c r="M8" s="33"/>
      <c r="N8" s="33">
        <f>C30*'E Balans VL '!Y18/100/3.6*1000000</f>
        <v>116.64961131665507</v>
      </c>
      <c r="O8" s="33"/>
      <c r="P8" s="33"/>
      <c r="R8" s="32"/>
    </row>
    <row r="9" spans="1:18">
      <c r="A9" s="6" t="s">
        <v>32</v>
      </c>
      <c r="B9" s="37">
        <f t="shared" si="0"/>
        <v>20048.144</v>
      </c>
      <c r="C9" s="33"/>
      <c r="D9" s="37">
        <f>IF( ISERROR(IND_andere_gas_kWh/1000),0,IND_andere_gas_kWh/1000)*0.902</f>
        <v>12496.624602000002</v>
      </c>
      <c r="E9" s="33">
        <f>C31*'E Balans VL '!I19/100/3.6*1000000</f>
        <v>336.73313824054958</v>
      </c>
      <c r="F9" s="33">
        <f>C31*'E Balans VL '!L19/100/3.6*1000000+C31*'E Balans VL '!N19/100/3.6*1000000</f>
        <v>15672.497122177458</v>
      </c>
      <c r="G9" s="34"/>
      <c r="H9" s="33"/>
      <c r="I9" s="33"/>
      <c r="J9" s="40">
        <f>C31*'E Balans VL '!D19/100/3.6*1000000+C31*'E Balans VL '!E19/100/3.6*1000000</f>
        <v>1.8081656161161064</v>
      </c>
      <c r="K9" s="33"/>
      <c r="L9" s="33"/>
      <c r="M9" s="33"/>
      <c r="N9" s="33">
        <f>C31*'E Balans VL '!Y19/100/3.6*1000000</f>
        <v>1485.8891145538073</v>
      </c>
      <c r="O9" s="33"/>
      <c r="P9" s="33"/>
      <c r="R9" s="32"/>
    </row>
    <row r="10" spans="1:18">
      <c r="A10" s="6" t="s">
        <v>40</v>
      </c>
      <c r="B10" s="37">
        <f t="shared" si="0"/>
        <v>461.589</v>
      </c>
      <c r="C10" s="33"/>
      <c r="D10" s="37">
        <f>IF( ISERROR(IND_voed_gas_kWh/1000),0,IND_voed_gas_kWh/1000)*0.902</f>
        <v>589.78081800000007</v>
      </c>
      <c r="E10" s="33">
        <f>C32*'E Balans VL '!I20/100/3.6*1000000</f>
        <v>4.2113462227002714</v>
      </c>
      <c r="F10" s="33">
        <f>C32*'E Balans VL '!L20/100/3.6*1000000+C32*'E Balans VL '!N20/100/3.6*1000000</f>
        <v>74.468743358998779</v>
      </c>
      <c r="G10" s="34"/>
      <c r="H10" s="33"/>
      <c r="I10" s="33"/>
      <c r="J10" s="40">
        <f>C32*'E Balans VL '!D20/100/3.6*1000000+C32*'E Balans VL '!E20/100/3.6*1000000</f>
        <v>1.9011261343973458</v>
      </c>
      <c r="K10" s="33"/>
      <c r="L10" s="33"/>
      <c r="M10" s="33"/>
      <c r="N10" s="33">
        <f>C32*'E Balans VL '!Y20/100/3.6*1000000</f>
        <v>6.7526830968582043</v>
      </c>
      <c r="O10" s="33"/>
      <c r="P10" s="33"/>
      <c r="R10" s="32"/>
    </row>
    <row r="11" spans="1:18">
      <c r="A11" s="6" t="s">
        <v>39</v>
      </c>
      <c r="B11" s="37">
        <f t="shared" si="0"/>
        <v>1374.42</v>
      </c>
      <c r="C11" s="33"/>
      <c r="D11" s="37">
        <f>IF( ISERROR(IND_textiel_gas_kWh/1000),0,IND_textiel_gas_kWh/1000)*0.902</f>
        <v>3324.0305560000002</v>
      </c>
      <c r="E11" s="33">
        <f>C33*'E Balans VL '!I21/100/3.6*1000000</f>
        <v>3.1347970759901909</v>
      </c>
      <c r="F11" s="33">
        <f>C33*'E Balans VL '!L21/100/3.6*1000000+C33*'E Balans VL '!N21/100/3.6*1000000</f>
        <v>29.379502268806995</v>
      </c>
      <c r="G11" s="34"/>
      <c r="H11" s="33"/>
      <c r="I11" s="33"/>
      <c r="J11" s="40">
        <f>C33*'E Balans VL '!D21/100/3.6*1000000+C33*'E Balans VL '!E21/100/3.6*1000000</f>
        <v>0</v>
      </c>
      <c r="K11" s="33"/>
      <c r="L11" s="33"/>
      <c r="M11" s="33"/>
      <c r="N11" s="33">
        <f>C33*'E Balans VL '!Y21/100/3.6*1000000</f>
        <v>9.7499500576220193</v>
      </c>
      <c r="O11" s="33"/>
      <c r="P11" s="33"/>
      <c r="R11" s="32"/>
    </row>
    <row r="12" spans="1:18">
      <c r="A12" s="6" t="s">
        <v>36</v>
      </c>
      <c r="B12" s="37">
        <f t="shared" si="0"/>
        <v>37.883000000000003</v>
      </c>
      <c r="C12" s="33"/>
      <c r="D12" s="37">
        <f>IF( ISERROR(IND_min_gas_kWh/1000),0,IND_min_gas_kWh/1000)*0.902</f>
        <v>77.529606000000001</v>
      </c>
      <c r="E12" s="33">
        <f>C34*'E Balans VL '!I22/100/3.6*1000000</f>
        <v>0.93962155946335402</v>
      </c>
      <c r="F12" s="33">
        <f>C34*'E Balans VL '!L22/100/3.6*1000000+C34*'E Balans VL '!N22/100/3.6*1000000</f>
        <v>4.0254314795833297</v>
      </c>
      <c r="G12" s="34"/>
      <c r="H12" s="33"/>
      <c r="I12" s="33"/>
      <c r="J12" s="40">
        <f>C34*'E Balans VL '!D22/100/3.6*1000000+C34*'E Balans VL '!E22/100/3.6*1000000</f>
        <v>0.21519766831250389</v>
      </c>
      <c r="K12" s="33"/>
      <c r="L12" s="33"/>
      <c r="M12" s="33"/>
      <c r="N12" s="33">
        <f>C34*'E Balans VL '!Y22/100/3.6*1000000</f>
        <v>0</v>
      </c>
      <c r="O12" s="33"/>
      <c r="P12" s="33"/>
      <c r="R12" s="32"/>
    </row>
    <row r="13" spans="1:18">
      <c r="A13" s="6" t="s">
        <v>38</v>
      </c>
      <c r="B13" s="37">
        <f t="shared" si="0"/>
        <v>7804.0659999999998</v>
      </c>
      <c r="C13" s="33"/>
      <c r="D13" s="37">
        <f>IF( ISERROR(IND_papier_gas_kWh/1000),0,IND_papier_gas_kWh/1000)*0.902</f>
        <v>2629.189288</v>
      </c>
      <c r="E13" s="33">
        <f>C35*'E Balans VL '!I23/100/3.6*1000000</f>
        <v>240.11074402165806</v>
      </c>
      <c r="F13" s="33">
        <f>C35*'E Balans VL '!L23/100/3.6*1000000+C35*'E Balans VL '!N23/100/3.6*1000000</f>
        <v>1657.0759477928063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995.78800000000001</v>
      </c>
      <c r="C14" s="33"/>
      <c r="D14" s="37">
        <f>IF( ISERROR(IND_chemie_gas_kWh/1000),0,IND_chemie_gas_kWh/1000)*0.902</f>
        <v>0</v>
      </c>
      <c r="E14" s="33">
        <f>C36*'E Balans VL '!I24/100/3.6*1000000</f>
        <v>3.3764071856095277</v>
      </c>
      <c r="F14" s="33">
        <f>C36*'E Balans VL '!L24/100/3.6*1000000+C36*'E Balans VL '!N24/100/3.6*1000000</f>
        <v>3.1957249575801265</v>
      </c>
      <c r="G14" s="34"/>
      <c r="H14" s="33"/>
      <c r="I14" s="33"/>
      <c r="J14" s="40">
        <f>C36*'E Balans VL '!D24/100/3.6*1000000+C36*'E Balans VL '!E24/100/3.6*1000000</f>
        <v>0</v>
      </c>
      <c r="K14" s="33"/>
      <c r="L14" s="33"/>
      <c r="M14" s="33"/>
      <c r="N14" s="33">
        <f>C36*'E Balans VL '!Y24/100/3.6*1000000</f>
        <v>4.6560348246504013</v>
      </c>
      <c r="O14" s="33"/>
      <c r="P14" s="33"/>
      <c r="R14" s="32"/>
    </row>
    <row r="15" spans="1:18">
      <c r="A15" s="6" t="s">
        <v>259</v>
      </c>
      <c r="B15" s="37">
        <f t="shared" si="0"/>
        <v>8.8970000000000002</v>
      </c>
      <c r="C15" s="33"/>
      <c r="D15" s="37">
        <f>IF( ISERROR(IND_rest_gas_kWh/1000),0,IND_rest_gas_kWh/1000)*0.902</f>
        <v>54884.050826000006</v>
      </c>
      <c r="E15" s="33">
        <f>C37*'E Balans VL '!I15/100/3.6*1000000</f>
        <v>8.0293320878745689E-2</v>
      </c>
      <c r="F15" s="33">
        <f>C37*'E Balans VL '!L15/100/3.6*1000000+C37*'E Balans VL '!N15/100/3.6*1000000</f>
        <v>1.7785817415784058</v>
      </c>
      <c r="G15" s="34"/>
      <c r="H15" s="33"/>
      <c r="I15" s="33"/>
      <c r="J15" s="40">
        <f>C37*'E Balans VL '!D15/100/3.6*1000000+C37*'E Balans VL '!E15/100/3.6*1000000</f>
        <v>5.9906634727107611E-2</v>
      </c>
      <c r="K15" s="33"/>
      <c r="L15" s="33"/>
      <c r="M15" s="33"/>
      <c r="N15" s="33">
        <f>C37*'E Balans VL '!Y15/100/3.6*1000000</f>
        <v>0.16010913907173829</v>
      </c>
      <c r="O15" s="33"/>
      <c r="P15" s="33"/>
      <c r="R15" s="32"/>
    </row>
    <row r="16" spans="1:18">
      <c r="A16" s="16" t="s">
        <v>483</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70383.042000000001</v>
      </c>
      <c r="C18" s="21">
        <f>C5+C16</f>
        <v>0</v>
      </c>
      <c r="D18" s="21">
        <f>MAX((D5+D16),0)</f>
        <v>128844.030612</v>
      </c>
      <c r="E18" s="21">
        <f>MAX((E5+E16),0)</f>
        <v>807.27773797258669</v>
      </c>
      <c r="F18" s="21">
        <f>MAX((F5+F16),0)</f>
        <v>20859.496496055057</v>
      </c>
      <c r="G18" s="21"/>
      <c r="H18" s="21"/>
      <c r="I18" s="21"/>
      <c r="J18" s="21">
        <f>MAX((J5+J16),0)</f>
        <v>646.1099726919349</v>
      </c>
      <c r="K18" s="21"/>
      <c r="L18" s="21">
        <f>MAX((L5+L16),0)</f>
        <v>0</v>
      </c>
      <c r="M18" s="21"/>
      <c r="N18" s="21">
        <f>MAX((N5+N16),0)</f>
        <v>1623.8575029886645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0.20637942547445917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14525.61177110473</v>
      </c>
      <c r="C22" s="23">
        <f ca="1">C18*C20</f>
        <v>0</v>
      </c>
      <c r="D22" s="23">
        <f>D18*D20</f>
        <v>26026.494183624003</v>
      </c>
      <c r="E22" s="23">
        <f>E18*E20</f>
        <v>183.2520465197772</v>
      </c>
      <c r="F22" s="23">
        <f>F18*F20</f>
        <v>5569.4855644467007</v>
      </c>
      <c r="G22" s="23"/>
      <c r="H22" s="23"/>
      <c r="I22" s="23"/>
      <c r="J22" s="23">
        <f>J18*J20</f>
        <v>228.72293033294494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482</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31122.563999999998</v>
      </c>
      <c r="C30" s="39">
        <f>IF(ISERROR(B30*3.6/1000000/'E Balans VL '!Z18*100),0,B30*3.6/1000000/'E Balans VL '!Z18*100)</f>
        <v>2.0718480905101662</v>
      </c>
      <c r="D30" s="233" t="s">
        <v>676</v>
      </c>
    </row>
    <row r="31" spans="1:18">
      <c r="A31" s="6" t="s">
        <v>32</v>
      </c>
      <c r="B31" s="37">
        <f>IF( ISERROR(IND_ander_ele_kWh/1000),0,IND_ander_ele_kWh/1000)</f>
        <v>20048.144</v>
      </c>
      <c r="C31" s="39">
        <f>IF(ISERROR(B31*3.6/1000000/'E Balans VL '!Z19*100),0,B31*3.6/1000000/'E Balans VL '!Z19*100)</f>
        <v>0.888654773790851</v>
      </c>
      <c r="D31" s="233" t="s">
        <v>676</v>
      </c>
    </row>
    <row r="32" spans="1:18">
      <c r="A32" s="168" t="s">
        <v>40</v>
      </c>
      <c r="B32" s="37">
        <f>IF( ISERROR(IND_voed_ele_kWh/1000),0,IND_voed_ele_kWh/1000)</f>
        <v>461.589</v>
      </c>
      <c r="C32" s="39">
        <f>IF(ISERROR(B32*3.6/1000000/'E Balans VL '!Z20*100),0,B32*3.6/1000000/'E Balans VL '!Z20*100)</f>
        <v>1.5418396727465413E-2</v>
      </c>
      <c r="D32" s="233" t="s">
        <v>676</v>
      </c>
    </row>
    <row r="33" spans="1:5">
      <c r="A33" s="168" t="s">
        <v>39</v>
      </c>
      <c r="B33" s="37">
        <f>IF( ISERROR(IND_textiel_ele_kWh/1000),0,IND_textiel_ele_kWh/1000)</f>
        <v>1374.42</v>
      </c>
      <c r="C33" s="39">
        <f>IF(ISERROR(B33*3.6/1000000/'E Balans VL '!Z21*100),0,B33*3.6/1000000/'E Balans VL '!Z21*100)</f>
        <v>0.18094556246746712</v>
      </c>
      <c r="D33" s="233" t="s">
        <v>676</v>
      </c>
    </row>
    <row r="34" spans="1:5">
      <c r="A34" s="168" t="s">
        <v>36</v>
      </c>
      <c r="B34" s="37">
        <f>IF( ISERROR(IND_min_ele_kWh/1000),0,IND_min_ele_kWh/1000)</f>
        <v>37.883000000000003</v>
      </c>
      <c r="C34" s="39">
        <f>IF(ISERROR(B34*3.6/1000000/'E Balans VL '!Z22*100),0,B34*3.6/1000000/'E Balans VL '!Z22*100)</f>
        <v>7.3678273788987539E-3</v>
      </c>
      <c r="D34" s="233" t="s">
        <v>676</v>
      </c>
    </row>
    <row r="35" spans="1:5">
      <c r="A35" s="168" t="s">
        <v>38</v>
      </c>
      <c r="B35" s="37">
        <f>IF( ISERROR(IND_papier_ele_kWh/1000),0,IND_papier_ele_kWh/1000)</f>
        <v>7804.0659999999998</v>
      </c>
      <c r="C35" s="39">
        <f>IF(ISERROR(B35*3.6/1000000/'E Balans VL '!Z22*100),0,B35*3.6/1000000/'E Balans VL '!Z22*100)</f>
        <v>1.5178051142077682</v>
      </c>
      <c r="D35" s="233" t="s">
        <v>676</v>
      </c>
    </row>
    <row r="36" spans="1:5">
      <c r="A36" s="168" t="s">
        <v>33</v>
      </c>
      <c r="B36" s="37">
        <f>IF( ISERROR(IND_chemie_ele_kWh/1000),0,IND_chemie_ele_kWh/1000)</f>
        <v>995.78800000000001</v>
      </c>
      <c r="C36" s="39">
        <f>IF(ISERROR(B36*3.6/1000000/'E Balans VL '!Z24*100),0,B36*3.6/1000000/'E Balans VL '!Z24*100)</f>
        <v>2.3383784293800107E-2</v>
      </c>
      <c r="D36" s="233" t="s">
        <v>676</v>
      </c>
    </row>
    <row r="37" spans="1:5">
      <c r="A37" s="168" t="s">
        <v>259</v>
      </c>
      <c r="B37" s="37">
        <f>IF( ISERROR(IND_rest_ele_kWh/1000),0,IND_rest_ele_kWh/1000)</f>
        <v>8.8970000000000002</v>
      </c>
      <c r="C37" s="39">
        <f>IF(ISERROR(B37*3.6/1000000/'E Balans VL '!Z15*100),0,B37*3.6/1000000/'E Balans VL '!Z15*100)</f>
        <v>6.6179185547155458E-5</v>
      </c>
      <c r="D37" s="233" t="s">
        <v>676</v>
      </c>
    </row>
    <row r="38" spans="1:5">
      <c r="A38" s="236"/>
      <c r="B38" s="177"/>
      <c r="C38" s="177"/>
      <c r="D38" s="237"/>
    </row>
    <row r="39" spans="1:5">
      <c r="A39" s="228"/>
      <c r="B39" s="32"/>
      <c r="C39" s="32"/>
      <c r="D39" s="32"/>
      <c r="E39" s="32"/>
    </row>
    <row r="40" spans="1:5">
      <c r="A40" s="190" t="s">
        <v>475</v>
      </c>
      <c r="B40" s="200"/>
      <c r="C40" s="200"/>
      <c r="D40" s="222"/>
    </row>
    <row r="41" spans="1:5">
      <c r="A41" s="232"/>
      <c r="B41" s="32"/>
      <c r="C41" s="32"/>
      <c r="D41" s="229"/>
    </row>
    <row r="42" spans="1:5">
      <c r="A42" s="238"/>
      <c r="B42" s="239"/>
      <c r="C42" s="221" t="s">
        <v>366</v>
      </c>
      <c r="D42" s="240" t="s">
        <v>175</v>
      </c>
    </row>
    <row r="43" spans="1:5">
      <c r="A43" s="168" t="s">
        <v>255</v>
      </c>
      <c r="B43" s="311">
        <f>aantalZB_NB_industrie+aantalZB_NB_industrie_met_kantoor</f>
        <v>0</v>
      </c>
      <c r="C43" s="43"/>
      <c r="D43" s="229"/>
    </row>
    <row r="44" spans="1:5">
      <c r="A44" s="168" t="s">
        <v>472</v>
      </c>
      <c r="B44" s="307">
        <v>4.2</v>
      </c>
      <c r="C44" s="43"/>
      <c r="D44" s="301" t="s">
        <v>502</v>
      </c>
    </row>
    <row r="45" spans="1:5">
      <c r="A45" s="6" t="s">
        <v>473</v>
      </c>
      <c r="B45" s="312">
        <f>1.34/3.6</f>
        <v>0.37222222222222223</v>
      </c>
      <c r="C45" s="43" t="s">
        <v>208</v>
      </c>
      <c r="D45" s="301" t="s">
        <v>502</v>
      </c>
    </row>
    <row r="46" spans="1:5" s="32" customFormat="1">
      <c r="A46" s="172"/>
      <c r="B46" s="242"/>
      <c r="C46" s="177"/>
      <c r="D46" s="237"/>
    </row>
    <row r="48" spans="1:5">
      <c r="A48" s="191" t="s">
        <v>476</v>
      </c>
      <c r="B48" s="200"/>
      <c r="C48" s="200"/>
      <c r="D48" s="222"/>
    </row>
    <row r="49" spans="1:4">
      <c r="A49" s="227"/>
      <c r="B49" s="32"/>
      <c r="C49" s="32"/>
      <c r="D49" s="229"/>
    </row>
    <row r="50" spans="1:4">
      <c r="A50" s="238"/>
      <c r="B50" s="239"/>
      <c r="C50" s="221" t="s">
        <v>366</v>
      </c>
      <c r="D50" s="240" t="s">
        <v>175</v>
      </c>
    </row>
    <row r="51" spans="1:4">
      <c r="A51" s="168" t="s">
        <v>255</v>
      </c>
      <c r="B51" s="311">
        <f>aantalWP_NB_industrie+AantalWP_NB_industrie_met_kantoor</f>
        <v>0</v>
      </c>
      <c r="C51" s="32"/>
      <c r="D51" s="229"/>
    </row>
    <row r="52" spans="1:4">
      <c r="A52" s="168" t="s">
        <v>251</v>
      </c>
      <c r="B52" s="307">
        <v>13</v>
      </c>
      <c r="C52" s="32" t="s">
        <v>252</v>
      </c>
      <c r="D52" s="301" t="s">
        <v>502</v>
      </c>
    </row>
    <row r="53" spans="1:4">
      <c r="A53" s="168" t="s">
        <v>253</v>
      </c>
      <c r="B53" s="307">
        <v>2000</v>
      </c>
      <c r="C53" s="32" t="s">
        <v>254</v>
      </c>
      <c r="D53" s="301" t="s">
        <v>502</v>
      </c>
    </row>
    <row r="54" spans="1:4">
      <c r="A54" s="168" t="s">
        <v>404</v>
      </c>
      <c r="B54" s="307">
        <v>3.75</v>
      </c>
      <c r="C54" s="32"/>
      <c r="D54" s="301" t="s">
        <v>502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260</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2004.954</v>
      </c>
      <c r="C5" s="17">
        <f>'Eigen informatie GS &amp; warmtenet'!B60</f>
        <v>0</v>
      </c>
      <c r="D5" s="30">
        <f>IF(ISERROR(SUM(LB_lb_gas_kWh,LB_rest_gas_kWh)/1000),0,SUM(LB_lb_gas_kWh,LB_rest_gas_kWh)/1000)*0.902</f>
        <v>99.208274000000003</v>
      </c>
      <c r="E5" s="17">
        <f>B17*'E Balans VL '!I25/3.6*1000000/100</f>
        <v>18.067179602397474</v>
      </c>
      <c r="F5" s="17">
        <f>B17*('E Balans VL '!L25/3.6*1000000+'E Balans VL '!N25/3.6*1000000)/100</f>
        <v>7512.6237870721261</v>
      </c>
      <c r="G5" s="18"/>
      <c r="H5" s="17"/>
      <c r="I5" s="17"/>
      <c r="J5" s="17">
        <f>('E Balans VL '!D25+'E Balans VL '!E25)/3.6*1000000*landbouw!B17/100</f>
        <v>202.89305254180297</v>
      </c>
      <c r="K5" s="17"/>
      <c r="L5" s="17">
        <f>L6*(-1)</f>
        <v>0</v>
      </c>
      <c r="M5" s="17"/>
      <c r="N5" s="17">
        <f>N6*(-1)</f>
        <v>0</v>
      </c>
      <c r="O5" s="17"/>
      <c r="P5" s="17"/>
      <c r="R5" s="32"/>
    </row>
    <row r="6" spans="1:18">
      <c r="A6" s="16" t="s">
        <v>483</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2004.954</v>
      </c>
      <c r="C8" s="21">
        <f>C5+C6</f>
        <v>0</v>
      </c>
      <c r="D8" s="21">
        <f>MAX((D5+D6),0)</f>
        <v>99.208274000000003</v>
      </c>
      <c r="E8" s="21">
        <f>MAX((E5+E6),0)</f>
        <v>18.067179602397474</v>
      </c>
      <c r="F8" s="21">
        <f>MAX((F5+F6),0)</f>
        <v>7512.6237870721261</v>
      </c>
      <c r="G8" s="21"/>
      <c r="H8" s="21"/>
      <c r="I8" s="21"/>
      <c r="J8" s="21">
        <f>MAX((J5+J6),0)</f>
        <v>202.89305254180297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0.20637942547445917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413.78125462271879</v>
      </c>
      <c r="C12" s="23">
        <f ca="1">C8*C10</f>
        <v>0</v>
      </c>
      <c r="D12" s="23">
        <f>D8*D10</f>
        <v>20.040071348000001</v>
      </c>
      <c r="E12" s="23">
        <f>E8*E10</f>
        <v>4.1012497697442267</v>
      </c>
      <c r="F12" s="23">
        <f>F8*F10</f>
        <v>2005.8705511482578</v>
      </c>
      <c r="G12" s="23"/>
      <c r="H12" s="23"/>
      <c r="I12" s="23"/>
      <c r="J12" s="23">
        <f>J8*J10</f>
        <v>71.824140599798255</v>
      </c>
      <c r="K12" s="23"/>
      <c r="L12" s="23">
        <f>L8*L10</f>
        <v>0</v>
      </c>
      <c r="M12" s="23">
        <f>M8*M10</f>
        <v>0</v>
      </c>
      <c r="N12" s="23">
        <f>N8*N10</f>
        <v>0</v>
      </c>
      <c r="O12" s="23"/>
      <c r="P12" s="23"/>
    </row>
    <row r="14" spans="1:18">
      <c r="A14" s="190" t="s">
        <v>489</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0.30860112336441042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147" t="s">
        <v>292</v>
      </c>
      <c r="B22" s="1150" t="s">
        <v>293</v>
      </c>
      <c r="C22" s="1150" t="s">
        <v>488</v>
      </c>
    </row>
    <row r="23" spans="1:4">
      <c r="A23" s="1148"/>
      <c r="B23" s="1151"/>
      <c r="C23" s="1151"/>
    </row>
    <row r="24" spans="1:4" ht="15.75" thickBot="1">
      <c r="A24" s="1149"/>
      <c r="B24" s="1152"/>
      <c r="C24" s="115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461.47482671035795</v>
      </c>
      <c r="C26" s="243">
        <f>B26*'GWP N2O_CH4'!B5</f>
        <v>9690.971360917516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188.27801690525689</v>
      </c>
      <c r="C27" s="243">
        <f>B27*'GWP N2O_CH4'!B5</f>
        <v>3953.8383550103945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8.9290970685176294</v>
      </c>
      <c r="C28" s="243">
        <f>B28*'GWP N2O_CH4'!B4</f>
        <v>2768.0200912404653</v>
      </c>
      <c r="D28" s="50"/>
    </row>
    <row r="29" spans="1:4">
      <c r="A29" s="41" t="s">
        <v>266</v>
      </c>
      <c r="B29" s="243">
        <f>B34*'ha_N2O bodem landbouw'!B4</f>
        <v>16.499219615160552</v>
      </c>
      <c r="C29" s="243">
        <f>B29*'GWP N2O_CH4'!B4</f>
        <v>5114.7580806997712</v>
      </c>
      <c r="D29" s="50"/>
    </row>
    <row r="31" spans="1:4">
      <c r="A31" s="190" t="s">
        <v>490</v>
      </c>
      <c r="B31" s="200"/>
      <c r="C31" s="222"/>
    </row>
    <row r="32" spans="1:4">
      <c r="A32" s="232"/>
      <c r="B32" s="32"/>
      <c r="C32" s="233"/>
    </row>
    <row r="33" spans="1:5">
      <c r="A33" s="234"/>
      <c r="B33" s="221" t="s">
        <v>595</v>
      </c>
      <c r="C33" s="235" t="s">
        <v>175</v>
      </c>
    </row>
    <row r="34" spans="1:5">
      <c r="A34" s="253" t="s">
        <v>105</v>
      </c>
      <c r="B34" s="35">
        <f>IF(ISERROR(aantalCultuurgronden/'ha_N2O bodem landbouw'!B5),0,aantalCultuurgronden/'ha_N2O bodem landbouw'!B5)</f>
        <v>4.283709118159596E-3</v>
      </c>
      <c r="C34" s="254" t="s">
        <v>594</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08" customFormat="1" ht="17.25" thickTop="1" thickBot="1">
      <c r="A1" s="1139" t="s">
        <v>492</v>
      </c>
      <c r="B1" s="1140" t="s">
        <v>540</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6">
        <f>SUM(B6:B11)</f>
        <v>6.669233654545501E-6</v>
      </c>
      <c r="C5" s="431" t="s">
        <v>204</v>
      </c>
      <c r="D5" s="416">
        <f>SUM(D6:D11)</f>
        <v>2.3946138238442744E-5</v>
      </c>
      <c r="E5" s="416">
        <f>SUM(E6:E11)</f>
        <v>2.4309026769632957E-3</v>
      </c>
      <c r="F5" s="429" t="s">
        <v>204</v>
      </c>
      <c r="G5" s="416">
        <f>SUM(G6:G11)</f>
        <v>0.44791450832638818</v>
      </c>
      <c r="H5" s="416">
        <f>SUM(H6:H11)</f>
        <v>8.1604539099562778E-2</v>
      </c>
      <c r="I5" s="431" t="s">
        <v>204</v>
      </c>
      <c r="J5" s="431" t="s">
        <v>204</v>
      </c>
      <c r="K5" s="431" t="s">
        <v>204</v>
      </c>
      <c r="L5" s="431" t="s">
        <v>204</v>
      </c>
      <c r="M5" s="416">
        <f>SUM(M6:M11)</f>
        <v>2.3051642567404253E-2</v>
      </c>
      <c r="N5" s="431" t="s">
        <v>204</v>
      </c>
      <c r="O5" s="431" t="s">
        <v>204</v>
      </c>
      <c r="P5" s="432" t="s">
        <v>204</v>
      </c>
    </row>
    <row r="6" spans="1:18">
      <c r="A6" s="258" t="s">
        <v>729</v>
      </c>
      <c r="B6" s="41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4.6763825808370097E-6</v>
      </c>
      <c r="C6" s="417"/>
      <c r="D6" s="41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1.4760893428560813E-5</v>
      </c>
      <c r="E6" s="419">
        <f>vkm_GW_PW*SUMIFS(TableVerdeelsleutelVkm[LPG],TableVerdeelsleutelVkm[Voertuigtype],"Lichte voertuigen")*SUMIFS(TableECFTransport[EnergieConsumptieFactor (PJ per km)],TableECFTransport[Index],CONCATENATE($A6,"_LPG_LPG"))</f>
        <v>1.5330436962598783E-3</v>
      </c>
      <c r="F6" s="419"/>
      <c r="G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0.20463449389891483</v>
      </c>
      <c r="H6" s="41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5.139536646690851E-2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1.1180961208706593E-2</v>
      </c>
      <c r="N6" s="417"/>
      <c r="O6" s="417"/>
      <c r="P6" s="418"/>
    </row>
    <row r="7" spans="1:18">
      <c r="A7" s="258" t="s">
        <v>731</v>
      </c>
      <c r="B7" s="41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2.5217413928308253E-7</v>
      </c>
      <c r="C7" s="417"/>
      <c r="D7" s="419">
        <f>vkm_GW_ZV*SUMIFS(TableVerdeelsleutelVkm[CNG],TableVerdeelsleutelVkm[Voertuigtype],"Zware voertuigen")*SUMIFS(TableECFTransport[EnergieConsumptieFactor (PJ per km)],TableECFTransport[Index],CONCATENATE($A7,"_CNG_CNG"))</f>
        <v>0</v>
      </c>
      <c r="E7" s="419">
        <f>vkm_GW_ZV*SUMIFS(TableVerdeelsleutelVkm[LPG],TableVerdeelsleutelVkm[Voertuigtype],"Zware voertuigen")*SUMIFS(TableECFTransport[EnergieConsumptieFactor (PJ per km)],TableECFTransport[Index],CONCATENATE($A7,"_LPG_LPG"))</f>
        <v>0</v>
      </c>
      <c r="F7" s="419"/>
      <c r="G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0.11367393079285905</v>
      </c>
      <c r="H7" s="41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3.3447819224096688E-6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4.8971325000503781E-3</v>
      </c>
      <c r="N7" s="417"/>
      <c r="O7" s="417"/>
      <c r="P7" s="418"/>
    </row>
    <row r="8" spans="1:18">
      <c r="A8" s="258" t="s">
        <v>732</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1.7156990276984489E-6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9.1852448098819315E-6</v>
      </c>
      <c r="E8" s="419">
        <f>vkm_NGW_PW*SUMIFS(TableVerdeelsleutelVkm[LPG],TableVerdeelsleutelVkm[Voertuigtype],"Lichte voertuigen")*SUMIFS(TableECFTransport[EnergieConsumptieFactor (PJ per km)],TableECFTransport[Index],CONCATENATE($A8,"_LPG_LPG"))</f>
        <v>8.9785898070341764E-4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0.11401000606414817</v>
      </c>
      <c r="H8" s="41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3.0205427961466667E-2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6.3016643812494801E-3</v>
      </c>
      <c r="N8" s="417"/>
      <c r="O8" s="417"/>
      <c r="P8" s="418"/>
    </row>
    <row r="9" spans="1:18">
      <c r="A9" s="258" t="s">
        <v>733</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2.4977906726958817E-8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1.5596077570466112E-2</v>
      </c>
      <c r="H9" s="41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3.9988926519178901E-7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6.7188447739780031E-4</v>
      </c>
      <c r="N9" s="417"/>
      <c r="O9" s="417"/>
      <c r="P9" s="418"/>
    </row>
    <row r="10" spans="1:18">
      <c r="A10" s="258" t="s">
        <v>734</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row>
    <row r="11" spans="1:18">
      <c r="A11" s="4" t="s">
        <v>735</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row>
    <row r="12" spans="1:18">
      <c r="A12" s="323" t="s">
        <v>538</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325</v>
      </c>
      <c r="B14" s="21">
        <f>((B5)*10^9/3600)+B12</f>
        <v>1.8525649040404168</v>
      </c>
      <c r="C14" s="21"/>
      <c r="D14" s="21">
        <f t="shared" ref="D14:M14" si="0">((D5)*10^9/3600)+D12</f>
        <v>6.6517050662340962</v>
      </c>
      <c r="E14" s="21">
        <f t="shared" si="0"/>
        <v>675.25074360091548</v>
      </c>
      <c r="F14" s="21"/>
      <c r="G14" s="21">
        <f t="shared" si="0"/>
        <v>124420.69675733005</v>
      </c>
      <c r="H14" s="21">
        <f t="shared" si="0"/>
        <v>22667.927527656328</v>
      </c>
      <c r="I14" s="21"/>
      <c r="J14" s="21"/>
      <c r="K14" s="21"/>
      <c r="L14" s="21"/>
      <c r="M14" s="21">
        <f t="shared" si="0"/>
        <v>6403.2340465011812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0.20637942547445917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0.38233128055000781</v>
      </c>
      <c r="C18" s="23"/>
      <c r="D18" s="23">
        <f t="shared" ref="D18:M18" si="1">D14*D16</f>
        <v>1.3436444233792875</v>
      </c>
      <c r="E18" s="23">
        <f t="shared" si="1"/>
        <v>153.28191879740783</v>
      </c>
      <c r="F18" s="23"/>
      <c r="G18" s="23">
        <f t="shared" si="1"/>
        <v>33220.326034207123</v>
      </c>
      <c r="H18" s="23">
        <f t="shared" si="1"/>
        <v>5644.3139543864254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18"/>
    </row>
    <row r="21" spans="1:18">
      <c r="A21" s="835" t="s">
        <v>494</v>
      </c>
      <c r="B21" s="836"/>
      <c r="C21" s="837"/>
      <c r="D21" s="837"/>
      <c r="E21" s="837"/>
      <c r="F21" s="837"/>
      <c r="G21" s="837"/>
      <c r="H21" s="837"/>
      <c r="I21" s="837"/>
      <c r="J21" s="837"/>
      <c r="K21" s="837"/>
      <c r="L21" s="837"/>
      <c r="M21" s="837"/>
      <c r="N21" s="838"/>
    </row>
    <row r="22" spans="1:18">
      <c r="A22" s="256"/>
      <c r="B22" s="257"/>
      <c r="C22" s="43"/>
      <c r="D22" s="43"/>
      <c r="E22" s="43"/>
      <c r="F22" s="43"/>
      <c r="G22" s="43"/>
      <c r="H22" s="43"/>
      <c r="I22" s="43"/>
      <c r="J22" s="43"/>
      <c r="K22" s="43"/>
      <c r="L22" s="43"/>
      <c r="M22" s="43"/>
      <c r="N22" s="171"/>
    </row>
    <row r="23" spans="1:18">
      <c r="A23" s="263" t="s">
        <v>297</v>
      </c>
      <c r="B23" s="839" t="s">
        <v>298</v>
      </c>
      <c r="C23" s="839" t="s">
        <v>737</v>
      </c>
      <c r="D23" s="839" t="s">
        <v>738</v>
      </c>
      <c r="E23" s="839" t="s">
        <v>739</v>
      </c>
      <c r="F23" s="839" t="s">
        <v>686</v>
      </c>
      <c r="G23" s="839" t="s">
        <v>740</v>
      </c>
      <c r="H23" s="839" t="s">
        <v>741</v>
      </c>
      <c r="I23" s="839" t="s">
        <v>112</v>
      </c>
      <c r="J23" s="839" t="s">
        <v>742</v>
      </c>
      <c r="K23" s="839" t="s">
        <v>743</v>
      </c>
      <c r="L23" s="840" t="s">
        <v>744</v>
      </c>
      <c r="M23" s="128" t="s">
        <v>175</v>
      </c>
      <c r="N23" s="264" t="s">
        <v>305</v>
      </c>
    </row>
    <row r="24" spans="1:18" ht="17.45" customHeight="1">
      <c r="A24" s="32" t="s">
        <v>728</v>
      </c>
      <c r="B24" s="990">
        <v>4.6585499895989961E-5</v>
      </c>
      <c r="C24" s="990">
        <v>0.79549116577921042</v>
      </c>
      <c r="D24" s="990" t="s">
        <v>954</v>
      </c>
      <c r="E24" s="990" t="s">
        <v>954</v>
      </c>
      <c r="F24" s="990"/>
      <c r="G24" s="990">
        <v>5.7924267107386004E-5</v>
      </c>
      <c r="H24" s="990" t="s">
        <v>954</v>
      </c>
      <c r="I24" s="990">
        <v>5.4870872115575552E-3</v>
      </c>
      <c r="J24" s="990">
        <v>0.19791084115735974</v>
      </c>
      <c r="K24" s="990">
        <v>1.0063960848689395E-3</v>
      </c>
      <c r="L24" s="990" t="s">
        <v>954</v>
      </c>
      <c r="M24" s="995" t="s">
        <v>948</v>
      </c>
      <c r="N24" s="266">
        <f>SUM(B24:L24)</f>
        <v>1</v>
      </c>
    </row>
    <row r="25" spans="1:18">
      <c r="A25" s="32" t="s">
        <v>730</v>
      </c>
      <c r="B25" s="990" t="s">
        <v>954</v>
      </c>
      <c r="C25" s="990">
        <v>0.99994990923291061</v>
      </c>
      <c r="D25" s="990" t="s">
        <v>954</v>
      </c>
      <c r="E25" s="990" t="s">
        <v>954</v>
      </c>
      <c r="F25" s="990"/>
      <c r="G25" s="990">
        <v>4.6585039730733677E-6</v>
      </c>
      <c r="H25" s="990" t="s">
        <v>954</v>
      </c>
      <c r="I25" s="990" t="s">
        <v>954</v>
      </c>
      <c r="J25" s="990">
        <v>4.5432263116335348E-5</v>
      </c>
      <c r="K25" s="990" t="s">
        <v>954</v>
      </c>
      <c r="L25" s="990" t="s">
        <v>954</v>
      </c>
      <c r="M25" s="995" t="s">
        <v>948</v>
      </c>
      <c r="N25" s="266">
        <f>SUM(B25:L25)</f>
        <v>1</v>
      </c>
    </row>
    <row r="26" spans="1:18">
      <c r="A26" s="236"/>
      <c r="B26" s="177"/>
      <c r="C26" s="177"/>
      <c r="D26" s="177"/>
      <c r="E26" s="177"/>
      <c r="F26" s="177"/>
      <c r="G26" s="177"/>
      <c r="H26" s="177"/>
      <c r="I26" s="177"/>
      <c r="J26" s="177"/>
      <c r="K26" s="177"/>
      <c r="L26" s="175"/>
      <c r="M26" s="175"/>
      <c r="N26" s="173"/>
    </row>
    <row r="27" spans="1:18" s="43" customFormat="1"/>
    <row r="28" spans="1:18">
      <c r="A28" s="259" t="s">
        <v>495</v>
      </c>
      <c r="B28" s="260"/>
      <c r="C28" s="260"/>
      <c r="D28" s="260"/>
      <c r="E28" s="260"/>
      <c r="F28" s="260"/>
      <c r="G28" s="260"/>
      <c r="H28" s="260"/>
      <c r="I28" s="260"/>
      <c r="J28" s="260"/>
      <c r="K28" s="260"/>
      <c r="L28" s="261"/>
    </row>
    <row r="29" spans="1:18">
      <c r="A29" s="258"/>
      <c r="B29" s="262"/>
      <c r="C29" s="262"/>
      <c r="D29" s="262"/>
      <c r="E29" s="262"/>
      <c r="F29" s="43"/>
      <c r="G29" s="43"/>
      <c r="H29" s="43"/>
      <c r="I29" s="43"/>
      <c r="J29" s="43"/>
      <c r="K29" s="43"/>
      <c r="L29" s="171"/>
    </row>
    <row r="30" spans="1:18">
      <c r="A30" s="415" t="s">
        <v>195</v>
      </c>
      <c r="B30" s="270" t="s">
        <v>306</v>
      </c>
      <c r="C30" s="828">
        <v>2011</v>
      </c>
      <c r="D30" s="270" t="s">
        <v>307</v>
      </c>
      <c r="E30" s="239" t="s">
        <v>175</v>
      </c>
      <c r="F30" s="267"/>
      <c r="G30" s="239"/>
      <c r="H30" s="239"/>
      <c r="I30" s="239"/>
      <c r="J30" s="239"/>
      <c r="K30" s="239"/>
      <c r="L30" s="268"/>
    </row>
    <row r="31" spans="1:18">
      <c r="A31" s="271" t="s">
        <v>308</v>
      </c>
      <c r="B31" s="272"/>
      <c r="F31" s="53"/>
      <c r="G31" s="43"/>
      <c r="H31" s="43"/>
      <c r="I31" s="43"/>
      <c r="J31" s="43"/>
      <c r="K31" s="43"/>
      <c r="L31" s="171"/>
    </row>
    <row r="32" spans="1:18">
      <c r="A32" s="273" t="s">
        <v>309</v>
      </c>
      <c r="B32" s="274"/>
      <c r="F32" s="53"/>
      <c r="G32" s="43"/>
      <c r="H32" s="43"/>
      <c r="I32" s="43"/>
      <c r="J32" s="43"/>
      <c r="K32" s="43"/>
      <c r="L32" s="171"/>
    </row>
    <row r="33" spans="1:16">
      <c r="A33" s="273" t="s">
        <v>310</v>
      </c>
      <c r="B33" s="275"/>
      <c r="F33" s="53"/>
      <c r="G33" s="43"/>
      <c r="H33" s="43"/>
      <c r="I33" s="43"/>
      <c r="J33" s="43"/>
      <c r="K33" s="43"/>
      <c r="L33" s="171"/>
    </row>
    <row r="34" spans="1:16">
      <c r="A34" s="273" t="s">
        <v>311</v>
      </c>
      <c r="B34" s="275"/>
      <c r="F34" s="53"/>
      <c r="G34" s="43"/>
      <c r="H34" s="43"/>
      <c r="I34" s="43"/>
      <c r="J34" s="43"/>
      <c r="K34" s="43"/>
      <c r="L34" s="171"/>
    </row>
    <row r="35" spans="1:16">
      <c r="A35" s="273" t="s">
        <v>312</v>
      </c>
      <c r="B35" s="275"/>
      <c r="C35" s="277">
        <v>4.1300000000000003E-2</v>
      </c>
      <c r="D35" s="58"/>
      <c r="E35" s="983" t="s">
        <v>924</v>
      </c>
      <c r="F35" s="53"/>
      <c r="G35" s="43"/>
      <c r="H35" s="43"/>
      <c r="I35" s="43"/>
      <c r="J35" s="43"/>
      <c r="K35" s="43"/>
      <c r="L35" s="171"/>
    </row>
    <row r="36" spans="1:16">
      <c r="A36" s="258"/>
      <c r="B36" s="43"/>
      <c r="C36" s="43"/>
      <c r="D36" s="43"/>
      <c r="E36" s="155"/>
      <c r="F36" s="53"/>
      <c r="G36" s="43"/>
      <c r="H36" s="43"/>
      <c r="I36" s="43"/>
      <c r="J36" s="43"/>
      <c r="K36" s="43"/>
      <c r="L36" s="171"/>
    </row>
    <row r="37" spans="1:16">
      <c r="A37" s="415" t="s">
        <v>113</v>
      </c>
      <c r="B37" s="270" t="s">
        <v>306</v>
      </c>
      <c r="C37" s="828">
        <v>2011</v>
      </c>
      <c r="D37" s="270" t="s">
        <v>307</v>
      </c>
      <c r="E37" s="834" t="s">
        <v>175</v>
      </c>
      <c r="F37" s="280"/>
      <c r="G37" s="263"/>
      <c r="H37" s="263"/>
      <c r="I37" s="263"/>
      <c r="J37" s="263"/>
      <c r="K37" s="263"/>
      <c r="L37" s="264"/>
    </row>
    <row r="38" spans="1:16">
      <c r="A38" s="273" t="s">
        <v>313</v>
      </c>
      <c r="B38" s="274"/>
      <c r="F38" s="276"/>
      <c r="G38" s="58"/>
      <c r="H38" s="58"/>
      <c r="I38" s="58"/>
      <c r="J38" s="58"/>
      <c r="K38" s="58"/>
      <c r="L38" s="278"/>
    </row>
    <row r="39" spans="1:16">
      <c r="A39" s="273" t="s">
        <v>314</v>
      </c>
      <c r="B39" s="274"/>
      <c r="F39" s="276"/>
      <c r="G39" s="58"/>
      <c r="H39" s="58"/>
      <c r="I39" s="58"/>
      <c r="J39" s="58"/>
      <c r="K39" s="58"/>
      <c r="L39" s="278"/>
    </row>
    <row r="40" spans="1:16">
      <c r="A40" s="273" t="s">
        <v>310</v>
      </c>
      <c r="B40" s="275"/>
      <c r="F40" s="58"/>
      <c r="G40" s="58"/>
      <c r="H40" s="58"/>
      <c r="I40" s="58"/>
      <c r="J40" s="58"/>
      <c r="K40" s="58"/>
      <c r="L40" s="278"/>
    </row>
    <row r="41" spans="1:16">
      <c r="A41" s="273" t="s">
        <v>315</v>
      </c>
      <c r="B41" s="275"/>
      <c r="F41" s="58"/>
      <c r="G41" s="58"/>
      <c r="H41" s="58"/>
      <c r="I41" s="58"/>
      <c r="J41" s="58"/>
      <c r="K41" s="58"/>
      <c r="L41" s="278"/>
    </row>
    <row r="42" spans="1:16">
      <c r="A42" s="273" t="s">
        <v>312</v>
      </c>
      <c r="B42" s="275"/>
      <c r="C42" s="277">
        <v>4.3999999999999997E-2</v>
      </c>
      <c r="D42" s="276"/>
      <c r="E42" t="str">
        <f>E35</f>
        <v>Data VMM 2020</v>
      </c>
      <c r="F42" s="58"/>
      <c r="G42" s="279"/>
      <c r="H42" s="58"/>
      <c r="I42" s="58"/>
      <c r="J42" s="58"/>
      <c r="K42" s="58"/>
      <c r="L42" s="278"/>
    </row>
    <row r="43" spans="1:16">
      <c r="A43" s="4"/>
      <c r="B43" s="175"/>
      <c r="C43" s="827"/>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53" t="s">
        <v>493</v>
      </c>
      <c r="B46" s="1154" t="s">
        <v>539</v>
      </c>
      <c r="C46" s="1155"/>
      <c r="D46" s="1155"/>
      <c r="E46" s="1155"/>
      <c r="F46" s="1155"/>
      <c r="G46" s="1155"/>
      <c r="H46" s="1155"/>
      <c r="I46" s="1155"/>
      <c r="J46" s="1155"/>
      <c r="K46" s="1155"/>
      <c r="L46" s="1155"/>
      <c r="M46" s="1155"/>
      <c r="N46" s="1155"/>
      <c r="O46" s="1155"/>
      <c r="P46" s="1155"/>
    </row>
    <row r="47" spans="1:16" s="15" customFormat="1" ht="15.75" thickTop="1">
      <c r="A47" s="1153"/>
      <c r="B47" s="1156" t="s">
        <v>20</v>
      </c>
      <c r="C47" s="1156" t="s">
        <v>189</v>
      </c>
      <c r="D47" s="1158" t="s">
        <v>190</v>
      </c>
      <c r="E47" s="1159"/>
      <c r="F47" s="1159"/>
      <c r="G47" s="1159"/>
      <c r="H47" s="1159"/>
      <c r="I47" s="1159"/>
      <c r="J47" s="1159"/>
      <c r="K47" s="1160"/>
      <c r="L47" s="1158" t="s">
        <v>191</v>
      </c>
      <c r="M47" s="1159"/>
      <c r="N47" s="1159"/>
      <c r="O47" s="1159"/>
      <c r="P47" s="1160"/>
    </row>
    <row r="48" spans="1:16" s="15" customFormat="1" ht="45">
      <c r="A48" s="1153"/>
      <c r="B48" s="1157"/>
      <c r="C48" s="115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6.9338963822237915E-5</v>
      </c>
      <c r="C50" s="313">
        <f t="shared" ref="C50:P50" si="2">SUM(C51:C52)</f>
        <v>0</v>
      </c>
      <c r="D50" s="313">
        <f t="shared" si="2"/>
        <v>0</v>
      </c>
      <c r="E50" s="313">
        <f t="shared" si="2"/>
        <v>0</v>
      </c>
      <c r="F50" s="313">
        <f t="shared" si="2"/>
        <v>0</v>
      </c>
      <c r="G50" s="313">
        <f t="shared" si="2"/>
        <v>1.5042392047859305E-2</v>
      </c>
      <c r="H50" s="313">
        <f t="shared" si="2"/>
        <v>0</v>
      </c>
      <c r="I50" s="313">
        <f t="shared" si="2"/>
        <v>0</v>
      </c>
      <c r="J50" s="313">
        <f t="shared" si="2"/>
        <v>0</v>
      </c>
      <c r="K50" s="313">
        <f t="shared" si="2"/>
        <v>0</v>
      </c>
      <c r="L50" s="313">
        <f t="shared" si="2"/>
        <v>0</v>
      </c>
      <c r="M50" s="313">
        <f t="shared" si="2"/>
        <v>6.4405744591550685E-4</v>
      </c>
      <c r="N50" s="313">
        <f t="shared" si="2"/>
        <v>0</v>
      </c>
      <c r="O50" s="313">
        <f t="shared" si="2"/>
        <v>0</v>
      </c>
      <c r="P50" s="314">
        <f t="shared" si="2"/>
        <v>0</v>
      </c>
    </row>
    <row r="51" spans="1:18">
      <c r="A51" s="258"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6.9338963822237915E-5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1.5042392047859305E-2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6.4405744591550685E-4</v>
      </c>
      <c r="N51" s="315"/>
      <c r="O51" s="315"/>
      <c r="P51" s="318"/>
    </row>
    <row r="52" spans="1:18">
      <c r="A52" s="4" t="s">
        <v>318</v>
      </c>
      <c r="B52" s="31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19.260823283954977</v>
      </c>
      <c r="C54" s="21">
        <f t="shared" ref="C54:P54" si="3">(C50)*10^9/3600</f>
        <v>0</v>
      </c>
      <c r="D54" s="21">
        <f t="shared" si="3"/>
        <v>0</v>
      </c>
      <c r="E54" s="21">
        <f t="shared" si="3"/>
        <v>0</v>
      </c>
      <c r="F54" s="21">
        <f t="shared" si="3"/>
        <v>0</v>
      </c>
      <c r="G54" s="21">
        <f t="shared" si="3"/>
        <v>4178.4422355164734</v>
      </c>
      <c r="H54" s="21">
        <f t="shared" si="3"/>
        <v>0</v>
      </c>
      <c r="I54" s="21">
        <f t="shared" si="3"/>
        <v>0</v>
      </c>
      <c r="J54" s="21">
        <f t="shared" si="3"/>
        <v>0</v>
      </c>
      <c r="K54" s="21">
        <f t="shared" si="3"/>
        <v>0</v>
      </c>
      <c r="L54" s="21">
        <f t="shared" si="3"/>
        <v>0</v>
      </c>
      <c r="M54" s="21">
        <f t="shared" si="3"/>
        <v>178.90484608764078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0.20637942547445917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3.9750376435077142</v>
      </c>
      <c r="C58" s="23">
        <f t="shared" ref="C58:P58" ca="1" si="4">C54*C56</f>
        <v>0</v>
      </c>
      <c r="D58" s="23">
        <f t="shared" si="4"/>
        <v>0</v>
      </c>
      <c r="E58" s="23">
        <f t="shared" si="4"/>
        <v>0</v>
      </c>
      <c r="F58" s="23">
        <f t="shared" si="4"/>
        <v>0</v>
      </c>
      <c r="G58" s="23">
        <f t="shared" si="4"/>
        <v>1115.6440768828984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553</v>
      </c>
      <c r="B61" s="260"/>
      <c r="C61" s="261"/>
    </row>
    <row r="62" spans="1:18" s="15" customFormat="1">
      <c r="A62" s="288"/>
      <c r="B62" s="284"/>
      <c r="C62" s="289"/>
    </row>
    <row r="63" spans="1:18">
      <c r="A63" s="290"/>
      <c r="B63" s="132"/>
      <c r="C63" s="291" t="s">
        <v>175</v>
      </c>
    </row>
    <row r="64" spans="1:18">
      <c r="A64" s="282" t="s">
        <v>195</v>
      </c>
      <c r="B64" s="285">
        <f>100%-B65</f>
        <v>0.98</v>
      </c>
      <c r="C64" s="171"/>
    </row>
    <row r="65" spans="1:12">
      <c r="A65" s="282" t="s">
        <v>908</v>
      </c>
      <c r="B65" s="989">
        <v>0.02</v>
      </c>
      <c r="C65" s="171" t="s">
        <v>608</v>
      </c>
    </row>
    <row r="66" spans="1:12" s="15" customFormat="1">
      <c r="A66" s="283"/>
      <c r="B66" s="265"/>
      <c r="C66" s="229"/>
    </row>
    <row r="67" spans="1:12">
      <c r="A67" s="286" t="s">
        <v>305</v>
      </c>
      <c r="B67" s="287">
        <f>SUM(B64:B65)</f>
        <v>1</v>
      </c>
      <c r="C67" s="173"/>
    </row>
    <row r="70" spans="1:12">
      <c r="A70" s="259" t="s">
        <v>495</v>
      </c>
      <c r="B70" s="260"/>
      <c r="C70" s="260"/>
      <c r="D70" s="260"/>
      <c r="E70" s="260"/>
      <c r="F70" s="260"/>
      <c r="G70" s="260"/>
      <c r="H70" s="260"/>
      <c r="I70" s="260"/>
      <c r="J70" s="260"/>
      <c r="K70" s="260"/>
      <c r="L70" s="261"/>
    </row>
    <row r="71" spans="1:12">
      <c r="A71" s="413" t="s">
        <v>554</v>
      </c>
    </row>
    <row r="72" spans="1:12">
      <c r="A72" s="258"/>
      <c r="B72" s="262"/>
      <c r="C72" s="262"/>
      <c r="D72" s="262"/>
      <c r="E72" s="262"/>
    </row>
    <row r="73" spans="1:12">
      <c r="A73" s="269"/>
      <c r="B73" s="270" t="s">
        <v>306</v>
      </c>
      <c r="C73" s="828">
        <v>2011</v>
      </c>
      <c r="D73" s="270" t="s">
        <v>307</v>
      </c>
      <c r="E73" s="239"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4.1300000000000003E-2</v>
      </c>
      <c r="D78" s="412"/>
      <c r="E78" t="str">
        <f>E35</f>
        <v>Data VMM 2020</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1" customWidth="1"/>
    <col min="2" max="2" width="27" style="601" customWidth="1"/>
    <col min="3" max="3" width="25.42578125" style="601" customWidth="1"/>
    <col min="4" max="4" width="41.28515625" style="601" customWidth="1"/>
    <col min="5" max="5" width="27.5703125" style="601" customWidth="1"/>
    <col min="6" max="7" width="18" style="601" customWidth="1"/>
    <col min="8" max="8" width="23.42578125" style="601" customWidth="1"/>
    <col min="9" max="9" width="28.5703125" style="601" customWidth="1"/>
    <col min="10" max="10" width="35.28515625" style="601" customWidth="1"/>
    <col min="11" max="11" width="32.7109375" style="601" customWidth="1"/>
    <col min="12" max="14" width="23.85546875" style="601" customWidth="1"/>
    <col min="15" max="15" width="21.140625" style="601" customWidth="1"/>
    <col min="16" max="16" width="17.5703125" style="601" customWidth="1"/>
    <col min="17" max="17" width="22.85546875" style="601" customWidth="1"/>
    <col min="18" max="18" width="19.140625" style="601" customWidth="1"/>
    <col min="19" max="19" width="24.7109375" style="601" customWidth="1"/>
    <col min="20" max="20" width="9.140625" style="601"/>
    <col min="21" max="21" width="21.140625" style="601" customWidth="1"/>
    <col min="22" max="22" width="14.85546875" style="601" customWidth="1"/>
    <col min="23" max="24" width="16.140625" style="601" customWidth="1"/>
    <col min="25" max="25" width="14.7109375" style="601" customWidth="1"/>
    <col min="26" max="27" width="16.140625" style="601" customWidth="1"/>
    <col min="28" max="28" width="17.28515625" style="601" customWidth="1"/>
    <col min="29" max="29" width="16.85546875" style="601" customWidth="1"/>
    <col min="30" max="16384" width="9.140625" style="601"/>
  </cols>
  <sheetData>
    <row r="1" spans="1:21" s="530" customFormat="1" ht="17.45" customHeight="1" thickTop="1" thickBot="1">
      <c r="A1" s="1185" t="s">
        <v>230</v>
      </c>
      <c r="B1" s="1173" t="s">
        <v>231</v>
      </c>
      <c r="C1" s="1207" t="s">
        <v>232</v>
      </c>
      <c r="D1" s="1208"/>
      <c r="E1" s="1208"/>
      <c r="F1" s="1208"/>
      <c r="G1" s="1208"/>
      <c r="H1" s="1208"/>
      <c r="I1" s="1208"/>
      <c r="J1" s="1208"/>
      <c r="K1" s="1208"/>
      <c r="L1" s="1208"/>
      <c r="M1" s="1208"/>
      <c r="N1" s="1209"/>
      <c r="O1" s="1174" t="s">
        <v>233</v>
      </c>
      <c r="P1" s="1173" t="s">
        <v>541</v>
      </c>
      <c r="Q1" s="1174"/>
      <c r="S1" s="1172"/>
      <c r="T1" s="1172"/>
      <c r="U1" s="1172"/>
    </row>
    <row r="2" spans="1:21" s="530" customFormat="1" ht="15.75" thickBot="1">
      <c r="A2" s="1186"/>
      <c r="B2" s="1186"/>
      <c r="C2" s="1203" t="s">
        <v>190</v>
      </c>
      <c r="D2" s="1204"/>
      <c r="E2" s="1204"/>
      <c r="F2" s="1204"/>
      <c r="G2" s="1205"/>
      <c r="H2" s="1206" t="s">
        <v>234</v>
      </c>
      <c r="I2" s="1201" t="s">
        <v>235</v>
      </c>
      <c r="J2" s="1201" t="s">
        <v>223</v>
      </c>
      <c r="K2" s="1201" t="s">
        <v>236</v>
      </c>
      <c r="L2" s="1201" t="s">
        <v>120</v>
      </c>
      <c r="M2" s="1201" t="s">
        <v>860</v>
      </c>
      <c r="N2" s="1196" t="s">
        <v>861</v>
      </c>
      <c r="O2" s="1176"/>
      <c r="P2" s="1175"/>
      <c r="Q2" s="1176"/>
      <c r="S2" s="1172"/>
      <c r="T2" s="1172"/>
      <c r="U2" s="1172"/>
    </row>
    <row r="3" spans="1:21" s="530" customFormat="1" ht="53.45" customHeight="1" thickBot="1">
      <c r="A3" s="1187"/>
      <c r="B3" s="1177"/>
      <c r="C3" s="531" t="s">
        <v>192</v>
      </c>
      <c r="D3" s="956" t="s">
        <v>193</v>
      </c>
      <c r="E3" s="532" t="s">
        <v>194</v>
      </c>
      <c r="F3" s="533" t="s">
        <v>196</v>
      </c>
      <c r="G3" s="534" t="s">
        <v>197</v>
      </c>
      <c r="H3" s="1192"/>
      <c r="I3" s="1202"/>
      <c r="J3" s="1202"/>
      <c r="K3" s="1202"/>
      <c r="L3" s="1202"/>
      <c r="M3" s="1202"/>
      <c r="N3" s="1197"/>
      <c r="O3" s="1178"/>
      <c r="P3" s="1177"/>
      <c r="Q3" s="1178"/>
      <c r="S3" s="1172"/>
      <c r="T3" s="1172"/>
      <c r="U3" s="1172"/>
    </row>
    <row r="4" spans="1:21" s="530" customFormat="1" ht="15.75" thickTop="1">
      <c r="A4" s="535" t="s">
        <v>238</v>
      </c>
      <c r="B4" s="536">
        <f>IF(ISERROR(kWh_wind_land),0,kWh_wind_land)</f>
        <v>0</v>
      </c>
      <c r="C4" s="1213"/>
      <c r="D4" s="1198"/>
      <c r="E4" s="1198"/>
      <c r="F4" s="1216"/>
      <c r="G4" s="1219"/>
      <c r="H4" s="1210"/>
      <c r="I4" s="1198"/>
      <c r="J4" s="1198"/>
      <c r="K4" s="1198"/>
      <c r="L4" s="1198"/>
      <c r="M4" s="1198"/>
      <c r="N4" s="918"/>
      <c r="O4" s="537"/>
      <c r="P4" s="1179"/>
      <c r="Q4" s="1180"/>
      <c r="S4" s="953"/>
      <c r="T4" s="1169"/>
      <c r="U4" s="1169"/>
    </row>
    <row r="5" spans="1:21" s="530" customFormat="1">
      <c r="A5" s="538" t="s">
        <v>239</v>
      </c>
      <c r="B5" s="536">
        <f>IF(ISERROR(kWh_waterkracht),0,kWh_waterkracht)</f>
        <v>0</v>
      </c>
      <c r="C5" s="1214"/>
      <c r="D5" s="1199"/>
      <c r="E5" s="1199"/>
      <c r="F5" s="1217"/>
      <c r="G5" s="1220"/>
      <c r="H5" s="1211"/>
      <c r="I5" s="1199"/>
      <c r="J5" s="1199"/>
      <c r="K5" s="1199"/>
      <c r="L5" s="1199"/>
      <c r="M5" s="1199"/>
      <c r="N5" s="918"/>
      <c r="O5" s="539"/>
      <c r="P5" s="1181"/>
      <c r="Q5" s="1182"/>
      <c r="S5" s="953"/>
      <c r="T5" s="1169"/>
      <c r="U5" s="1169"/>
    </row>
    <row r="6" spans="1:21" s="530" customFormat="1">
      <c r="A6" s="538" t="s">
        <v>240</v>
      </c>
      <c r="B6" s="536">
        <f>IF(ISERROR((kWh_PV_kleiner_dan_10kW+kWh_PV_groter_dan_10kW)),0,(kWh_PV_kleiner_dan_10kW+kWh_PV_groter_dan_10kW))</f>
        <v>11735.370818626439</v>
      </c>
      <c r="C6" s="1214"/>
      <c r="D6" s="1199"/>
      <c r="E6" s="1199"/>
      <c r="F6" s="1217"/>
      <c r="G6" s="1220"/>
      <c r="H6" s="1211"/>
      <c r="I6" s="1199"/>
      <c r="J6" s="1199"/>
      <c r="K6" s="1199"/>
      <c r="L6" s="1199"/>
      <c r="M6" s="1199"/>
      <c r="N6" s="918"/>
      <c r="O6" s="539"/>
      <c r="P6" s="1181"/>
      <c r="Q6" s="1182"/>
      <c r="S6" s="953"/>
      <c r="T6" s="1169"/>
      <c r="U6" s="1169"/>
    </row>
    <row r="7" spans="1:21" s="530" customFormat="1">
      <c r="A7" s="538" t="s">
        <v>859</v>
      </c>
      <c r="B7" s="536"/>
      <c r="C7" s="1215"/>
      <c r="D7" s="1200"/>
      <c r="E7" s="1200"/>
      <c r="F7" s="1218"/>
      <c r="G7" s="1221"/>
      <c r="H7" s="1212"/>
      <c r="I7" s="1200"/>
      <c r="J7" s="1200"/>
      <c r="K7" s="1200"/>
      <c r="L7" s="1200"/>
      <c r="M7" s="1200"/>
      <c r="N7" s="919"/>
      <c r="O7" s="539"/>
      <c r="P7" s="954"/>
      <c r="Q7" s="955"/>
      <c r="S7" s="953"/>
      <c r="T7" s="953"/>
      <c r="U7" s="953"/>
    </row>
    <row r="8" spans="1:21" s="530" customFormat="1">
      <c r="A8" s="540" t="s">
        <v>241</v>
      </c>
      <c r="B8" s="541">
        <f>N29</f>
        <v>0</v>
      </c>
      <c r="C8" s="542">
        <f>B48</f>
        <v>0</v>
      </c>
      <c r="D8" s="920"/>
      <c r="E8" s="920">
        <f>E48</f>
        <v>0</v>
      </c>
      <c r="F8" s="921"/>
      <c r="G8" s="543"/>
      <c r="H8" s="920">
        <f>I48</f>
        <v>0</v>
      </c>
      <c r="I8" s="920">
        <f>G48+F48</f>
        <v>0</v>
      </c>
      <c r="J8" s="920">
        <f>H48+D48+C48</f>
        <v>0</v>
      </c>
      <c r="K8" s="920"/>
      <c r="L8" s="920"/>
      <c r="M8" s="920"/>
      <c r="N8" s="544"/>
      <c r="O8" s="545">
        <f>C8*$C$12+D8*$D$12+E8*$E$12+F8*$F$12+G8*$G$12+H8*$H$12+I8*$I$12+J8*$J$12</f>
        <v>0</v>
      </c>
      <c r="P8" s="1181"/>
      <c r="Q8" s="1182"/>
      <c r="S8" s="953"/>
      <c r="T8" s="1169"/>
      <c r="U8" s="1169"/>
    </row>
    <row r="9" spans="1:21" s="530" customFormat="1" ht="17.45" customHeight="1" thickBot="1">
      <c r="A9" s="546" t="s">
        <v>237</v>
      </c>
      <c r="B9" s="957">
        <f>N36+'Eigen informatie GS &amp; warmtenet'!B12</f>
        <v>0</v>
      </c>
      <c r="C9" s="547">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4"/>
      <c r="O9" s="545">
        <f>C9*$C$12+D9*$D$12+E9*$E$12+F9*$F$12+G9*$G$12+H9*$H$12+I9*$I$12+J9*$J$12</f>
        <v>0</v>
      </c>
      <c r="P9" s="1183"/>
      <c r="Q9" s="1184"/>
      <c r="R9" s="551"/>
      <c r="S9" s="953"/>
      <c r="T9" s="1169"/>
      <c r="U9" s="1169"/>
    </row>
    <row r="10" spans="1:21" s="530" customFormat="1" ht="16.5" thickTop="1" thickBot="1">
      <c r="A10" s="552" t="s">
        <v>109</v>
      </c>
      <c r="B10" s="553">
        <f>SUM(B4:B9)</f>
        <v>11735.370818626439</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5"/>
      <c r="N10" s="915"/>
      <c r="O10" s="555">
        <f>SUM(O4:O9)</f>
        <v>0</v>
      </c>
      <c r="P10" s="556"/>
      <c r="R10" s="951"/>
      <c r="S10" s="953"/>
      <c r="T10" s="951"/>
      <c r="U10" s="951"/>
    </row>
    <row r="11" spans="1:21" s="559" customFormat="1" ht="15.75" thickTop="1">
      <c r="A11" s="557"/>
      <c r="B11" s="558"/>
      <c r="C11" s="558"/>
      <c r="D11" s="558"/>
      <c r="E11" s="558"/>
      <c r="F11" s="558"/>
      <c r="G11" s="558"/>
      <c r="H11" s="558"/>
      <c r="I11" s="558"/>
      <c r="J11" s="558"/>
      <c r="K11" s="558"/>
      <c r="L11" s="558"/>
      <c r="M11" s="558"/>
      <c r="N11" s="558"/>
      <c r="P11" s="558"/>
      <c r="R11" s="558"/>
    </row>
    <row r="12" spans="1:21" s="559" customFormat="1">
      <c r="A12" s="958" t="s">
        <v>279</v>
      </c>
      <c r="B12" s="959"/>
      <c r="C12" s="959">
        <f>EF_CO2_aardgas</f>
        <v>0.20200000000000001</v>
      </c>
      <c r="D12" s="959">
        <f>EF_VLgas_CO2</f>
        <v>0.22700000000000001</v>
      </c>
      <c r="E12" s="959">
        <f>EF_stookolie_CO2</f>
        <v>0.26700000000000002</v>
      </c>
      <c r="F12" s="959">
        <f>EF_bruinkool_CO2</f>
        <v>0.35099999999999998</v>
      </c>
      <c r="G12" s="959">
        <f>EF_steenkool_CO2</f>
        <v>0.35399999999999998</v>
      </c>
      <c r="H12" s="959">
        <f>'EF brandstof'!M4</f>
        <v>0.33</v>
      </c>
      <c r="I12" s="959">
        <f>'EF brandstof'!J4</f>
        <v>0</v>
      </c>
      <c r="J12" s="959">
        <f>'EF brandstof'!L4</f>
        <v>0</v>
      </c>
      <c r="K12" s="959">
        <f>'EF brandstof'!L4</f>
        <v>0</v>
      </c>
      <c r="L12" s="959"/>
      <c r="M12" s="959"/>
      <c r="N12" s="959"/>
      <c r="P12" s="560"/>
      <c r="Q12" s="560"/>
      <c r="R12" s="560"/>
    </row>
    <row r="13" spans="1:21" s="530" customFormat="1" ht="15.75" thickBot="1">
      <c r="A13" s="561"/>
      <c r="B13" s="560"/>
      <c r="C13" s="560"/>
      <c r="D13" s="560"/>
      <c r="E13" s="560"/>
      <c r="F13" s="560"/>
      <c r="G13" s="560"/>
      <c r="H13" s="560"/>
      <c r="I13" s="560"/>
      <c r="J13" s="560"/>
      <c r="K13" s="560"/>
      <c r="L13" s="560"/>
      <c r="M13" s="560"/>
      <c r="N13" s="560"/>
      <c r="O13" s="560"/>
      <c r="P13" s="560"/>
      <c r="Q13" s="560"/>
      <c r="R13" s="560"/>
    </row>
    <row r="14" spans="1:21" s="530" customFormat="1" ht="17.25" thickTop="1" thickBot="1">
      <c r="A14" s="1185" t="s">
        <v>242</v>
      </c>
      <c r="B14" s="1185" t="s">
        <v>243</v>
      </c>
      <c r="C14" s="1193" t="s">
        <v>244</v>
      </c>
      <c r="D14" s="1194"/>
      <c r="E14" s="1194"/>
      <c r="F14" s="1194"/>
      <c r="G14" s="1194"/>
      <c r="H14" s="1194"/>
      <c r="I14" s="1194"/>
      <c r="J14" s="1194"/>
      <c r="K14" s="1194"/>
      <c r="L14" s="1194"/>
      <c r="M14" s="1194"/>
      <c r="N14" s="1195"/>
      <c r="O14" s="1174" t="s">
        <v>233</v>
      </c>
      <c r="P14" s="1173" t="s">
        <v>245</v>
      </c>
      <c r="Q14" s="1174"/>
      <c r="R14" s="1172"/>
      <c r="S14" s="1172"/>
      <c r="T14" s="1172"/>
    </row>
    <row r="15" spans="1:21" s="530" customFormat="1" ht="15.75" customHeight="1" thickBot="1">
      <c r="A15" s="1186"/>
      <c r="B15" s="1186"/>
      <c r="C15" s="1188" t="s">
        <v>190</v>
      </c>
      <c r="D15" s="1189"/>
      <c r="E15" s="1189"/>
      <c r="F15" s="1189"/>
      <c r="G15" s="1190"/>
      <c r="H15" s="1191" t="s">
        <v>234</v>
      </c>
      <c r="I15" s="1191" t="s">
        <v>235</v>
      </c>
      <c r="J15" s="1191" t="s">
        <v>223</v>
      </c>
      <c r="K15" s="1191" t="s">
        <v>246</v>
      </c>
      <c r="L15" s="1191" t="s">
        <v>120</v>
      </c>
      <c r="M15" s="1191" t="s">
        <v>860</v>
      </c>
      <c r="N15" s="1196" t="s">
        <v>861</v>
      </c>
      <c r="O15" s="1176"/>
      <c r="P15" s="1175"/>
      <c r="Q15" s="1176"/>
      <c r="R15" s="1172"/>
      <c r="S15" s="1172"/>
      <c r="T15" s="1172"/>
    </row>
    <row r="16" spans="1:21" s="530" customFormat="1" ht="40.700000000000003" customHeight="1" thickBot="1">
      <c r="A16" s="1187"/>
      <c r="B16" s="1187"/>
      <c r="C16" s="562" t="s">
        <v>192</v>
      </c>
      <c r="D16" s="956" t="s">
        <v>193</v>
      </c>
      <c r="E16" s="913" t="s">
        <v>194</v>
      </c>
      <c r="F16" s="956" t="s">
        <v>196</v>
      </c>
      <c r="G16" s="563" t="s">
        <v>197</v>
      </c>
      <c r="H16" s="1192"/>
      <c r="I16" s="1192"/>
      <c r="J16" s="1192"/>
      <c r="K16" s="1192"/>
      <c r="L16" s="1192"/>
      <c r="M16" s="1192"/>
      <c r="N16" s="1197"/>
      <c r="O16" s="1178"/>
      <c r="P16" s="1177"/>
      <c r="Q16" s="1178"/>
      <c r="R16" s="1172"/>
      <c r="S16" s="1172"/>
      <c r="T16" s="1172"/>
    </row>
    <row r="17" spans="1:27" s="530" customFormat="1" ht="15.75" thickTop="1">
      <c r="A17" s="564" t="s">
        <v>241</v>
      </c>
      <c r="B17" s="565">
        <f>O29</f>
        <v>0</v>
      </c>
      <c r="C17" s="566">
        <f>B49</f>
        <v>0</v>
      </c>
      <c r="D17" s="567"/>
      <c r="E17" s="567">
        <f>E49</f>
        <v>0</v>
      </c>
      <c r="F17" s="568"/>
      <c r="G17" s="569"/>
      <c r="H17" s="566">
        <f>I49</f>
        <v>0</v>
      </c>
      <c r="I17" s="567">
        <f>G49+F49</f>
        <v>0</v>
      </c>
      <c r="J17" s="567">
        <f>H49+D49+C49</f>
        <v>0</v>
      </c>
      <c r="K17" s="567"/>
      <c r="L17" s="567"/>
      <c r="M17" s="567"/>
      <c r="N17" s="916"/>
      <c r="O17" s="570">
        <f>C17*$C$22+E17*$E$22+H17*$H$22+I17*$I$22+J17*$J$22+D17*$D$22+F17*$F$22+G17*$G$22+K17*$K$22+L17*$L$22</f>
        <v>0</v>
      </c>
      <c r="P17" s="1164"/>
      <c r="Q17" s="1165"/>
      <c r="R17" s="952"/>
      <c r="S17" s="1166"/>
      <c r="T17" s="1166"/>
    </row>
    <row r="18" spans="1:27" s="530" customFormat="1">
      <c r="A18" s="571" t="s">
        <v>247</v>
      </c>
      <c r="B18" s="572">
        <f>'Eigen informatie GS &amp; warmtenet'!B32</f>
        <v>0</v>
      </c>
      <c r="C18" s="920">
        <f>'Eigen informatie GS &amp; warmtenet'!B35</f>
        <v>0</v>
      </c>
      <c r="D18" s="920">
        <f>'Eigen informatie GS &amp; warmtenet'!B36</f>
        <v>0</v>
      </c>
      <c r="E18" s="920">
        <f>'Eigen informatie GS &amp; warmtenet'!B37</f>
        <v>0</v>
      </c>
      <c r="F18" s="920">
        <f>'Eigen informatie GS &amp; warmtenet'!B38</f>
        <v>0</v>
      </c>
      <c r="G18" s="920">
        <f>'Eigen informatie GS &amp; warmtenet'!B39</f>
        <v>0</v>
      </c>
      <c r="H18" s="920">
        <f>'Eigen informatie GS &amp; warmtenet'!B40</f>
        <v>0</v>
      </c>
      <c r="I18" s="920">
        <f>'Eigen informatie GS &amp; warmtenet'!B41</f>
        <v>0</v>
      </c>
      <c r="J18" s="920">
        <f>'Eigen informatie GS &amp; warmtenet'!B42</f>
        <v>0</v>
      </c>
      <c r="K18" s="920">
        <f>'Eigen informatie GS &amp; warmtenet'!B43</f>
        <v>0</v>
      </c>
      <c r="L18" s="920">
        <f>'Eigen informatie GS &amp; warmtenet'!B44</f>
        <v>0</v>
      </c>
      <c r="M18" s="920">
        <f>'Eigen informatie GS &amp; warmtenet'!B45</f>
        <v>0</v>
      </c>
      <c r="N18" s="920">
        <f>'Eigen informatie GS &amp; warmtenet'!B46</f>
        <v>0</v>
      </c>
      <c r="O18" s="570">
        <f>C18*$C$22+E18*$E$22+H18*$H$22+I18*$I$22+J18*$J$22+D18*$D$22+F18*$F$22+G18*$G$22+K18*$K$22+L18*$L$22</f>
        <v>0</v>
      </c>
      <c r="P18" s="1167"/>
      <c r="Q18" s="1168"/>
      <c r="R18" s="953"/>
      <c r="S18" s="1169"/>
      <c r="T18" s="1169"/>
    </row>
    <row r="19" spans="1:27" s="530" customFormat="1" ht="15.75" thickBot="1">
      <c r="A19" s="546" t="s">
        <v>237</v>
      </c>
      <c r="B19" s="572">
        <f>'Eigen informatie GS &amp; warmtenet'!B11</f>
        <v>0</v>
      </c>
      <c r="C19" s="57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20"/>
      <c r="N19" s="917"/>
      <c r="O19" s="570">
        <f>C19*$C$22+E19*$E$22+H19*$H$22+I19*$I$22+J19*$J$22+D19*$D$22+F19*$F$22+G19*$G$22+K19*$K$22+L19*$L$22</f>
        <v>0</v>
      </c>
      <c r="P19" s="1170"/>
      <c r="Q19" s="1171"/>
      <c r="R19" s="953"/>
      <c r="S19" s="1169"/>
      <c r="T19" s="1169"/>
    </row>
    <row r="20" spans="1:27" s="530"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4">
        <f>SUM(O17:O19)</f>
        <v>0</v>
      </c>
      <c r="P20" s="1161"/>
      <c r="Q20" s="1162"/>
      <c r="R20" s="953"/>
      <c r="S20" s="1163"/>
      <c r="T20" s="1163"/>
    </row>
    <row r="21" spans="1:27" s="530" customFormat="1" ht="15.75" thickTop="1">
      <c r="A21" s="952"/>
      <c r="B21" s="953"/>
      <c r="C21" s="953"/>
      <c r="D21" s="953"/>
      <c r="E21" s="953"/>
      <c r="F21" s="953"/>
      <c r="G21" s="953"/>
      <c r="H21" s="953"/>
      <c r="I21" s="953"/>
      <c r="J21" s="953"/>
      <c r="K21" s="953"/>
      <c r="L21" s="953"/>
      <c r="M21" s="953"/>
      <c r="N21" s="953"/>
      <c r="O21" s="953"/>
      <c r="P21" s="951"/>
      <c r="Q21" s="951"/>
      <c r="R21" s="953"/>
      <c r="S21" s="951"/>
      <c r="T21" s="951"/>
    </row>
    <row r="22" spans="1:27" s="559" customFormat="1">
      <c r="A22" s="958" t="s">
        <v>279</v>
      </c>
      <c r="B22" s="959"/>
      <c r="C22" s="959">
        <f>EF_CO2_aardgas</f>
        <v>0.20200000000000001</v>
      </c>
      <c r="D22" s="959">
        <f>EF_VLgas_CO2</f>
        <v>0.22700000000000001</v>
      </c>
      <c r="E22" s="959">
        <f>EF_stookolie_CO2</f>
        <v>0.26700000000000002</v>
      </c>
      <c r="F22" s="959">
        <f>EF_bruinkool_CO2</f>
        <v>0.35099999999999998</v>
      </c>
      <c r="G22" s="959">
        <f>EF_steenkool_CO2</f>
        <v>0.35399999999999998</v>
      </c>
      <c r="H22" s="959">
        <f>'EF brandstof'!M4</f>
        <v>0.33</v>
      </c>
      <c r="I22" s="959">
        <f>'EF brandstof'!J4</f>
        <v>0</v>
      </c>
      <c r="J22" s="959">
        <f>'EF brandstof'!L4</f>
        <v>0</v>
      </c>
      <c r="K22" s="959">
        <f>'EF brandstof'!L4</f>
        <v>0</v>
      </c>
      <c r="L22" s="959"/>
      <c r="M22" s="959"/>
      <c r="N22" s="959"/>
      <c r="O22" s="560"/>
      <c r="P22" s="560"/>
      <c r="Q22" s="560"/>
      <c r="R22" s="560"/>
      <c r="S22" s="530"/>
    </row>
    <row r="23" spans="1:27" s="559" customFormat="1">
      <c r="A23" s="561"/>
      <c r="B23" s="560"/>
      <c r="C23" s="560"/>
      <c r="D23" s="560"/>
      <c r="E23" s="560"/>
      <c r="F23" s="560"/>
      <c r="G23" s="560"/>
      <c r="H23" s="560"/>
      <c r="I23" s="560"/>
      <c r="J23" s="560"/>
      <c r="K23" s="560"/>
      <c r="L23" s="560"/>
      <c r="M23" s="560"/>
      <c r="N23" s="560"/>
      <c r="O23" s="560"/>
      <c r="P23" s="560"/>
      <c r="Q23" s="560"/>
      <c r="R23" s="560"/>
      <c r="S23" s="530"/>
    </row>
    <row r="24" spans="1:27" s="559" customFormat="1">
      <c r="A24" s="561"/>
      <c r="B24" s="560"/>
      <c r="C24" s="560"/>
      <c r="D24" s="575"/>
      <c r="E24" s="575"/>
      <c r="F24" s="575"/>
      <c r="G24" s="560"/>
      <c r="H24" s="560"/>
      <c r="I24" s="560"/>
      <c r="J24" s="560"/>
      <c r="K24" s="560"/>
      <c r="L24" s="560"/>
      <c r="M24" s="560"/>
      <c r="N24" s="560"/>
      <c r="O24" s="560"/>
      <c r="P24" s="560"/>
      <c r="Q24" s="560"/>
      <c r="R24" s="560"/>
    </row>
    <row r="25" spans="1:27" s="559" customFormat="1">
      <c r="A25" s="561"/>
      <c r="B25" s="560"/>
      <c r="C25" s="560"/>
      <c r="D25" s="575"/>
      <c r="E25" s="575"/>
      <c r="F25" s="575"/>
      <c r="G25" s="560"/>
      <c r="H25" s="560"/>
      <c r="I25" s="560"/>
      <c r="J25" s="560"/>
      <c r="K25" s="560"/>
      <c r="L25" s="560"/>
      <c r="M25" s="560"/>
      <c r="N25" s="560"/>
      <c r="O25" s="560"/>
      <c r="P25" s="560"/>
      <c r="Q25" s="560"/>
      <c r="R25" s="560"/>
    </row>
    <row r="26" spans="1:27" s="530" customFormat="1" ht="15.75" thickBot="1">
      <c r="B26" s="575"/>
      <c r="C26" s="575"/>
      <c r="D26" s="575"/>
      <c r="E26" s="575"/>
      <c r="F26" s="575"/>
      <c r="G26" s="575"/>
      <c r="H26" s="575"/>
      <c r="I26" s="575"/>
      <c r="J26" s="575"/>
      <c r="K26" s="575"/>
      <c r="L26" s="575"/>
      <c r="M26" s="575"/>
      <c r="N26" s="575"/>
      <c r="O26" s="575"/>
      <c r="P26" s="575"/>
      <c r="Q26" s="576"/>
      <c r="R26" s="576"/>
    </row>
    <row r="27" spans="1:27" s="530" customFormat="1" ht="45">
      <c r="A27" s="577" t="s">
        <v>268</v>
      </c>
      <c r="B27" s="622" t="s">
        <v>89</v>
      </c>
      <c r="C27" s="622" t="s">
        <v>90</v>
      </c>
      <c r="D27" s="622"/>
      <c r="E27" s="622"/>
      <c r="F27" s="622"/>
      <c r="G27" s="622" t="s">
        <v>91</v>
      </c>
      <c r="H27" s="622" t="s">
        <v>92</v>
      </c>
      <c r="I27" s="622"/>
      <c r="J27" s="622"/>
      <c r="K27" s="622"/>
      <c r="L27" s="622" t="s">
        <v>93</v>
      </c>
      <c r="M27" s="623" t="s">
        <v>287</v>
      </c>
      <c r="N27" s="623" t="s">
        <v>94</v>
      </c>
      <c r="O27" s="623" t="s">
        <v>95</v>
      </c>
      <c r="P27" s="623" t="s">
        <v>528</v>
      </c>
      <c r="Q27" s="623" t="s">
        <v>96</v>
      </c>
      <c r="R27" s="623" t="s">
        <v>97</v>
      </c>
      <c r="S27" s="623" t="s">
        <v>98</v>
      </c>
      <c r="T27" s="623" t="s">
        <v>99</v>
      </c>
      <c r="U27" s="623" t="s">
        <v>100</v>
      </c>
      <c r="V27" s="623" t="s">
        <v>101</v>
      </c>
      <c r="W27" s="622" t="s">
        <v>102</v>
      </c>
      <c r="X27" s="622" t="s">
        <v>961</v>
      </c>
      <c r="Y27" s="622" t="s">
        <v>288</v>
      </c>
      <c r="Z27" s="622" t="s">
        <v>103</v>
      </c>
      <c r="AA27" s="624" t="s">
        <v>289</v>
      </c>
    </row>
    <row r="28" spans="1:27" s="579" customFormat="1" ht="12.75" hidden="1">
      <c r="A28" s="578"/>
      <c r="B28" s="736"/>
      <c r="C28" s="736"/>
      <c r="D28" s="626"/>
      <c r="E28" s="625"/>
      <c r="F28" s="625"/>
      <c r="G28" s="625"/>
      <c r="H28" s="625"/>
      <c r="I28" s="625"/>
      <c r="J28" s="735"/>
      <c r="K28" s="735"/>
      <c r="L28" s="625"/>
      <c r="M28" s="625"/>
      <c r="N28" s="625"/>
      <c r="O28" s="625"/>
      <c r="P28" s="625"/>
      <c r="Q28" s="625"/>
      <c r="R28" s="625"/>
      <c r="S28" s="625"/>
      <c r="T28" s="625"/>
      <c r="U28" s="625"/>
      <c r="V28" s="625"/>
      <c r="W28" s="625"/>
      <c r="X28" s="625"/>
      <c r="Y28" s="625"/>
      <c r="Z28" s="625"/>
      <c r="AA28" s="627"/>
    </row>
    <row r="29" spans="1:27" s="561" customFormat="1" hidden="1">
      <c r="A29" s="581" t="s">
        <v>269</v>
      </c>
      <c r="B29" s="582"/>
      <c r="C29" s="582"/>
      <c r="D29" s="582"/>
      <c r="E29" s="582"/>
      <c r="F29" s="582"/>
      <c r="G29" s="582"/>
      <c r="H29" s="582"/>
      <c r="I29" s="582"/>
      <c r="J29" s="582"/>
      <c r="K29" s="582"/>
      <c r="L29" s="583"/>
      <c r="M29" s="583">
        <f>SUM(M28:M28)</f>
        <v>0</v>
      </c>
      <c r="N29" s="583">
        <f>SUM(N28:N28)</f>
        <v>0</v>
      </c>
      <c r="O29" s="583">
        <f>SUM(O28:O28)</f>
        <v>0</v>
      </c>
      <c r="P29" s="583">
        <f>SUM(P28:P28)</f>
        <v>0</v>
      </c>
      <c r="Q29" s="583">
        <f>SUM(Q28:Q28)</f>
        <v>0</v>
      </c>
      <c r="R29" s="583">
        <f>SUM(R28:R28)</f>
        <v>0</v>
      </c>
      <c r="S29" s="583">
        <f>SUM(S28:S28)</f>
        <v>0</v>
      </c>
      <c r="T29" s="583">
        <f>SUM(T28:T28)</f>
        <v>0</v>
      </c>
      <c r="U29" s="583">
        <f>SUM(U28:U28)</f>
        <v>0</v>
      </c>
      <c r="V29" s="583">
        <f>SUM(V28:V28)</f>
        <v>0</v>
      </c>
      <c r="W29" s="583">
        <f>SUM(W28:W28)</f>
        <v>0</v>
      </c>
      <c r="X29" s="583"/>
      <c r="Y29" s="584"/>
      <c r="Z29" s="584"/>
      <c r="AA29" s="585"/>
    </row>
    <row r="30" spans="1:27" s="561" customFormat="1">
      <c r="A30" s="581" t="s">
        <v>276</v>
      </c>
      <c r="B30" s="582"/>
      <c r="C30" s="582"/>
      <c r="D30" s="582"/>
      <c r="E30" s="582"/>
      <c r="F30" s="582"/>
      <c r="G30" s="582"/>
      <c r="H30" s="582"/>
      <c r="I30" s="582"/>
      <c r="J30" s="582"/>
      <c r="K30" s="582"/>
      <c r="L30" s="583"/>
      <c r="M30" s="583">
        <f>SUMIF($AA$28:$AA$28,"industrie",M28:M28)</f>
        <v>0</v>
      </c>
      <c r="N30" s="583">
        <f>SUMIF($AA$28:$AA$28,"industrie",N28:N28)</f>
        <v>0</v>
      </c>
      <c r="O30" s="583">
        <f>SUMIF($AA$28:$AA$28,"industrie",O28:O28)</f>
        <v>0</v>
      </c>
      <c r="P30" s="583">
        <f>SUMIF($AA$28:$AA$28,"industrie",P28:P28)</f>
        <v>0</v>
      </c>
      <c r="Q30" s="583">
        <f>SUMIF($AA$28:$AA$28,"industrie",Q28:Q28)</f>
        <v>0</v>
      </c>
      <c r="R30" s="583">
        <f>SUMIF($AA$28:$AA$28,"industrie",R28:R28)</f>
        <v>0</v>
      </c>
      <c r="S30" s="583">
        <f>SUMIF($AA$28:$AA$28,"industrie",S28:S28)</f>
        <v>0</v>
      </c>
      <c r="T30" s="583">
        <f>SUMIF($AA$28:$AA$28,"industrie",T28:T28)</f>
        <v>0</v>
      </c>
      <c r="U30" s="583">
        <f>SUMIF($AA$28:$AA$28,"industrie",U28:U28)</f>
        <v>0</v>
      </c>
      <c r="V30" s="583">
        <f>SUMIF($AA$28:$AA$28,"industrie",V28:V28)</f>
        <v>0</v>
      </c>
      <c r="W30" s="583">
        <f>SUMIF($AA$28:$AA$28,"industrie",W28:W28)</f>
        <v>0</v>
      </c>
      <c r="X30" s="583"/>
      <c r="Y30" s="584"/>
      <c r="Z30" s="584"/>
      <c r="AA30" s="585"/>
    </row>
    <row r="31" spans="1:27" s="561" customFormat="1">
      <c r="A31" s="581" t="s">
        <v>277</v>
      </c>
      <c r="B31" s="582"/>
      <c r="C31" s="582"/>
      <c r="D31" s="582"/>
      <c r="E31" s="582"/>
      <c r="F31" s="582"/>
      <c r="G31" s="582"/>
      <c r="H31" s="582"/>
      <c r="I31" s="582"/>
      <c r="J31" s="582"/>
      <c r="K31" s="582"/>
      <c r="L31" s="583"/>
      <c r="M31" s="583">
        <f ca="1">SUMIF($AA$28:AD28,"tertiair",M28:M28)</f>
        <v>0</v>
      </c>
      <c r="N31" s="583">
        <f ca="1">SUMIF($AA$28:AE28,"tertiair",N28:N28)</f>
        <v>0</v>
      </c>
      <c r="O31" s="583">
        <f ca="1">SUMIF($AA$28:AF28,"tertiair",O28:O28)</f>
        <v>0</v>
      </c>
      <c r="P31" s="583">
        <f ca="1">SUMIF($AA$28:AG28,"tertiair",P28:P28)</f>
        <v>0</v>
      </c>
      <c r="Q31" s="583">
        <f ca="1">SUMIF($AA$28:AH28,"tertiair",Q28:Q28)</f>
        <v>0</v>
      </c>
      <c r="R31" s="583">
        <f ca="1">SUMIF($AA$28:AI28,"tertiair",R28:R28)</f>
        <v>0</v>
      </c>
      <c r="S31" s="583">
        <f ca="1">SUMIF($AA$28:AJ28,"tertiair",S28:S28)</f>
        <v>0</v>
      </c>
      <c r="T31" s="583">
        <f ca="1">SUMIF($AA$28:AK28,"tertiair",T28:T28)</f>
        <v>0</v>
      </c>
      <c r="U31" s="583">
        <f ca="1">SUMIF($AA$28:AL28,"tertiair",U28:U28)</f>
        <v>0</v>
      </c>
      <c r="V31" s="583">
        <f ca="1">SUMIF($AA$28:AM28,"tertiair",V28:V28)</f>
        <v>0</v>
      </c>
      <c r="W31" s="583">
        <f ca="1">SUMIF($AA$28:AN28,"tertiair",W28:W28)</f>
        <v>0</v>
      </c>
      <c r="X31" s="583"/>
      <c r="Y31" s="584"/>
      <c r="Z31" s="584"/>
      <c r="AA31" s="585"/>
    </row>
    <row r="32" spans="1:27" s="561" customFormat="1" ht="15.75" thickBot="1">
      <c r="A32" s="586" t="s">
        <v>278</v>
      </c>
      <c r="B32" s="587"/>
      <c r="C32" s="587"/>
      <c r="D32" s="587"/>
      <c r="E32" s="587"/>
      <c r="F32" s="587"/>
      <c r="G32" s="587"/>
      <c r="H32" s="587"/>
      <c r="I32" s="587"/>
      <c r="J32" s="587"/>
      <c r="K32" s="587"/>
      <c r="L32" s="588"/>
      <c r="M32" s="588">
        <f>SUMIF($AA$28:$AA$28,"landbouw",M28:M28)</f>
        <v>0</v>
      </c>
      <c r="N32" s="588">
        <f>SUMIF($AA$28:$AA$28,"landbouw",N28:N28)</f>
        <v>0</v>
      </c>
      <c r="O32" s="588">
        <f>SUMIF($AA$28:$AA$28,"landbouw",O28:O28)</f>
        <v>0</v>
      </c>
      <c r="P32" s="588">
        <f>SUMIF($AA$28:$AA$28,"landbouw",P28:P28)</f>
        <v>0</v>
      </c>
      <c r="Q32" s="588">
        <f>SUMIF($AA$28:$AA$28,"landbouw",Q28:Q28)</f>
        <v>0</v>
      </c>
      <c r="R32" s="588">
        <f>SUMIF($AA$28:$AA$28,"landbouw",R28:R28)</f>
        <v>0</v>
      </c>
      <c r="S32" s="588">
        <f>SUMIF($AA$28:$AA$28,"landbouw",S28:S28)</f>
        <v>0</v>
      </c>
      <c r="T32" s="588">
        <f>SUMIF($AA$28:$AA$28,"landbouw",T28:T28)</f>
        <v>0</v>
      </c>
      <c r="U32" s="588">
        <f>SUMIF($AA$28:$AA$28,"landbouw",U28:U28)</f>
        <v>0</v>
      </c>
      <c r="V32" s="588">
        <f>SUMIF($AA$28:$AA$28,"landbouw",V28:V28)</f>
        <v>0</v>
      </c>
      <c r="W32" s="588">
        <f>SUMIF($AA$28:$AA$28,"landbouw",W28:W28)</f>
        <v>0</v>
      </c>
      <c r="X32" s="588"/>
      <c r="Y32" s="589"/>
      <c r="Z32" s="589"/>
      <c r="AA32" s="590"/>
    </row>
    <row r="33" spans="1:28" s="530" customFormat="1" ht="15.75" thickBot="1">
      <c r="A33" s="591"/>
      <c r="B33" s="592"/>
      <c r="C33" s="592"/>
      <c r="D33" s="592"/>
      <c r="E33" s="592"/>
      <c r="F33" s="592"/>
      <c r="G33" s="592"/>
      <c r="H33" s="592"/>
      <c r="I33" s="592"/>
      <c r="J33" s="592"/>
      <c r="K33" s="592"/>
      <c r="L33" s="575"/>
      <c r="M33" s="575"/>
      <c r="N33" s="575"/>
      <c r="O33" s="576"/>
      <c r="P33" s="576"/>
    </row>
    <row r="34" spans="1:28" s="530" customFormat="1" ht="45">
      <c r="A34" s="593" t="s">
        <v>270</v>
      </c>
      <c r="B34" s="622" t="s">
        <v>89</v>
      </c>
      <c r="C34" s="622" t="s">
        <v>90</v>
      </c>
      <c r="D34" s="622"/>
      <c r="E34" s="622"/>
      <c r="F34" s="622"/>
      <c r="G34" s="622" t="s">
        <v>91</v>
      </c>
      <c r="H34" s="622" t="s">
        <v>92</v>
      </c>
      <c r="I34" s="622"/>
      <c r="J34" s="622"/>
      <c r="K34" s="622"/>
      <c r="L34" s="622" t="s">
        <v>93</v>
      </c>
      <c r="M34" s="623" t="s">
        <v>287</v>
      </c>
      <c r="N34" s="623" t="s">
        <v>94</v>
      </c>
      <c r="O34" s="623" t="s">
        <v>95</v>
      </c>
      <c r="P34" s="623" t="s">
        <v>528</v>
      </c>
      <c r="Q34" s="623" t="s">
        <v>96</v>
      </c>
      <c r="R34" s="623" t="s">
        <v>97</v>
      </c>
      <c r="S34" s="623" t="s">
        <v>98</v>
      </c>
      <c r="T34" s="623" t="s">
        <v>99</v>
      </c>
      <c r="U34" s="623" t="s">
        <v>100</v>
      </c>
      <c r="V34" s="623" t="s">
        <v>101</v>
      </c>
      <c r="W34" s="622" t="s">
        <v>102</v>
      </c>
      <c r="X34" s="622" t="s">
        <v>961</v>
      </c>
      <c r="Y34" s="622" t="s">
        <v>288</v>
      </c>
      <c r="Z34" s="622" t="s">
        <v>103</v>
      </c>
      <c r="AA34" s="624" t="s">
        <v>289</v>
      </c>
    </row>
    <row r="35" spans="1:28" s="594" customFormat="1" ht="12.75" hidden="1">
      <c r="A35" s="580"/>
      <c r="B35" s="736"/>
      <c r="C35" s="736"/>
      <c r="D35" s="628"/>
      <c r="E35" s="628"/>
      <c r="F35" s="628"/>
      <c r="G35" s="628"/>
      <c r="H35" s="628"/>
      <c r="I35" s="628"/>
      <c r="J35" s="735"/>
      <c r="K35" s="735"/>
      <c r="L35" s="628"/>
      <c r="M35" s="628"/>
      <c r="N35" s="628"/>
      <c r="O35" s="628"/>
      <c r="P35" s="628"/>
      <c r="Q35" s="628"/>
      <c r="R35" s="628"/>
      <c r="S35" s="628"/>
      <c r="T35" s="628"/>
      <c r="U35" s="628"/>
      <c r="V35" s="628"/>
      <c r="W35" s="628"/>
      <c r="X35" s="628"/>
      <c r="Y35" s="628"/>
      <c r="Z35" s="628"/>
      <c r="AA35" s="629"/>
    </row>
    <row r="36" spans="1:28" s="561" customFormat="1" hidden="1">
      <c r="A36" s="581" t="s">
        <v>269</v>
      </c>
      <c r="B36" s="582"/>
      <c r="C36" s="582"/>
      <c r="D36" s="582"/>
      <c r="E36" s="582"/>
      <c r="F36" s="582"/>
      <c r="G36" s="582"/>
      <c r="H36" s="582"/>
      <c r="I36" s="582"/>
      <c r="J36" s="582"/>
      <c r="K36" s="582"/>
      <c r="L36" s="583"/>
      <c r="M36" s="583">
        <f>SUM(M35:M35)</f>
        <v>0</v>
      </c>
      <c r="N36" s="583">
        <f>SUM(N35:N35)</f>
        <v>0</v>
      </c>
      <c r="O36" s="583">
        <f>SUM(O35:O35)</f>
        <v>0</v>
      </c>
      <c r="P36" s="583">
        <f>SUM(P35:P35)</f>
        <v>0</v>
      </c>
      <c r="Q36" s="583">
        <f>SUM(Q35:Q35)</f>
        <v>0</v>
      </c>
      <c r="R36" s="583">
        <f>SUM(R35:R35)</f>
        <v>0</v>
      </c>
      <c r="S36" s="583">
        <f>SUM(S35:S35)</f>
        <v>0</v>
      </c>
      <c r="T36" s="583">
        <f>SUM(T35:T35)</f>
        <v>0</v>
      </c>
      <c r="U36" s="583">
        <f>SUM(U35:U35)</f>
        <v>0</v>
      </c>
      <c r="V36" s="583">
        <f>SUM(V35:V35)</f>
        <v>0</v>
      </c>
      <c r="W36" s="583">
        <f>SUM(W35:W35)</f>
        <v>0</v>
      </c>
      <c r="X36" s="583"/>
      <c r="Y36" s="584"/>
      <c r="Z36" s="584"/>
      <c r="AA36" s="585"/>
    </row>
    <row r="37" spans="1:28" s="561" customFormat="1">
      <c r="A37" s="581" t="s">
        <v>276</v>
      </c>
      <c r="B37" s="582"/>
      <c r="C37" s="582"/>
      <c r="D37" s="582"/>
      <c r="E37" s="582"/>
      <c r="F37" s="582"/>
      <c r="G37" s="582"/>
      <c r="H37" s="582"/>
      <c r="I37" s="582"/>
      <c r="J37" s="582"/>
      <c r="K37" s="582"/>
      <c r="L37" s="583"/>
      <c r="M37" s="583">
        <f>SUMIF($AA$35:$AA$35,"industrie",M35:M35)</f>
        <v>0</v>
      </c>
      <c r="N37" s="583">
        <f>SUMIF($AA$35:$AA$35,"industrie",N35:N35)</f>
        <v>0</v>
      </c>
      <c r="O37" s="583">
        <f>SUMIF($AA$35:$AA$35,"industrie",O35:O35)</f>
        <v>0</v>
      </c>
      <c r="P37" s="583">
        <f>SUMIF($AA$35:$AA$35,"industrie",P35:P35)</f>
        <v>0</v>
      </c>
      <c r="Q37" s="583">
        <f>SUMIF($AA$35:$AA$35,"industrie",Q35:Q35)</f>
        <v>0</v>
      </c>
      <c r="R37" s="583">
        <f>SUMIF($AA$35:$AA$35,"industrie",R35:R35)</f>
        <v>0</v>
      </c>
      <c r="S37" s="583">
        <f>SUMIF($AA$35:$AA$35,"industrie",S35:S35)</f>
        <v>0</v>
      </c>
      <c r="T37" s="583">
        <f>SUMIF($AA$35:$AA$35,"industrie",T35:T35)</f>
        <v>0</v>
      </c>
      <c r="U37" s="583">
        <f>SUMIF($AA$35:$AA$35,"industrie",U35:U35)</f>
        <v>0</v>
      </c>
      <c r="V37" s="583">
        <f>SUMIF($AA$35:$AA$35,"industrie",V35:V35)</f>
        <v>0</v>
      </c>
      <c r="W37" s="583">
        <f>SUMIF($AA$35:$AA$35,"industrie",W35:W35)</f>
        <v>0</v>
      </c>
      <c r="X37" s="583"/>
      <c r="Y37" s="584"/>
      <c r="Z37" s="584"/>
      <c r="AA37" s="585"/>
    </row>
    <row r="38" spans="1:28" s="561" customFormat="1">
      <c r="A38" s="581" t="s">
        <v>277</v>
      </c>
      <c r="B38" s="582"/>
      <c r="C38" s="582"/>
      <c r="D38" s="582"/>
      <c r="E38" s="582"/>
      <c r="F38" s="582"/>
      <c r="G38" s="582"/>
      <c r="H38" s="582"/>
      <c r="I38" s="582"/>
      <c r="J38" s="582"/>
      <c r="K38" s="582"/>
      <c r="L38" s="583"/>
      <c r="M38" s="583">
        <f>SUMIF($AA$35:$AA$36,"tertiair",M35:M36)</f>
        <v>0</v>
      </c>
      <c r="N38" s="583">
        <f>SUMIF($AA$35:$AA$36,"tertiair",N35:N36)</f>
        <v>0</v>
      </c>
      <c r="O38" s="583">
        <f>SUMIF($AA$35:$AA$36,"tertiair",O35:O36)</f>
        <v>0</v>
      </c>
      <c r="P38" s="583">
        <f>SUMIF($AA$35:$AA$36,"tertiair",P35:P36)</f>
        <v>0</v>
      </c>
      <c r="Q38" s="583">
        <f>SUMIF($AA$35:$AA$36,"tertiair",Q35:Q36)</f>
        <v>0</v>
      </c>
      <c r="R38" s="583">
        <f>SUMIF($AA$35:$AA$36,"tertiair",R35:R36)</f>
        <v>0</v>
      </c>
      <c r="S38" s="583">
        <f>SUMIF($AA$35:$AA$36,"tertiair",S35:S36)</f>
        <v>0</v>
      </c>
      <c r="T38" s="583">
        <f>SUMIF($AA$35:$AA$36,"tertiair",T35:T36)</f>
        <v>0</v>
      </c>
      <c r="U38" s="583">
        <f>SUMIF($AA$35:$AA$36,"tertiair",U35:U36)</f>
        <v>0</v>
      </c>
      <c r="V38" s="583">
        <f>SUMIF($AA$35:$AA$36,"tertiair",V35:V36)</f>
        <v>0</v>
      </c>
      <c r="W38" s="583">
        <f>SUMIF($AA$35:$AA$36,"tertiair",W35:W36)</f>
        <v>0</v>
      </c>
      <c r="X38" s="583"/>
      <c r="Y38" s="584"/>
      <c r="Z38" s="584"/>
      <c r="AA38" s="585"/>
    </row>
    <row r="39" spans="1:28" s="561" customFormat="1" ht="15.75" thickBot="1">
      <c r="A39" s="586" t="s">
        <v>278</v>
      </c>
      <c r="B39" s="587"/>
      <c r="C39" s="587"/>
      <c r="D39" s="587"/>
      <c r="E39" s="587"/>
      <c r="F39" s="587"/>
      <c r="G39" s="587"/>
      <c r="H39" s="587"/>
      <c r="I39" s="587"/>
      <c r="J39" s="587"/>
      <c r="K39" s="587"/>
      <c r="L39" s="588"/>
      <c r="M39" s="588">
        <f>SUMIF($AA$35:$AA$37,"landbouw",M35:M37)</f>
        <v>0</v>
      </c>
      <c r="N39" s="588">
        <f>SUMIF($AA$35:$AA$37,"landbouw",N35:N37)</f>
        <v>0</v>
      </c>
      <c r="O39" s="588">
        <f>SUMIF($AA$35:$AA$37,"landbouw",O35:O37)</f>
        <v>0</v>
      </c>
      <c r="P39" s="588">
        <f>SUMIF($AA$35:$AA$37,"landbouw",P35:P37)</f>
        <v>0</v>
      </c>
      <c r="Q39" s="588">
        <f>SUMIF($AA$35:$AA$37,"landbouw",Q35:Q37)</f>
        <v>0</v>
      </c>
      <c r="R39" s="588">
        <f>SUMIF($AA$35:$AA$37,"landbouw",R35:R37)</f>
        <v>0</v>
      </c>
      <c r="S39" s="588">
        <f>SUMIF($AA$35:$AA$37,"landbouw",S35:S37)</f>
        <v>0</v>
      </c>
      <c r="T39" s="588">
        <f>SUMIF($AA$35:$AA$37,"landbouw",T35:T37)</f>
        <v>0</v>
      </c>
      <c r="U39" s="588">
        <f>SUMIF($AA$35:$AA$37,"landbouw",U35:U37)</f>
        <v>0</v>
      </c>
      <c r="V39" s="588">
        <f>SUMIF($AA$35:$AA$37,"landbouw",V35:V37)</f>
        <v>0</v>
      </c>
      <c r="W39" s="588">
        <f>SUMIF($AA$35:$AA$37,"landbouw",W35:W37)</f>
        <v>0</v>
      </c>
      <c r="X39" s="588"/>
      <c r="Y39" s="589"/>
      <c r="Z39" s="589"/>
      <c r="AA39" s="590"/>
    </row>
    <row r="40" spans="1:28" s="595" customFormat="1">
      <c r="A40" s="591"/>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row r="41" spans="1:28" s="595" customFormat="1" ht="15.75" thickBot="1">
      <c r="A41" s="591"/>
      <c r="B41" s="575"/>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row>
    <row r="42" spans="1:28">
      <c r="A42" s="596" t="s">
        <v>271</v>
      </c>
      <c r="B42" s="597"/>
      <c r="C42" s="597"/>
      <c r="D42" s="597"/>
      <c r="E42" s="597"/>
      <c r="F42" s="597"/>
      <c r="G42" s="597"/>
      <c r="H42" s="597"/>
      <c r="I42" s="598"/>
      <c r="J42" s="599"/>
      <c r="K42" s="599"/>
      <c r="L42" s="600"/>
      <c r="M42" s="600"/>
      <c r="N42" s="600"/>
      <c r="O42" s="600"/>
      <c r="P42" s="600"/>
    </row>
    <row r="43" spans="1:28">
      <c r="A43" s="602"/>
      <c r="B43" s="592"/>
      <c r="C43" s="592"/>
      <c r="D43" s="592"/>
      <c r="E43" s="592"/>
      <c r="F43" s="592"/>
      <c r="G43" s="592"/>
      <c r="H43" s="592"/>
      <c r="I43" s="603"/>
      <c r="J43" s="592"/>
      <c r="K43" s="592"/>
      <c r="L43" s="600"/>
      <c r="M43" s="600"/>
      <c r="N43" s="600"/>
      <c r="O43" s="600"/>
      <c r="P43" s="600"/>
    </row>
    <row r="44" spans="1:28">
      <c r="A44" s="604"/>
      <c r="B44" s="605" t="s">
        <v>272</v>
      </c>
      <c r="C44" s="605" t="s">
        <v>273</v>
      </c>
      <c r="D44" s="605"/>
      <c r="E44" s="605"/>
      <c r="F44" s="605"/>
      <c r="G44" s="605"/>
      <c r="H44" s="605"/>
      <c r="I44" s="606"/>
      <c r="J44" s="605"/>
      <c r="K44" s="605"/>
      <c r="L44" s="605"/>
      <c r="M44" s="605"/>
      <c r="N44" s="605"/>
      <c r="O44" s="605"/>
      <c r="P44" s="600"/>
    </row>
    <row r="45" spans="1:28">
      <c r="A45" s="602" t="s">
        <v>269</v>
      </c>
      <c r="B45" s="607">
        <f>IF(ISERROR(O29/(O29+N29)),0,O29/(O29+N29))</f>
        <v>0</v>
      </c>
      <c r="C45" s="608">
        <f>IF(ISERROR(N29/(O29+N29)),0,N29/(N29+O29))</f>
        <v>0</v>
      </c>
      <c r="D45" s="575"/>
      <c r="E45" s="575"/>
      <c r="F45" s="575"/>
      <c r="G45" s="575"/>
      <c r="H45" s="575"/>
      <c r="I45" s="609"/>
      <c r="J45" s="575"/>
      <c r="K45" s="575"/>
      <c r="L45" s="610"/>
      <c r="M45" s="610"/>
      <c r="N45" s="610"/>
      <c r="O45" s="610"/>
      <c r="P45" s="600"/>
    </row>
    <row r="46" spans="1:28">
      <c r="A46" s="602"/>
      <c r="B46" s="611"/>
      <c r="C46" s="611"/>
      <c r="D46" s="611"/>
      <c r="E46" s="611"/>
      <c r="F46" s="611"/>
      <c r="G46" s="611"/>
      <c r="H46" s="611"/>
      <c r="I46" s="612"/>
      <c r="J46" s="611"/>
      <c r="K46" s="611"/>
      <c r="L46" s="613"/>
      <c r="M46" s="613"/>
      <c r="N46" s="613"/>
      <c r="O46" s="613"/>
      <c r="P46" s="600"/>
    </row>
    <row r="47" spans="1:28" ht="30">
      <c r="A47" s="614"/>
      <c r="B47" s="615" t="s">
        <v>528</v>
      </c>
      <c r="C47" s="615" t="s">
        <v>96</v>
      </c>
      <c r="D47" s="615" t="s">
        <v>97</v>
      </c>
      <c r="E47" s="615" t="s">
        <v>98</v>
      </c>
      <c r="F47" s="615" t="s">
        <v>99</v>
      </c>
      <c r="G47" s="615" t="s">
        <v>100</v>
      </c>
      <c r="H47" s="615" t="s">
        <v>101</v>
      </c>
      <c r="I47" s="616" t="s">
        <v>102</v>
      </c>
      <c r="J47" s="605"/>
      <c r="K47" s="605"/>
      <c r="L47" s="613"/>
      <c r="M47" s="613"/>
      <c r="N47" s="613"/>
      <c r="O47" s="600"/>
      <c r="P47" s="600"/>
    </row>
    <row r="48" spans="1:28">
      <c r="A48" s="604" t="s">
        <v>274</v>
      </c>
      <c r="B48" s="617">
        <f t="shared" ref="B48:I48" si="2">$C$45*P29</f>
        <v>0</v>
      </c>
      <c r="C48" s="617">
        <f t="shared" si="2"/>
        <v>0</v>
      </c>
      <c r="D48" s="617">
        <f t="shared" si="2"/>
        <v>0</v>
      </c>
      <c r="E48" s="617">
        <f t="shared" si="2"/>
        <v>0</v>
      </c>
      <c r="F48" s="617">
        <f t="shared" si="2"/>
        <v>0</v>
      </c>
      <c r="G48" s="617">
        <f t="shared" si="2"/>
        <v>0</v>
      </c>
      <c r="H48" s="617">
        <f t="shared" si="2"/>
        <v>0</v>
      </c>
      <c r="I48" s="618">
        <f t="shared" si="2"/>
        <v>0</v>
      </c>
      <c r="J48" s="575"/>
      <c r="K48" s="575"/>
      <c r="L48" s="613"/>
      <c r="M48" s="613"/>
      <c r="N48" s="613"/>
      <c r="O48" s="600"/>
      <c r="P48" s="600"/>
    </row>
    <row r="49" spans="1:16" ht="15.75" thickBot="1">
      <c r="A49" s="619" t="s">
        <v>275</v>
      </c>
      <c r="B49" s="620">
        <f t="shared" ref="B49:I49" si="3">$B$45*P29</f>
        <v>0</v>
      </c>
      <c r="C49" s="620">
        <f t="shared" si="3"/>
        <v>0</v>
      </c>
      <c r="D49" s="620">
        <f t="shared" si="3"/>
        <v>0</v>
      </c>
      <c r="E49" s="620">
        <f t="shared" si="3"/>
        <v>0</v>
      </c>
      <c r="F49" s="620">
        <f t="shared" si="3"/>
        <v>0</v>
      </c>
      <c r="G49" s="620">
        <f t="shared" si="3"/>
        <v>0</v>
      </c>
      <c r="H49" s="620">
        <f t="shared" si="3"/>
        <v>0</v>
      </c>
      <c r="I49" s="621">
        <f t="shared" si="3"/>
        <v>0</v>
      </c>
      <c r="J49" s="575"/>
      <c r="K49" s="575"/>
      <c r="L49" s="613"/>
      <c r="M49" s="613"/>
      <c r="N49" s="613"/>
      <c r="O49" s="600"/>
      <c r="P49" s="600"/>
    </row>
    <row r="50" spans="1:16">
      <c r="J50" s="559"/>
      <c r="K50" s="559"/>
      <c r="L50" s="559"/>
      <c r="M50" s="559"/>
      <c r="N50" s="559"/>
    </row>
    <row r="51" spans="1:16">
      <c r="J51" s="559"/>
      <c r="K51" s="559"/>
      <c r="L51" s="559"/>
      <c r="M51" s="559"/>
      <c r="N51" s="55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5" t="s">
        <v>406</v>
      </c>
      <c r="B1" s="345" t="s">
        <v>413</v>
      </c>
      <c r="C1" s="345" t="s">
        <v>412</v>
      </c>
      <c r="D1" s="345" t="s">
        <v>411</v>
      </c>
      <c r="E1" s="346" t="s">
        <v>407</v>
      </c>
      <c r="F1" s="347" t="s">
        <v>408</v>
      </c>
      <c r="G1" s="347" t="s">
        <v>409</v>
      </c>
      <c r="H1" s="347" t="s">
        <v>410</v>
      </c>
    </row>
    <row r="2" spans="1:8" s="11" customFormat="1">
      <c r="A2" s="999" t="s">
        <v>896</v>
      </c>
      <c r="B2" s="1000" t="s">
        <v>914</v>
      </c>
      <c r="C2" s="999" t="s">
        <v>704</v>
      </c>
      <c r="D2" s="999" t="s">
        <v>771</v>
      </c>
      <c r="E2" s="842"/>
      <c r="F2" s="849" t="s">
        <v>774</v>
      </c>
      <c r="G2" s="849" t="s">
        <v>775</v>
      </c>
      <c r="H2" s="339" t="s">
        <v>776</v>
      </c>
    </row>
    <row r="3" spans="1:8" s="11" customFormat="1">
      <c r="A3" s="999" t="s">
        <v>924</v>
      </c>
      <c r="B3" s="1000" t="s">
        <v>925</v>
      </c>
      <c r="C3" s="999" t="s">
        <v>186</v>
      </c>
      <c r="D3" s="1001" t="s">
        <v>926</v>
      </c>
      <c r="E3" s="842"/>
      <c r="F3" s="843" t="s">
        <v>765</v>
      </c>
      <c r="G3" s="843" t="s">
        <v>766</v>
      </c>
      <c r="H3" s="843" t="s">
        <v>767</v>
      </c>
    </row>
    <row r="4" spans="1:8" s="11" customFormat="1">
      <c r="A4" s="340" t="s">
        <v>399</v>
      </c>
      <c r="B4" s="739">
        <v>2012</v>
      </c>
      <c r="C4" s="340" t="s">
        <v>399</v>
      </c>
      <c r="D4" s="340" t="s">
        <v>915</v>
      </c>
      <c r="E4" s="341"/>
      <c r="F4" s="846" t="s">
        <v>768</v>
      </c>
      <c r="G4" s="846" t="s">
        <v>769</v>
      </c>
      <c r="H4" s="846" t="s">
        <v>770</v>
      </c>
    </row>
    <row r="5" spans="1:8">
      <c r="A5" s="335" t="s">
        <v>392</v>
      </c>
      <c r="B5" s="336" t="s">
        <v>393</v>
      </c>
      <c r="C5" s="335" t="s">
        <v>392</v>
      </c>
      <c r="D5" s="335" t="s">
        <v>677</v>
      </c>
      <c r="E5" s="337"/>
      <c r="F5" s="338" t="s">
        <v>394</v>
      </c>
      <c r="G5" s="338" t="s">
        <v>395</v>
      </c>
      <c r="H5" s="339" t="s">
        <v>396</v>
      </c>
    </row>
    <row r="6" spans="1:8">
      <c r="A6" s="335" t="s">
        <v>397</v>
      </c>
      <c r="B6" s="336" t="s">
        <v>393</v>
      </c>
      <c r="C6" s="335" t="s">
        <v>397</v>
      </c>
      <c r="D6" s="335" t="s">
        <v>678</v>
      </c>
      <c r="E6" s="337"/>
      <c r="F6" s="338" t="s">
        <v>753</v>
      </c>
      <c r="G6" s="338" t="s">
        <v>761</v>
      </c>
      <c r="H6" s="339" t="s">
        <v>762</v>
      </c>
    </row>
    <row r="7" spans="1:8">
      <c r="A7" s="340" t="s">
        <v>424</v>
      </c>
      <c r="B7" s="343" t="s">
        <v>425</v>
      </c>
      <c r="C7" s="340" t="s">
        <v>427</v>
      </c>
      <c r="D7" s="340" t="s">
        <v>423</v>
      </c>
      <c r="E7" s="337" t="s">
        <v>426</v>
      </c>
      <c r="F7" s="338"/>
      <c r="G7" s="338"/>
      <c r="H7" s="339"/>
    </row>
    <row r="8" spans="1:8">
      <c r="A8" s="841" t="s">
        <v>777</v>
      </c>
      <c r="B8" s="847">
        <v>2012</v>
      </c>
      <c r="C8" s="841" t="s">
        <v>399</v>
      </c>
      <c r="D8" s="841" t="s">
        <v>916</v>
      </c>
      <c r="E8" s="848" t="s">
        <v>778</v>
      </c>
      <c r="F8" s="849"/>
      <c r="G8" s="849"/>
      <c r="H8" s="339"/>
    </row>
    <row r="9" spans="1:8">
      <c r="A9" s="841" t="s">
        <v>790</v>
      </c>
      <c r="B9" s="847" t="s">
        <v>791</v>
      </c>
      <c r="C9" s="841" t="s">
        <v>794</v>
      </c>
      <c r="D9" s="841" t="s">
        <v>793</v>
      </c>
      <c r="E9" s="848" t="s">
        <v>789</v>
      </c>
      <c r="F9" s="849"/>
      <c r="G9" s="849"/>
      <c r="H9" s="339"/>
    </row>
    <row r="10" spans="1:8">
      <c r="A10" s="340" t="s">
        <v>598</v>
      </c>
      <c r="B10" s="336" t="s">
        <v>599</v>
      </c>
      <c r="C10" s="340" t="s">
        <v>600</v>
      </c>
      <c r="D10" s="340" t="s">
        <v>601</v>
      </c>
      <c r="E10" s="337"/>
      <c r="F10" s="338" t="s">
        <v>754</v>
      </c>
      <c r="G10" s="338" t="s">
        <v>763</v>
      </c>
      <c r="H10" s="339" t="s">
        <v>764</v>
      </c>
    </row>
    <row r="11" spans="1:8">
      <c r="A11" s="335" t="s">
        <v>750</v>
      </c>
      <c r="B11" s="336" t="s">
        <v>751</v>
      </c>
      <c r="C11" s="335" t="s">
        <v>752</v>
      </c>
      <c r="D11" s="335" t="s">
        <v>917</v>
      </c>
      <c r="E11" s="634"/>
      <c r="F11" s="338" t="s">
        <v>758</v>
      </c>
      <c r="G11" s="338" t="s">
        <v>759</v>
      </c>
      <c r="H11" s="339" t="s">
        <v>760</v>
      </c>
    </row>
    <row r="12" spans="1:8">
      <c r="A12" s="841" t="s">
        <v>772</v>
      </c>
      <c r="B12" s="847">
        <v>2017</v>
      </c>
      <c r="C12" s="841" t="s">
        <v>417</v>
      </c>
      <c r="D12" s="841" t="s">
        <v>773</v>
      </c>
      <c r="E12" s="848"/>
      <c r="F12" s="849" t="s">
        <v>774</v>
      </c>
      <c r="G12" s="849" t="s">
        <v>775</v>
      </c>
      <c r="H12" s="339" t="s">
        <v>776</v>
      </c>
    </row>
    <row r="13" spans="1:8" s="10" customFormat="1">
      <c r="A13" s="340" t="s">
        <v>401</v>
      </c>
      <c r="B13" s="336" t="s">
        <v>416</v>
      </c>
      <c r="C13" s="335"/>
      <c r="D13" s="344" t="s">
        <v>415</v>
      </c>
      <c r="E13" s="337"/>
      <c r="F13" s="338"/>
      <c r="G13" s="338"/>
      <c r="H13" s="339"/>
    </row>
    <row r="14" spans="1:8">
      <c r="A14" s="335" t="s">
        <v>384</v>
      </c>
      <c r="B14" s="336" t="s">
        <v>390</v>
      </c>
      <c r="C14" s="335" t="s">
        <v>389</v>
      </c>
      <c r="D14" s="335" t="s">
        <v>391</v>
      </c>
      <c r="E14" s="342" t="s">
        <v>385</v>
      </c>
      <c r="F14" s="338" t="s">
        <v>386</v>
      </c>
      <c r="G14" s="338" t="s">
        <v>387</v>
      </c>
      <c r="H14" s="338" t="s">
        <v>388</v>
      </c>
    </row>
    <row r="15" spans="1:8">
      <c r="A15" s="335" t="s">
        <v>400</v>
      </c>
      <c r="B15" s="336" t="s">
        <v>393</v>
      </c>
      <c r="C15" s="335" t="s">
        <v>400</v>
      </c>
      <c r="D15" s="335" t="s">
        <v>414</v>
      </c>
      <c r="E15" s="337"/>
      <c r="F15" s="338" t="s">
        <v>810</v>
      </c>
      <c r="G15" s="338" t="s">
        <v>811</v>
      </c>
      <c r="H15" s="339" t="s">
        <v>812</v>
      </c>
    </row>
    <row r="16" spans="1:8">
      <c r="A16" s="335" t="s">
        <v>501</v>
      </c>
      <c r="B16" s="336" t="s">
        <v>369</v>
      </c>
      <c r="C16" s="335" t="s">
        <v>367</v>
      </c>
      <c r="D16" s="344" t="s">
        <v>368</v>
      </c>
      <c r="E16" s="337" t="s">
        <v>370</v>
      </c>
      <c r="F16" s="338" t="s">
        <v>755</v>
      </c>
      <c r="G16" s="338" t="s">
        <v>756</v>
      </c>
      <c r="H16" s="339" t="s">
        <v>757</v>
      </c>
    </row>
    <row r="17" spans="1:8">
      <c r="A17" s="335" t="s">
        <v>501</v>
      </c>
      <c r="B17" s="336" t="s">
        <v>798</v>
      </c>
      <c r="C17" s="335" t="s">
        <v>802</v>
      </c>
      <c r="D17" s="344" t="s">
        <v>803</v>
      </c>
      <c r="E17" s="337"/>
      <c r="F17" s="338" t="s">
        <v>755</v>
      </c>
      <c r="G17" s="338" t="s">
        <v>756</v>
      </c>
      <c r="H17" s="339" t="s">
        <v>757</v>
      </c>
    </row>
    <row r="18" spans="1:8">
      <c r="A18" s="340" t="s">
        <v>500</v>
      </c>
      <c r="B18" s="343" t="s">
        <v>393</v>
      </c>
      <c r="C18" s="340" t="s">
        <v>417</v>
      </c>
      <c r="D18" s="340" t="s">
        <v>365</v>
      </c>
      <c r="E18" s="337"/>
      <c r="F18" s="338" t="s">
        <v>755</v>
      </c>
      <c r="G18" s="338" t="s">
        <v>756</v>
      </c>
      <c r="H18" s="339" t="s">
        <v>757</v>
      </c>
    </row>
    <row r="19" spans="1:8" s="994" customFormat="1">
      <c r="A19" s="340" t="s">
        <v>943</v>
      </c>
      <c r="B19" s="343" t="s">
        <v>944</v>
      </c>
      <c r="C19" s="340" t="s">
        <v>945</v>
      </c>
      <c r="D19" s="340"/>
      <c r="E19" s="342" t="s">
        <v>946</v>
      </c>
      <c r="F19" s="338"/>
      <c r="G19" s="338"/>
      <c r="H19" s="339"/>
    </row>
    <row r="20" spans="1:8">
      <c r="A20" s="340" t="s">
        <v>186</v>
      </c>
      <c r="B20" s="739" t="s">
        <v>679</v>
      </c>
      <c r="C20" s="340" t="s">
        <v>418</v>
      </c>
      <c r="D20" s="340" t="s">
        <v>419</v>
      </c>
      <c r="E20" s="337"/>
      <c r="F20" s="338" t="s">
        <v>420</v>
      </c>
      <c r="G20" s="338" t="s">
        <v>421</v>
      </c>
      <c r="H20" s="339" t="s">
        <v>422</v>
      </c>
    </row>
    <row r="21" spans="1:8" s="11" customFormat="1">
      <c r="A21" s="999" t="s">
        <v>948</v>
      </c>
      <c r="B21" s="993" t="s">
        <v>949</v>
      </c>
      <c r="C21" s="999" t="s">
        <v>186</v>
      </c>
      <c r="D21" s="999" t="s">
        <v>950</v>
      </c>
      <c r="E21" s="337"/>
      <c r="F21" s="846" t="s">
        <v>765</v>
      </c>
      <c r="G21" s="846" t="s">
        <v>766</v>
      </c>
      <c r="H21" s="846" t="s">
        <v>767</v>
      </c>
    </row>
    <row r="22" spans="1:8">
      <c r="A22" s="340" t="s">
        <v>400</v>
      </c>
      <c r="B22" s="336" t="s">
        <v>798</v>
      </c>
      <c r="C22" s="340" t="s">
        <v>400</v>
      </c>
      <c r="D22" s="340" t="s">
        <v>799</v>
      </c>
      <c r="E22" s="337"/>
      <c r="F22" s="338" t="s">
        <v>813</v>
      </c>
      <c r="G22" s="338" t="s">
        <v>814</v>
      </c>
      <c r="H22" s="339" t="s">
        <v>815</v>
      </c>
    </row>
    <row r="23" spans="1:8">
      <c r="A23" s="841" t="s">
        <v>400</v>
      </c>
      <c r="B23" s="845" t="s">
        <v>800</v>
      </c>
      <c r="C23" s="841" t="s">
        <v>400</v>
      </c>
      <c r="D23" s="841" t="s">
        <v>801</v>
      </c>
      <c r="E23" s="842"/>
      <c r="F23" s="843" t="s">
        <v>816</v>
      </c>
      <c r="G23" s="843" t="s">
        <v>817</v>
      </c>
      <c r="H23" s="844" t="s">
        <v>818</v>
      </c>
    </row>
    <row r="24" spans="1:8">
      <c r="A24" s="340" t="s">
        <v>804</v>
      </c>
      <c r="B24" s="852" t="s">
        <v>809</v>
      </c>
      <c r="C24" s="340" t="s">
        <v>804</v>
      </c>
      <c r="D24" s="340" t="s">
        <v>805</v>
      </c>
      <c r="E24" s="337" t="s">
        <v>806</v>
      </c>
      <c r="F24" s="338" t="s">
        <v>819</v>
      </c>
      <c r="G24" s="338" t="s">
        <v>820</v>
      </c>
      <c r="H24" s="339" t="s">
        <v>821</v>
      </c>
    </row>
    <row r="25" spans="1:8">
      <c r="A25" s="335" t="s">
        <v>804</v>
      </c>
      <c r="B25" s="853" t="s">
        <v>809</v>
      </c>
      <c r="C25" s="335" t="s">
        <v>804</v>
      </c>
      <c r="D25" s="344" t="s">
        <v>807</v>
      </c>
      <c r="E25" s="337" t="s">
        <v>808</v>
      </c>
      <c r="F25" s="338" t="s">
        <v>819</v>
      </c>
      <c r="G25" s="338" t="s">
        <v>820</v>
      </c>
      <c r="H25" s="339" t="s">
        <v>821</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 ref="E19" r:id="rId6" xr:uid="{F885BC9E-A839-412C-A7CB-239DEF7AF821}"/>
  </hyperlinks>
  <pageMargins left="0.7" right="0.7" top="0.75" bottom="0.75" header="0.3" footer="0.3"/>
  <pageSetup paperSize="9" orientation="portrait" r:id="rId7"/>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9"/>
  <sheetViews>
    <sheetView topLeftCell="A52" workbookViewId="0">
      <selection activeCell="B69" sqref="B69:D6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17" t="s">
        <v>587</v>
      </c>
      <c r="B1" s="717" t="s">
        <v>588</v>
      </c>
      <c r="C1" s="717" t="s">
        <v>590</v>
      </c>
      <c r="D1" s="717" t="s">
        <v>589</v>
      </c>
    </row>
    <row r="2" spans="1:4">
      <c r="A2" t="s">
        <v>631</v>
      </c>
      <c r="B2" s="715">
        <v>41626</v>
      </c>
      <c r="C2" t="s">
        <v>632</v>
      </c>
      <c r="D2" s="716" t="s">
        <v>633</v>
      </c>
    </row>
    <row r="3" spans="1:4">
      <c r="A3" t="s">
        <v>634</v>
      </c>
      <c r="B3" s="715">
        <v>41646</v>
      </c>
      <c r="C3" t="s">
        <v>635</v>
      </c>
      <c r="D3" s="716" t="s">
        <v>636</v>
      </c>
    </row>
    <row r="4" spans="1:4">
      <c r="A4" t="s">
        <v>637</v>
      </c>
      <c r="B4" s="715">
        <v>41676</v>
      </c>
      <c r="C4" t="s">
        <v>638</v>
      </c>
      <c r="D4" s="716" t="s">
        <v>639</v>
      </c>
    </row>
    <row r="5" spans="1:4">
      <c r="A5" t="s">
        <v>637</v>
      </c>
      <c r="B5" s="715">
        <v>41676</v>
      </c>
      <c r="C5" t="s">
        <v>640</v>
      </c>
      <c r="D5" s="716" t="s">
        <v>641</v>
      </c>
    </row>
    <row r="6" spans="1:4" ht="17.25">
      <c r="A6" t="s">
        <v>637</v>
      </c>
      <c r="B6" s="715">
        <v>41676</v>
      </c>
      <c r="C6" t="s">
        <v>642</v>
      </c>
      <c r="D6" s="716" t="s">
        <v>643</v>
      </c>
    </row>
    <row r="7" spans="1:4">
      <c r="A7" t="s">
        <v>644</v>
      </c>
      <c r="B7" s="715">
        <v>41715</v>
      </c>
      <c r="C7" t="s">
        <v>645</v>
      </c>
      <c r="D7" s="730" t="s">
        <v>646</v>
      </c>
    </row>
    <row r="8" spans="1:4">
      <c r="A8" t="s">
        <v>644</v>
      </c>
      <c r="B8" s="715">
        <v>41715</v>
      </c>
      <c r="C8" t="s">
        <v>647</v>
      </c>
      <c r="D8" s="716" t="s">
        <v>648</v>
      </c>
    </row>
    <row r="9" spans="1:4">
      <c r="A9" t="s">
        <v>644</v>
      </c>
      <c r="B9" s="715">
        <v>41726</v>
      </c>
      <c r="C9" t="s">
        <v>649</v>
      </c>
      <c r="D9" s="730" t="s">
        <v>650</v>
      </c>
    </row>
    <row r="10" spans="1:4">
      <c r="A10" t="s">
        <v>651</v>
      </c>
      <c r="B10" s="715">
        <v>41759</v>
      </c>
      <c r="C10" t="s">
        <v>652</v>
      </c>
      <c r="D10" s="716" t="s">
        <v>653</v>
      </c>
    </row>
    <row r="11" spans="1:4">
      <c r="A11" t="s">
        <v>651</v>
      </c>
      <c r="B11" s="715">
        <v>41759</v>
      </c>
      <c r="C11" t="s">
        <v>654</v>
      </c>
      <c r="D11" s="716" t="s">
        <v>655</v>
      </c>
    </row>
    <row r="12" spans="1:4">
      <c r="A12" t="s">
        <v>656</v>
      </c>
      <c r="B12" s="715">
        <v>41772</v>
      </c>
      <c r="C12" t="s">
        <v>657</v>
      </c>
      <c r="D12" s="716" t="s">
        <v>658</v>
      </c>
    </row>
    <row r="13" spans="1:4">
      <c r="A13" t="s">
        <v>656</v>
      </c>
      <c r="B13" s="715">
        <v>41772</v>
      </c>
      <c r="C13" t="s">
        <v>659</v>
      </c>
      <c r="D13" s="716" t="s">
        <v>660</v>
      </c>
    </row>
    <row r="14" spans="1:4">
      <c r="A14" t="s">
        <v>656</v>
      </c>
      <c r="B14" s="715">
        <v>41772</v>
      </c>
      <c r="C14" t="s">
        <v>661</v>
      </c>
      <c r="D14" s="730" t="s">
        <v>662</v>
      </c>
    </row>
    <row r="15" spans="1:4">
      <c r="A15" t="s">
        <v>663</v>
      </c>
      <c r="B15" s="715">
        <v>41901</v>
      </c>
      <c r="C15" t="s">
        <v>606</v>
      </c>
      <c r="D15" s="730" t="s">
        <v>604</v>
      </c>
    </row>
    <row r="16" spans="1:4">
      <c r="A16" t="s">
        <v>663</v>
      </c>
      <c r="B16" s="715">
        <v>41901</v>
      </c>
      <c r="C16" t="s">
        <v>605</v>
      </c>
      <c r="D16" s="730" t="s">
        <v>607</v>
      </c>
    </row>
    <row r="17" spans="1:4">
      <c r="A17" t="s">
        <v>663</v>
      </c>
      <c r="B17" s="715">
        <v>41901</v>
      </c>
      <c r="C17" t="s">
        <v>611</v>
      </c>
      <c r="D17" s="716" t="s">
        <v>612</v>
      </c>
    </row>
    <row r="18" spans="1:4">
      <c r="A18" t="s">
        <v>663</v>
      </c>
      <c r="B18" s="715">
        <v>41901</v>
      </c>
      <c r="C18" t="s">
        <v>624</v>
      </c>
      <c r="D18" s="716" t="s">
        <v>623</v>
      </c>
    </row>
    <row r="19" spans="1:4">
      <c r="A19" t="s">
        <v>663</v>
      </c>
      <c r="B19" s="715">
        <v>41901</v>
      </c>
      <c r="C19" t="s">
        <v>624</v>
      </c>
      <c r="D19" s="716" t="s">
        <v>625</v>
      </c>
    </row>
    <row r="20" spans="1:4">
      <c r="A20" t="s">
        <v>663</v>
      </c>
      <c r="B20" s="715">
        <v>41901</v>
      </c>
      <c r="C20" t="s">
        <v>630</v>
      </c>
      <c r="D20" s="716" t="s">
        <v>629</v>
      </c>
    </row>
    <row r="21" spans="1:4">
      <c r="A21" t="s">
        <v>663</v>
      </c>
      <c r="B21" s="715">
        <v>41914</v>
      </c>
      <c r="C21" t="s">
        <v>687</v>
      </c>
      <c r="D21" s="730" t="s">
        <v>681</v>
      </c>
    </row>
    <row r="22" spans="1:4">
      <c r="A22" t="s">
        <v>663</v>
      </c>
      <c r="B22" s="715">
        <v>41914</v>
      </c>
      <c r="C22" t="s">
        <v>688</v>
      </c>
      <c r="D22" s="730" t="s">
        <v>682</v>
      </c>
    </row>
    <row r="23" spans="1:4">
      <c r="A23" t="s">
        <v>663</v>
      </c>
      <c r="B23" s="715">
        <v>41914</v>
      </c>
      <c r="C23" t="s">
        <v>689</v>
      </c>
      <c r="D23" s="730" t="s">
        <v>683</v>
      </c>
    </row>
    <row r="24" spans="1:4">
      <c r="A24" t="s">
        <v>663</v>
      </c>
      <c r="B24" s="715">
        <v>41914</v>
      </c>
      <c r="C24" t="s">
        <v>690</v>
      </c>
      <c r="D24" s="730" t="s">
        <v>684</v>
      </c>
    </row>
    <row r="25" spans="1:4">
      <c r="A25" t="s">
        <v>663</v>
      </c>
      <c r="B25" s="715">
        <v>41914</v>
      </c>
      <c r="C25" t="s">
        <v>702</v>
      </c>
      <c r="D25" s="730" t="s">
        <v>685</v>
      </c>
    </row>
    <row r="26" spans="1:4">
      <c r="A26" t="s">
        <v>663</v>
      </c>
      <c r="B26" s="715">
        <v>41914</v>
      </c>
      <c r="C26" t="s">
        <v>698</v>
      </c>
      <c r="D26" s="716" t="s">
        <v>701</v>
      </c>
    </row>
    <row r="27" spans="1:4">
      <c r="A27" t="s">
        <v>663</v>
      </c>
      <c r="B27" s="715">
        <v>41914</v>
      </c>
      <c r="C27" t="s">
        <v>692</v>
      </c>
      <c r="D27" s="730" t="s">
        <v>691</v>
      </c>
    </row>
    <row r="28" spans="1:4">
      <c r="A28" t="s">
        <v>663</v>
      </c>
      <c r="B28" s="715">
        <v>41914</v>
      </c>
      <c r="C28" t="s">
        <v>703</v>
      </c>
      <c r="D28" s="730" t="s">
        <v>693</v>
      </c>
    </row>
    <row r="29" spans="1:4">
      <c r="A29" t="s">
        <v>663</v>
      </c>
      <c r="B29" s="715">
        <v>41914</v>
      </c>
      <c r="C29" t="s">
        <v>696</v>
      </c>
      <c r="D29" s="730" t="s">
        <v>697</v>
      </c>
    </row>
    <row r="30" spans="1:4">
      <c r="A30" t="s">
        <v>663</v>
      </c>
      <c r="B30" s="715">
        <v>41914</v>
      </c>
      <c r="C30" t="s">
        <v>694</v>
      </c>
      <c r="D30" s="730" t="s">
        <v>695</v>
      </c>
    </row>
    <row r="31" spans="1:4">
      <c r="A31" t="s">
        <v>663</v>
      </c>
      <c r="B31" s="715">
        <v>41914</v>
      </c>
      <c r="C31" t="s">
        <v>699</v>
      </c>
      <c r="D31" s="716" t="s">
        <v>700</v>
      </c>
    </row>
    <row r="32" spans="1:4">
      <c r="A32" t="s">
        <v>663</v>
      </c>
      <c r="B32" s="715">
        <v>41925</v>
      </c>
      <c r="C32" t="s">
        <v>705</v>
      </c>
      <c r="D32" s="730" t="s">
        <v>706</v>
      </c>
    </row>
    <row r="33" spans="1:4">
      <c r="A33" t="s">
        <v>663</v>
      </c>
      <c r="B33" s="715">
        <v>41967</v>
      </c>
      <c r="C33" t="s">
        <v>708</v>
      </c>
      <c r="D33" s="716" t="s">
        <v>709</v>
      </c>
    </row>
    <row r="34" spans="1:4">
      <c r="A34" t="s">
        <v>710</v>
      </c>
      <c r="B34" s="715">
        <v>42275</v>
      </c>
      <c r="C34" t="s">
        <v>712</v>
      </c>
      <c r="D34" s="716" t="s">
        <v>717</v>
      </c>
    </row>
    <row r="35" spans="1:4">
      <c r="A35" t="s">
        <v>710</v>
      </c>
      <c r="B35" s="715">
        <v>42275</v>
      </c>
      <c r="C35" t="s">
        <v>713</v>
      </c>
      <c r="D35" s="716" t="s">
        <v>718</v>
      </c>
    </row>
    <row r="36" spans="1:4">
      <c r="A36" t="s">
        <v>710</v>
      </c>
      <c r="B36" s="715">
        <v>42283</v>
      </c>
      <c r="C36" t="s">
        <v>714</v>
      </c>
      <c r="D36" s="716" t="s">
        <v>715</v>
      </c>
    </row>
    <row r="37" spans="1:4">
      <c r="A37" t="s">
        <v>726</v>
      </c>
      <c r="B37" s="831">
        <v>42538</v>
      </c>
      <c r="C37" s="831" t="s">
        <v>719</v>
      </c>
      <c r="D37" s="831"/>
    </row>
    <row r="38" spans="1:4">
      <c r="A38" t="s">
        <v>726</v>
      </c>
      <c r="B38" s="831">
        <v>42538</v>
      </c>
      <c r="C38" s="831" t="s">
        <v>720</v>
      </c>
      <c r="D38" s="832" t="s">
        <v>721</v>
      </c>
    </row>
    <row r="39" spans="1:4">
      <c r="A39" t="s">
        <v>726</v>
      </c>
      <c r="B39" s="831">
        <v>42538</v>
      </c>
      <c r="C39" s="831" t="s">
        <v>722</v>
      </c>
      <c r="D39" s="833" t="s">
        <v>723</v>
      </c>
    </row>
    <row r="40" spans="1:4">
      <c r="A40" t="s">
        <v>726</v>
      </c>
      <c r="B40" s="831">
        <v>42538</v>
      </c>
      <c r="C40" s="831" t="s">
        <v>724</v>
      </c>
      <c r="D40" s="832" t="s">
        <v>725</v>
      </c>
    </row>
    <row r="41" spans="1:4">
      <c r="A41" t="s">
        <v>745</v>
      </c>
      <c r="B41" s="831">
        <v>42585</v>
      </c>
      <c r="C41" t="s">
        <v>711</v>
      </c>
      <c r="D41" s="716" t="s">
        <v>716</v>
      </c>
    </row>
    <row r="42" spans="1:4">
      <c r="A42" t="s">
        <v>747</v>
      </c>
      <c r="B42" s="831">
        <v>42877</v>
      </c>
      <c r="C42" s="831" t="s">
        <v>795</v>
      </c>
      <c r="D42" s="716" t="s">
        <v>700</v>
      </c>
    </row>
    <row r="43" spans="1:4">
      <c r="A43" t="s">
        <v>747</v>
      </c>
      <c r="B43" s="831">
        <v>42877</v>
      </c>
      <c r="C43" s="831" t="s">
        <v>796</v>
      </c>
      <c r="D43" s="730" t="s">
        <v>748</v>
      </c>
    </row>
    <row r="44" spans="1:4">
      <c r="A44" t="s">
        <v>747</v>
      </c>
      <c r="B44" s="831">
        <v>42877</v>
      </c>
      <c r="C44" s="831" t="s">
        <v>797</v>
      </c>
      <c r="D44" s="730" t="s">
        <v>749</v>
      </c>
    </row>
    <row r="45" spans="1:4">
      <c r="A45" t="s">
        <v>779</v>
      </c>
      <c r="B45" s="831">
        <v>43165</v>
      </c>
      <c r="C45" s="831" t="s">
        <v>780</v>
      </c>
      <c r="D45" s="730" t="s">
        <v>781</v>
      </c>
    </row>
    <row r="46" spans="1:4">
      <c r="A46" t="s">
        <v>779</v>
      </c>
      <c r="B46" s="831">
        <v>43165</v>
      </c>
      <c r="C46" s="831" t="s">
        <v>782</v>
      </c>
      <c r="D46" s="716" t="s">
        <v>783</v>
      </c>
    </row>
    <row r="47" spans="1:4">
      <c r="A47" t="s">
        <v>779</v>
      </c>
      <c r="B47" s="831">
        <v>43165</v>
      </c>
      <c r="C47" s="831" t="s">
        <v>784</v>
      </c>
      <c r="D47" s="716" t="s">
        <v>785</v>
      </c>
    </row>
    <row r="48" spans="1:4">
      <c r="A48" t="s">
        <v>779</v>
      </c>
      <c r="B48" s="831">
        <v>43165</v>
      </c>
      <c r="C48" s="831" t="s">
        <v>786</v>
      </c>
      <c r="D48" s="716" t="s">
        <v>787</v>
      </c>
    </row>
    <row r="49" spans="1:4">
      <c r="A49" t="s">
        <v>779</v>
      </c>
      <c r="B49" s="831">
        <v>43278</v>
      </c>
      <c r="C49" s="831" t="s">
        <v>822</v>
      </c>
      <c r="D49" s="730"/>
    </row>
    <row r="50" spans="1:4">
      <c r="A50" t="s">
        <v>856</v>
      </c>
      <c r="B50" s="831">
        <v>43424</v>
      </c>
      <c r="C50" s="831" t="s">
        <v>857</v>
      </c>
    </row>
    <row r="51" spans="1:4">
      <c r="A51" t="s">
        <v>869</v>
      </c>
      <c r="B51" s="831">
        <v>43573</v>
      </c>
      <c r="C51" s="831" t="s">
        <v>870</v>
      </c>
    </row>
    <row r="52" spans="1:4">
      <c r="A52" t="s">
        <v>892</v>
      </c>
      <c r="B52" s="831">
        <v>43678</v>
      </c>
      <c r="C52" s="831" t="s">
        <v>891</v>
      </c>
      <c r="D52" s="716" t="s">
        <v>709</v>
      </c>
    </row>
    <row r="53" spans="1:4">
      <c r="A53" t="s">
        <v>893</v>
      </c>
      <c r="B53" s="988">
        <v>43930</v>
      </c>
      <c r="C53" s="985" t="s">
        <v>895</v>
      </c>
      <c r="D53" s="987" t="s">
        <v>650</v>
      </c>
    </row>
    <row r="54" spans="1:4">
      <c r="A54" t="s">
        <v>893</v>
      </c>
      <c r="B54" s="988">
        <v>43930</v>
      </c>
      <c r="C54" s="985" t="s">
        <v>894</v>
      </c>
      <c r="D54" s="987" t="s">
        <v>650</v>
      </c>
    </row>
    <row r="55" spans="1:4">
      <c r="A55" s="985" t="s">
        <v>893</v>
      </c>
      <c r="B55" s="988">
        <v>43943</v>
      </c>
      <c r="C55" s="985" t="s">
        <v>897</v>
      </c>
      <c r="D55" s="986" t="s">
        <v>700</v>
      </c>
    </row>
    <row r="56" spans="1:4">
      <c r="A56" s="985" t="s">
        <v>893</v>
      </c>
      <c r="B56" s="988">
        <v>43943</v>
      </c>
      <c r="C56" s="985" t="s">
        <v>898</v>
      </c>
      <c r="D56" s="987" t="s">
        <v>748</v>
      </c>
    </row>
    <row r="57" spans="1:4">
      <c r="A57" s="985" t="s">
        <v>893</v>
      </c>
      <c r="B57" s="988">
        <v>43943</v>
      </c>
      <c r="C57" s="985" t="s">
        <v>899</v>
      </c>
      <c r="D57" s="987" t="s">
        <v>749</v>
      </c>
    </row>
    <row r="58" spans="1:4">
      <c r="A58" s="985" t="s">
        <v>893</v>
      </c>
      <c r="B58" s="988">
        <v>43943</v>
      </c>
      <c r="C58" s="985" t="s">
        <v>900</v>
      </c>
      <c r="D58" s="987" t="s">
        <v>901</v>
      </c>
    </row>
    <row r="59" spans="1:4">
      <c r="A59" t="s">
        <v>893</v>
      </c>
      <c r="B59" s="988">
        <v>43951</v>
      </c>
      <c r="C59" t="s">
        <v>902</v>
      </c>
      <c r="D59" s="987" t="s">
        <v>903</v>
      </c>
    </row>
    <row r="60" spans="1:4">
      <c r="A60" t="s">
        <v>905</v>
      </c>
      <c r="B60" s="988">
        <v>44315</v>
      </c>
      <c r="C60" t="s">
        <v>906</v>
      </c>
      <c r="D60" s="986" t="s">
        <v>716</v>
      </c>
    </row>
    <row r="61" spans="1:4">
      <c r="A61" s="994" t="s">
        <v>905</v>
      </c>
      <c r="B61" s="996">
        <v>44326</v>
      </c>
      <c r="C61" t="s">
        <v>918</v>
      </c>
      <c r="D61" s="997" t="s">
        <v>922</v>
      </c>
    </row>
    <row r="62" spans="1:4">
      <c r="A62" s="994" t="s">
        <v>905</v>
      </c>
      <c r="B62" s="996">
        <v>44326</v>
      </c>
      <c r="C62" t="s">
        <v>919</v>
      </c>
      <c r="D62" s="997" t="s">
        <v>923</v>
      </c>
    </row>
    <row r="63" spans="1:4">
      <c r="A63" s="994" t="s">
        <v>905</v>
      </c>
      <c r="B63" s="996">
        <v>44326</v>
      </c>
      <c r="C63" t="s">
        <v>920</v>
      </c>
      <c r="D63" s="997" t="s">
        <v>748</v>
      </c>
    </row>
    <row r="64" spans="1:4">
      <c r="A64" s="994" t="s">
        <v>905</v>
      </c>
      <c r="B64" s="996">
        <v>44326</v>
      </c>
      <c r="C64" t="s">
        <v>921</v>
      </c>
      <c r="D64" s="998" t="s">
        <v>700</v>
      </c>
    </row>
    <row r="65" spans="1:4">
      <c r="A65" t="s">
        <v>939</v>
      </c>
      <c r="B65" s="996">
        <v>44571</v>
      </c>
      <c r="C65" t="s">
        <v>940</v>
      </c>
      <c r="D65" s="998" t="s">
        <v>717</v>
      </c>
    </row>
    <row r="66" spans="1:4">
      <c r="A66" t="s">
        <v>939</v>
      </c>
      <c r="B66" s="996">
        <v>44699</v>
      </c>
      <c r="C66" t="s">
        <v>942</v>
      </c>
    </row>
    <row r="67" spans="1:4">
      <c r="A67" s="994" t="s">
        <v>939</v>
      </c>
      <c r="B67" s="715">
        <v>44768</v>
      </c>
      <c r="C67" s="1003" t="s">
        <v>951</v>
      </c>
      <c r="D67" s="997" t="s">
        <v>748</v>
      </c>
    </row>
    <row r="68" spans="1:4">
      <c r="A68" s="994" t="s">
        <v>939</v>
      </c>
      <c r="B68" s="715">
        <v>44768</v>
      </c>
      <c r="C68" s="1003" t="s">
        <v>952</v>
      </c>
      <c r="D68" s="998" t="s">
        <v>700</v>
      </c>
    </row>
    <row r="69" spans="1:4">
      <c r="A69" s="994" t="s">
        <v>939</v>
      </c>
      <c r="B69" s="715">
        <v>44768</v>
      </c>
      <c r="C69" s="715" t="s">
        <v>955</v>
      </c>
      <c r="D69" s="998" t="s">
        <v>956</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 ref="D65" location="'ha_N2O bodem landbouw'!A1" display="'ha_N2O bodem landbouw'!A1" xr:uid="{BF51712D-E968-4EC8-8143-2FA7A76098B5}"/>
    <hyperlink ref="D68" location="'ECF transport '!A1" display="'ECF transport '!A1" xr:uid="{A4A6A67B-F13B-4FBE-AFA1-A0D138E08BD9}"/>
    <hyperlink ref="D67" location="transport!A21" display="transport!A21" xr:uid="{CB8992AE-4819-4E13-A5E3-3BA3FFD41FD9}"/>
    <hyperlink ref="D69" location="'lokale energieproductie'!X27" display="lokale energieproductie'!X27" xr:uid="{4E16955C-181D-49DE-BC30-06FA5F31A36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2022-07-26T13:08:52Z</dcterms:modified>
</cp:coreProperties>
</file>