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51698CFA-4CB3-4CE0-B30B-45226AE27A5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<sst xmlns="http://schemas.openxmlformats.org/spreadsheetml/2006/main" count="2513" uniqueCount="962">
  <si>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</si>
  <si>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</si>
  <si>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</si>
  <si>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</si>
  <si>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</si>
  <si>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</si>
  <si>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</si>
  <si>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</si>
  <si>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</si>
  <si>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</si>
  <si>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</si>
  <si>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</si>
  <si>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</si>
  <si>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</si>
  <si>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</si>
  <si>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</si>
  <si>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</si>
  <si>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</si>
  <si>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</si>
  <si>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</si>
  <si>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</si>
  <si>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</si>
  <si>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</si>
  <si>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</si>
  <si>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</si>
  <si>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</si>
  <si>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</si>
  <si>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</si>
  <si>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</si>
  <si>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</si>
  <si>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</si>
  <si>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</si>
  <si>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</si>
  <si>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</si>
  <si>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</si>
  <si>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</si>
  <si>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</si>
  <si>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</si>
  <si>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</si>
  <si>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</si>
  <si>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</si>
  <si>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</si>
  <si>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</si>
  <si>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</si>
  <si>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</si>
  <si>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</si>
  <si>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</si>
  <si>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</si>
  <si>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</si>
  <si>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</si>
  <si>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</si>
  <si>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</si>
  <si>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</si>
  <si>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</si>
  <si>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</si>
  <si>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</si>
  <si>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</si>
  <si>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</si>
  <si>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</si>
  <si>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</si>
  <si>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</si>
  <si>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</si>
  <si>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</si>
  <si>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</si>
  <si>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</si>
  <si>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</si>
  <si>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</si>
  <si>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</si>
  <si>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</si>
  <si>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</si>
  <si>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</si>
  <si>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</si>
  <si>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</si>
  <si>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</si>
  <si>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</si>
  <si>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</si>
  <si>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</si>
  <si>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</si>
  <si>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</si>
  <si>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</si>
  <si>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</si>
  <si>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</si>
  <si>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</si>
  <si>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</si>
  <si>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</si>
  <si>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</si>
  <si>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</si>
  <si>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</si>
  <si>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</si>
  <si>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</si>
  <si>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</si>
  <si>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</si>
  <si>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</si>
  <si>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</si>
  <si>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</si>
  <si>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</si>
  <si>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</si>
  <si>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</si>
  <si>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</si>
  <si>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</si>
  <si>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</si>
  <si>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</si>
  <si>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</si>
  <si>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</si>
  <si>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</si>
  <si>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</si>
  <si>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</si>
  <si>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</si>
  <si>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</si>
  <si>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</si>
  <si>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</si>
  <si>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</si>
  <si>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</si>
  <si>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</si>
  <si>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</si>
  <si>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</si>
  <si>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</si>
  <si>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</si>
  <si>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</si>
  <si>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</si>
  <si>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</si>
  <si>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</si>
  <si>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</si>
  <si>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</si>
  <si>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</si>
  <si>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</si>
  <si>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</si>
  <si>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</si>
  <si>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</si>
  <si>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</si>
  <si>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</si>
  <si>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</si>
  <si>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</si>
  <si>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</si>
  <si>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</si>
  <si>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</si>
  <si>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</si>
  <si>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</si>
  <si>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</si>
  <si>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</si>
  <si>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</si>
  <si>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</si>
  <si>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</si>
  <si>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</si>
  <si>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</si>
  <si>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</si>
  <si>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</si>
  <si>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</si>
  <si>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</si>
  <si>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</si>
  <si>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</si>
  <si>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</si>
  <si>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</si>
  <si>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</si>
  <si>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</si>
  <si>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</si>
  <si>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</si>
  <si>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</si>
  <si>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</si>
  <si>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</si>
  <si>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</si>
  <si>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</si>
  <si>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</si>
  <si>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</si>
  <si>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</si>
  <si>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</si>
  <si>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</si>
  <si>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</si>
  <si>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</si>
  <si>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</si>
  <si>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</si>
  <si>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</si>
  <si>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</si>
  <si>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</si>
  <si>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</si>
  <si>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</si>
  <si>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</si>
  <si>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</si>
  <si>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</si>
  <si>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</si>
  <si>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</si>
  <si>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</si>
  <si>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</si>
  <si>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</si>
  <si>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</si>
  <si>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</si>
  <si>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</si>
  <si>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</si>
  <si>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</si>
  <si>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</si>
  <si>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</si>
  <si>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</si>
  <si>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</si>
  <si>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</si>
  <si>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</si>
  <si>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</si>
  <si>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</si>
  <si>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</si>
  <si>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</si>
  <si>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</si>
  <si>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</si>
  <si>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</si>
  <si>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</si>
  <si>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</si>
  <si>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</si>
  <si>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</si>
  <si>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</si>
  <si>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</si>
  <si>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</si>
  <si>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</si>
  <si>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</si>
  <si>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</si>
  <si>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</si>
  <si>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</si>
  <si>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</si>
  <si>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</si>
  <si>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</si>
  <si>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</si>
  <si>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</si>
  <si>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</si>
  <si>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</si>
  <si>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</si>
  <si>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</si>
  <si>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</si>
  <si>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</si>
  <si>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</si>
  <si>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</si>
  <si>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</si>
  <si>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</si>
  <si>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</si>
  <si>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</si>
  <si>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</si>
  <si>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</si>
  <si>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</si>
  <si>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</si>
  <si>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</si>
  <si>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</si>
  <si>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</si>
  <si>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</si>
  <si>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</si>
  <si>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</si>
  <si>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</si>
  <si>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</si>
  <si>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</si>
  <si>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</si>
  <si>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</si>
  <si>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</si>
  <si>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</si>
  <si>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</si>
  <si>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</si>
  <si>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</si>
  <si>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</si>
  <si>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</si>
  <si>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</si>
  <si>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</si>
  <si>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</si>
  <si>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</si>
  <si>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</si>
  <si>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</si>
  <si>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</si>
  <si>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</si>
  <si>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</si>
  <si>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</si>
  <si>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</si>
  <si>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</si>
  <si>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</si>
  <si>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</si>
  <si>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</si>
  <si>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</si>
  <si>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</si>
  <si>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</si>
  <si>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</si>
  <si>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</si>
  <si>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</si>
  <si>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</si>
  <si>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</si>
  <si>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</si>
  <si>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</si>
  <si>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</si>
  <si>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</si>
  <si>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</si>
  <si>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</si>
  <si>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</si>
  <si>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</si>
  <si>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</si>
  <si>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</si>
  <si>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</si>
  <si>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</si>
  <si>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</si>
  <si>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</si>
  <si>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</si>
  <si>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</si>
  <si>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</si>
  <si>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</si>
  <si>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</si>
  <si>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</si>
  <si>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</si>
  <si>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</si>
  <si>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</si>
  <si>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</si>
  <si>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</si>
  <si>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</si>
  <si>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</si>
  <si>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</si>
  <si>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</si>
  <si>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</si>
  <si>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</si>
  <si>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</si>
  <si>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</si>
  <si>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</si>
  <si>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</si>
  <si>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</si>
  <si>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</si>
  <si>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</si>
  <si>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</si>
  <si>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</si>
  <si>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</si>
  <si>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</si>
  <si>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</si>
  <si>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</si>
  <si>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</si>
  <si>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</si>
  <si>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</si>
  <si>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</si>
  <si>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</si>
  <si>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</si>
  <si>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</si>
  <si>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</si>
  <si>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</si>
  <si>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</si>
  <si>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</si>
  <si>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</si>
  <si>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</si>
  <si>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</si>
  <si>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</si>
  <si>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</si>
  <si>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</si>
  <si>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</si>
  <si>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</si>
  <si>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</si>
  <si>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</si>
  <si>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</si>
  <si>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</si>
  <si>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</si>
  <si>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</si>
  <si>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</si>
  <si>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</si>
  <si>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</si>
  <si>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</si>
  <si>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</si>
  <si>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</si>
  <si>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</si>
  <si>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</si>
  <si>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</si>
  <si>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</si>
  <si>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</si>
  <si>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</si>
  <si>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</si>
  <si>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</si>
  <si>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</si>
  <si>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</si>
  <si>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</si>
  <si>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</si>
  <si>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</si>
  <si>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</si>
  <si>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</si>
  <si>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</si>
  <si>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</si>
  <si>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</si>
  <si>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</si>
  <si>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</si>
  <si>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</si>
  <si>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</si>
  <si>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</si>
  <si>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</si>
  <si>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</si>
  <si>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</si>
  <si>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</si>
  <si>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</si>
  <si>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</si>
  <si>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</si>
  <si>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</si>
  <si>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</si>
  <si>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</si>
  <si>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</si>
  <si>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</si>
  <si>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</si>
  <si>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</si>
  <si>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</si>
  <si>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</si>
  <si>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</si>
  <si>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</si>
  <si>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</si>
  <si>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</si>
  <si>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</si>
  <si>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</si>
  <si>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</si>
  <si>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</si>
  <si>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</si>
  <si>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</si>
  <si>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</si>
  <si>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</si>
  <si>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</si>
  <si>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</si>
  <si>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</si>
  <si>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</si>
  <si>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</si>
  <si>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</si>
  <si>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</si>
  <si>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</si>
  <si>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</si>
  <si>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</si>
  <si>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</si>
  <si>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</si>
  <si>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</si>
  <si>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</si>
  <si>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</si>
  <si>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</si>
  <si>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</si>
  <si>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</si>
  <si>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</si>
  <si>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</si>
  <si>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</si>
  <si>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</si>
  <si>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</si>
  <si>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</si>
  <si>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</si>
  <si>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</si>
  <si>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</si>
  <si>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</si>
  <si>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</si>
  <si>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</si>
  <si>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</si>
  <si>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</si>
  <si>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</si>
  <si>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</si>
  <si>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</si>
  <si>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</si>
  <si>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</si>
  <si>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</si>
  <si>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</si>
  <si>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</si>
  <si>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</si>
  <si>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</si>
  <si>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</si>
  <si>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</si>
  <si>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</si>
  <si>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</si>
  <si>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</si>
  <si>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</si>
  <si>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</si>
  <si>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</si>
  <si>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</si>
  <si>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</si>
  <si>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</si>
  <si>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</si>
  <si>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</si>
  <si>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</si>
  <si>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</si>
  <si>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</si>
  <si>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</si>
  <si>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</si>
  <si>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</si>
  <si>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</si>
  <si>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</si>
  <si>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</si>
  <si>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</si>
  <si>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</si>
  <si>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</si>
  <si>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</si>
  <si>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</si>
  <si>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</si>
  <si>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</si>
  <si>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</si>
  <si>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</si>
  <si>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</si>
  <si>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</si>
  <si>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</si>
  <si>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</si>
  <si>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</si>
  <si>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</si>
  <si>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</si>
  <si>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</si>
  <si>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</si>
  <si>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</si>
  <si>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</si>
  <si>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</si>
  <si>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</si>
  <si>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</si>
  <si>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</si>
  <si>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</si>
  <si>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</si>
  <si>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</si>
  <si>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</si>
  <si>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</si>
  <si>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</si>
  <si>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</si>
  <si>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</si>
  <si>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</si>
  <si>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</si>
  <si>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</si>
  <si>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</si>
  <si>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</si>
  <si>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</si>
  <si>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</si>
  <si>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</si>
  <si>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</si>
  <si>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</si>
  <si>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</si>
  <si>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</si>
  <si>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</si>
  <si>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</si>
  <si>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</si>
  <si>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</si>
  <si>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</si>
  <si>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</si>
  <si>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</si>
  <si>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</si>
  <si>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</si>
  <si>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</si>
  <si>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</si>
  <si>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</si>
  <si>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</si>
  <si>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</si>
  <si>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</si>
  <si>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</si>
  <si>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</si>
  <si>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</si>
  <si>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</si>
  <si>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</si>
  <si>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</si>
  <si>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</si>
  <si>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</si>
  <si>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</si>
  <si>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</si>
  <si>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</si>
  <si>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</si>
  <si>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</si>
  <si>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</si>
  <si>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</si>
  <si>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</si>
  <si>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</si>
  <si>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</si>
  <si>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</si>
  <si>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</si>
  <si>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</si>
  <si>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</si>
  <si>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</si>
  <si>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</si>
  <si>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</si>
  <si>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</si>
  <si>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</si>
  <si>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</si>
  <si>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</si>
  <si>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</si>
  <si>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</si>
  <si>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</si>
  <si>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</si>
  <si>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</si>
  <si>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</si>
  <si>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</si>
  <si>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</si>
  <si>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</si>
  <si>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</si>
  <si>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</si>
  <si>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</si>
  <si>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</si>
  <si>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</si>
  <si>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</si>
  <si>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</si>
  <si>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</si>
  <si>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</si>
  <si>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</si>
  <si>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</si>
  <si>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</si>
  <si>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</si>
  <si>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</si>
  <si>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</si>
  <si>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</si>
  <si>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</si>
  <si>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</si>
  <si>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</si>
  <si>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</si>
  <si>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</si>
  <si>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</si>
  <si>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</si>
  <si>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</si>
  <si>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</si>
  <si>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</si>
  <si>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</si>
  <si>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</si>
  <si>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</si>
  <si>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</si>
  <si>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</si>
  <si>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</si>
  <si>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</si>
  <si>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</si>
  <si>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</si>
  <si>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</si>
  <si>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</si>
  <si>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</si>
  <si>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</si>
  <si>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</si>
  <si>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</si>
  <si>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</si>
  <si>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</si>
  <si>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</si>
  <si>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</si>
  <si>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</si>
  <si>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</si>
  <si>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</si>
  <si>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</si>
  <si>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</si>
  <si>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</si>
  <si>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</si>
  <si>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</si>
  <si>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</si>
  <si>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</si>
  <si>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</si>
  <si>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</si>
  <si>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</si>
  <si>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</si>
  <si>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</si>
  <si>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</si>
  <si>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</si>
  <si>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</si>
  <si>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</si>
  <si>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</si>
  <si>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</si>
  <si>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</si>
  <si>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</si>
  <si>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</si>
  <si>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</si>
  <si>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</si>
  <si>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</si>
  <si>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</si>
  <si>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</si>
  <si>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</si>
  <si>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</si>
  <si>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</si>
  <si>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</si>
  <si>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</si>
  <si>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</si>
  <si>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</si>
  <si>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</si>
  <si>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</si>
  <si>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</si>
  <si>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</si>
  <si>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</si>
  <si>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</si>
  <si>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</si>
  <si>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</si>
  <si>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</si>
  <si>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</si>
  <si>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</si>
  <si>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</si>
  <si>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</si>
  <si>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</si>
  <si>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</si>
  <si>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</si>
  <si>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</si>
  <si>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</si>
  <si>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</si>
  <si>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</si>
  <si>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</si>
  <si>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</si>
  <si>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</si>
  <si>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</si>
  <si>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</si>
  <si>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</si>
  <si>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</si>
  <si>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</si>
  <si>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</si>
  <si>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</si>
  <si>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</si>
  <si>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</si>
  <si>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</si>
  <si>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</si>
  <si>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</si>
  <si>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</si>
  <si>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</si>
  <si>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</si>
  <si>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</si>
  <si>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</si>
  <si>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</si>
  <si>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</si>
  <si>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</si>
  <si>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</si>
  <si>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</si>
  <si>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</si>
  <si>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</si>
  <si>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</si>
  <si>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</si>
  <si>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</si>
  <si>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</si>
  <si>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</si>
  <si>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</si>
  <si>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</si>
  <si>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</si>
  <si>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</si>
  <si>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</si>
  <si>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</si>
  <si>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</si>
  <si>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</si>
  <si>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</si>
  <si>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</si>
  <si>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</si>
  <si>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</si>
  <si>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</si>
  <si>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</si>
  <si>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</si>
  <si>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</si>
  <si>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</si>
  <si>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</si>
  <si>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</si>
  <si>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</si>
  <si>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</si>
  <si>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</si>
  <si>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</si>
  <si>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</si>
  <si>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</si>
  <si>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</si>
  <si>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</si>
  <si>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</si>
  <si>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</si>
  <si>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</si>
  <si>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</si>
  <si>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</si>
  <si>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</si>
  <si>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</si>
  <si>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</si>
  <si>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</si>
  <si>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</si>
  <si>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</si>
  <si>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</si>
  <si>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</si>
  <si>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</si>
  <si>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</si>
  <si>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</si>
  <si>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</si>
  <si>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</si>
  <si>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</si>
  <si>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</si>
  <si>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</si>
  <si>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</si>
  <si>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</si>
  <si>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</si>
  <si>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</si>
  <si>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</si>
  <si>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</si>
  <si>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</si>
  <si>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</si>
  <si>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</si>
  <si>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</si>
  <si>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</si>
  <si>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</si>
  <si>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</si>
  <si>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</si>
  <si>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</si>
  <si>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</si>
  <si>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</si>
  <si>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</si>
  <si>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</si>
  <si>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</si>
  <si>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</si>
  <si>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</si>
  <si>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</si>
  <si>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</si>
  <si>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</si>
  <si>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</si>
  <si>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</si>
  <si>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</si>
  <si>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</si>
  <si>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</si>
  <si>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</si>
  <si>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</si>
  <si>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</si>
  <si>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</si>
  <si>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</si>
  <si>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</si>
  <si>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</si>
  <si>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</si>
  <si>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</si>
  <si>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</si>
  <si>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</si>
  <si>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</si>
  <si>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</si>
  <si>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</si>
  <si>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</si>
  <si>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</si>
  <si>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</si>
  <si>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</si>
  <si>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</si>
  <si>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</si>
  <si>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</si>
  <si>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</si>
  <si>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</si>
  <si>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</si>
  <si>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</si>
  <si>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</si>
  <si>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</si>
  <si>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</si>
  <si>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</si>
  <si>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</si>
  <si>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</si>
  <si>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</si>
  <si>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</si>
  <si>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</si>
  <si>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</si>
  <si>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</si>
  <si>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</si>
  <si>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</si>
  <si>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</si>
  <si>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</si>
  <si>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</si>
  <si>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</si>
  <si>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</si>
  <si>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</si>
  <si>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</si>
  <si>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</si>
  <si>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</si>
  <si>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</si>
  <si>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</si>
  <si>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</si>
  <si>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</si>
  <si>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</si>
  <si>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</si>
  <si>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</si>
  <si>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</si>
  <si>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</si>
  <si>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</si>
  <si>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</si>
  <si>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</si>
  <si>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</si>
  <si>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</si>
  <si>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</si>
  <si>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</si>
  <si>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</si>
  <si>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</si>
  <si>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</si>
  <si>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</si>
  <si>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</si>
  <si>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</si>
  <si>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</si>
  <si>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</si>
  <si>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</si>
  <si>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</si>
  <si>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</si>
  <si>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</si>
  <si>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</si>
  <si>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</si>
  <si>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</si>
  <si>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</si>
  <si>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</si>
  <si>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</si>
  <si>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</si>
  <si>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</si>
  <si>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</si>
  <si>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</si>
  <si>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</si>
  <si>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</si>
  <si>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</si>
  <si>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</si>
  <si>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</si>
  <si>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</si>
  <si>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</si>
  <si>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</si>
  <si>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</si>
  <si>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</si>
  <si>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</si>
  <si>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</si>
  <si>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</si>
  <si>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</si>
  <si>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</si>
  <si>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</si>
  <si>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</si>
  <si>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</si>
  <si>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</si>
  <si>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</si>
  <si>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</si>
  <si>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</si>
  <si>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</si>
  <si>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</si>
  <si>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</si>
  <si>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</si>
  <si>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</si>
  <si>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</si>
  <si>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</si>
  <si>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</si>
  <si>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</si>
  <si>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</si>
  <si>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</si>
  <si>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</si>
  <si>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</si>
  <si>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</si>
  <si>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</si>
  <si>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</si>
  <si>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</si>
  <si>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</si>
  <si>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</si>
  <si>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</si>
  <si>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</si>
  <si>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</si>
  <si>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</si>
  <si>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</si>
  <si>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</si>
  <si>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</si>
  <si>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</si>
  <si>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</si>
  <si>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</si>
  <si>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</si>
  <si>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</si>
  <si>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</si>
  <si>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</si>
  <si>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</si>
  <si>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</si>
  <si>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</si>
  <si>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</si>
  <si>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</si>
  <si>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</si>
  <si>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</si>
  <si>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</si>
  <si>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</si>
  <si>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</si>
  <si>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</si>
  <si>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</si>
  <si>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</si>
  <si>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</si>
  <si>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</si>
  <si>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</si>
  <si>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</si>
  <si>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</si>
  <si>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</si>
  <si>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</si>
  <si>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</si>
  <si>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</si>
  <si>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</si>
  <si>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</si>
  <si>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</si>
  <si>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</si>
  <si>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</si>
  <si>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</si>
  <si>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</si>
  <si>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</si>
  <si>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</si>
  <si>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</si>
  <si>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</si>
  <si>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</si>
  <si>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</si>
  <si>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</si>
  <si>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</si>
  <si>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</si>
  <si>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</si>
  <si>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</si>
  <si>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</si>
  <si>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</si>
  <si>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</si>
  <si>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72018</t>
  </si>
  <si>
    <t>KINROOI</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</si>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</sst>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BD39861-DBD8-4CB4-9399-3F5EAAC8EF4C}"/>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72018</v>
      </c>
      <c r="B6" s="382"/>
      <c r="C6" s="383"/>
    </row>
    <row r="7" spans="1:7" s="380" customFormat="1" ht="15.75" customHeight="1">
      <c r="A7" s="384" t="str">
        <f>txtMunicipality</f>
        <v>KINROOI</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0.20446349801142841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0.20446349801142841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4640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3039</v>
      </c>
      <c r="C14" s="324"/>
      <c r="D14" s="324"/>
      <c r="E14" s="324"/>
      <c r="F14" s="324"/>
    </row>
    <row r="15" spans="1:6">
      <c r="A15" s="1235" t="s">
        <v>177</v>
      </c>
      <c r="B15" s="1236">
        <v>449</v>
      </c>
      <c r="C15" s="324"/>
      <c r="D15" s="324"/>
      <c r="E15" s="324"/>
      <c r="F15" s="324"/>
    </row>
    <row r="16" spans="1:6">
      <c r="A16" s="1235" t="s">
        <v>6</v>
      </c>
      <c r="B16" s="1236">
        <v>2476</v>
      </c>
      <c r="C16" s="324"/>
      <c r="D16" s="324"/>
      <c r="E16" s="324"/>
      <c r="F16" s="324"/>
    </row>
    <row r="17" spans="1:6">
      <c r="A17" s="1235" t="s">
        <v>7</v>
      </c>
      <c r="B17" s="1236">
        <v>226</v>
      </c>
      <c r="C17" s="324"/>
      <c r="D17" s="324"/>
      <c r="E17" s="324"/>
      <c r="F17" s="324"/>
    </row>
    <row r="18" spans="1:6">
      <c r="A18" s="1235" t="s">
        <v>8</v>
      </c>
      <c r="B18" s="1236">
        <v>1253</v>
      </c>
      <c r="C18" s="324"/>
      <c r="D18" s="324"/>
      <c r="E18" s="324"/>
      <c r="F18" s="324"/>
    </row>
    <row r="19" spans="1:6">
      <c r="A19" s="1235" t="s">
        <v>9</v>
      </c>
      <c r="B19" s="1236">
        <v>1221</v>
      </c>
      <c r="C19" s="324"/>
      <c r="D19" s="324"/>
      <c r="E19" s="324"/>
      <c r="F19" s="324"/>
    </row>
    <row r="20" spans="1:6">
      <c r="A20" s="1235" t="s">
        <v>10</v>
      </c>
      <c r="B20" s="1236">
        <v>833</v>
      </c>
      <c r="C20" s="324"/>
      <c r="D20" s="324"/>
      <c r="E20" s="324"/>
      <c r="F20" s="324"/>
    </row>
    <row r="21" spans="1:6">
      <c r="A21" s="1235" t="s">
        <v>11</v>
      </c>
      <c r="B21" s="1236">
        <v>7943</v>
      </c>
      <c r="C21" s="324"/>
      <c r="D21" s="324"/>
      <c r="E21" s="324"/>
      <c r="F21" s="324"/>
    </row>
    <row r="22" spans="1:6">
      <c r="A22" s="1235" t="s">
        <v>12</v>
      </c>
      <c r="B22" s="1236">
        <v>21781</v>
      </c>
      <c r="C22" s="324"/>
      <c r="D22" s="324"/>
      <c r="E22" s="324"/>
      <c r="F22" s="324"/>
    </row>
    <row r="23" spans="1:6">
      <c r="A23" s="1235" t="s">
        <v>13</v>
      </c>
      <c r="B23" s="1236">
        <v>283</v>
      </c>
      <c r="C23" s="324"/>
      <c r="D23" s="324"/>
      <c r="E23" s="324"/>
      <c r="F23" s="324"/>
    </row>
    <row r="24" spans="1:6">
      <c r="A24" s="1235" t="s">
        <v>14</v>
      </c>
      <c r="B24" s="1236">
        <v>12</v>
      </c>
      <c r="C24" s="324"/>
      <c r="D24" s="324"/>
      <c r="E24" s="324"/>
      <c r="F24" s="324"/>
    </row>
    <row r="25" spans="1:6">
      <c r="A25" s="1235" t="s">
        <v>15</v>
      </c>
      <c r="B25" s="1236">
        <v>1968</v>
      </c>
      <c r="C25" s="324"/>
      <c r="D25" s="324"/>
      <c r="E25" s="324"/>
      <c r="F25" s="324"/>
    </row>
    <row r="26" spans="1:6">
      <c r="A26" s="1235" t="s">
        <v>16</v>
      </c>
      <c r="B26" s="1236">
        <v>291</v>
      </c>
      <c r="C26" s="324"/>
      <c r="D26" s="324"/>
      <c r="E26" s="324"/>
      <c r="F26" s="324"/>
    </row>
    <row r="27" spans="1:6">
      <c r="A27" s="1235" t="s">
        <v>17</v>
      </c>
      <c r="B27" s="1236">
        <v>16</v>
      </c>
      <c r="C27" s="324"/>
      <c r="D27" s="324"/>
      <c r="E27" s="324"/>
      <c r="F27" s="324"/>
    </row>
    <row r="28" spans="1:6">
      <c r="A28" s="1235" t="s">
        <v>18</v>
      </c>
      <c r="B28" s="1237">
        <v>526584</v>
      </c>
      <c r="C28" s="324"/>
      <c r="D28" s="324"/>
      <c r="E28" s="324"/>
      <c r="F28" s="324"/>
    </row>
    <row r="29" spans="1:6">
      <c r="A29" s="1235" t="s">
        <v>959</v>
      </c>
      <c r="B29" s="1237">
        <v>122</v>
      </c>
      <c r="C29" s="324"/>
      <c r="D29" s="324"/>
      <c r="E29" s="324"/>
      <c r="F29" s="324"/>
    </row>
    <row r="30" spans="1:6">
      <c r="A30" s="1230" t="s">
        <v>960</v>
      </c>
      <c r="B30" s="1238">
        <v>43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9</v>
      </c>
      <c r="F36" s="1236">
        <v>98592</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4352</v>
      </c>
    </row>
    <row r="39" spans="1:6">
      <c r="A39" s="1235" t="s">
        <v>29</v>
      </c>
      <c r="B39" s="1235" t="s">
        <v>30</v>
      </c>
      <c r="C39" s="1236">
        <v>1449</v>
      </c>
      <c r="D39" s="1236">
        <v>27144989</v>
      </c>
      <c r="E39" s="1236">
        <v>4588</v>
      </c>
      <c r="F39" s="1236">
        <v>21717339</v>
      </c>
    </row>
    <row r="40" spans="1:6">
      <c r="A40" s="1235" t="s">
        <v>29</v>
      </c>
      <c r="B40" s="1235" t="s">
        <v>28</v>
      </c>
      <c r="C40" s="1236">
        <v>0</v>
      </c>
      <c r="D40" s="1236">
        <v>0</v>
      </c>
      <c r="E40" s="1236">
        <v>0</v>
      </c>
      <c r="F40" s="1236">
        <v>0</v>
      </c>
    </row>
    <row r="41" spans="1:6">
      <c r="A41" s="1235" t="s">
        <v>31</v>
      </c>
      <c r="B41" s="1235" t="s">
        <v>32</v>
      </c>
      <c r="C41" s="1236">
        <v>16</v>
      </c>
      <c r="D41" s="1236">
        <v>975336</v>
      </c>
      <c r="E41" s="1236">
        <v>64</v>
      </c>
      <c r="F41" s="1236">
        <v>1003191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4</v>
      </c>
      <c r="D44" s="1236">
        <v>440355</v>
      </c>
      <c r="E44" s="1236">
        <v>17</v>
      </c>
      <c r="F44" s="1236">
        <v>725826</v>
      </c>
    </row>
    <row r="45" spans="1:6">
      <c r="A45" s="1235" t="s">
        <v>31</v>
      </c>
      <c r="B45" s="1235" t="s">
        <v>36</v>
      </c>
      <c r="C45" s="1236">
        <v>0</v>
      </c>
      <c r="D45" s="1236">
        <v>0</v>
      </c>
      <c r="E45" s="1236">
        <v>3</v>
      </c>
      <c r="F45" s="1236">
        <v>2518245</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v>
      </c>
      <c r="D48" s="1236">
        <v>1506463</v>
      </c>
      <c r="E48" s="1236">
        <v>1</v>
      </c>
      <c r="F48" s="1236">
        <v>2632</v>
      </c>
    </row>
    <row r="49" spans="1:6">
      <c r="A49" s="1235" t="s">
        <v>31</v>
      </c>
      <c r="B49" s="1235" t="s">
        <v>39</v>
      </c>
      <c r="C49" s="1236">
        <v>0</v>
      </c>
      <c r="D49" s="1236">
        <v>0</v>
      </c>
      <c r="E49" s="1236">
        <v>0</v>
      </c>
      <c r="F49" s="1236">
        <v>0</v>
      </c>
    </row>
    <row r="50" spans="1:6">
      <c r="A50" s="1235" t="s">
        <v>31</v>
      </c>
      <c r="B50" s="1235" t="s">
        <v>40</v>
      </c>
      <c r="C50" s="1236">
        <v>0</v>
      </c>
      <c r="D50" s="1236">
        <v>0</v>
      </c>
      <c r="E50" s="1236">
        <v>7</v>
      </c>
      <c r="F50" s="1236">
        <v>336286</v>
      </c>
    </row>
    <row r="51" spans="1:6">
      <c r="A51" s="1235" t="s">
        <v>41</v>
      </c>
      <c r="B51" s="1235" t="s">
        <v>42</v>
      </c>
      <c r="C51" s="1236">
        <v>5</v>
      </c>
      <c r="D51" s="1236">
        <v>2319438</v>
      </c>
      <c r="E51" s="1236">
        <v>119</v>
      </c>
      <c r="F51" s="1236">
        <v>3086381</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71</v>
      </c>
      <c r="F54" s="1236">
        <v>641194</v>
      </c>
    </row>
    <row r="55" spans="1:6">
      <c r="A55" s="1235" t="s">
        <v>45</v>
      </c>
      <c r="B55" s="1235" t="s">
        <v>28</v>
      </c>
      <c r="C55" s="1236">
        <v>0</v>
      </c>
      <c r="D55" s="1236">
        <v>0</v>
      </c>
      <c r="E55" s="1236">
        <v>0</v>
      </c>
      <c r="F55" s="1236">
        <v>0</v>
      </c>
    </row>
    <row r="56" spans="1:6">
      <c r="A56" s="1235" t="s">
        <v>47</v>
      </c>
      <c r="B56" s="1235" t="s">
        <v>28</v>
      </c>
      <c r="C56" s="1236">
        <v>15</v>
      </c>
      <c r="D56" s="1236">
        <v>908090</v>
      </c>
      <c r="E56" s="1236">
        <v>81</v>
      </c>
      <c r="F56" s="1236">
        <v>1609425</v>
      </c>
    </row>
    <row r="57" spans="1:6">
      <c r="A57" s="1235" t="s">
        <v>48</v>
      </c>
      <c r="B57" s="1235" t="s">
        <v>49</v>
      </c>
      <c r="C57" s="1236">
        <v>3</v>
      </c>
      <c r="D57" s="1236">
        <v>46382</v>
      </c>
      <c r="E57" s="1236">
        <v>51</v>
      </c>
      <c r="F57" s="1236">
        <v>1827068</v>
      </c>
    </row>
    <row r="58" spans="1:6">
      <c r="A58" s="1235" t="s">
        <v>48</v>
      </c>
      <c r="B58" s="1235" t="s">
        <v>50</v>
      </c>
      <c r="C58" s="1236">
        <v>3</v>
      </c>
      <c r="D58" s="1236">
        <v>103627</v>
      </c>
      <c r="E58" s="1236">
        <v>17</v>
      </c>
      <c r="F58" s="1236">
        <v>661256</v>
      </c>
    </row>
    <row r="59" spans="1:6">
      <c r="A59" s="1235" t="s">
        <v>48</v>
      </c>
      <c r="B59" s="1235" t="s">
        <v>51</v>
      </c>
      <c r="C59" s="1236">
        <v>27</v>
      </c>
      <c r="D59" s="1236">
        <v>993044</v>
      </c>
      <c r="E59" s="1236">
        <v>110</v>
      </c>
      <c r="F59" s="1236">
        <v>2907797</v>
      </c>
    </row>
    <row r="60" spans="1:6">
      <c r="A60" s="1235" t="s">
        <v>48</v>
      </c>
      <c r="B60" s="1235" t="s">
        <v>52</v>
      </c>
      <c r="C60" s="1236">
        <v>10</v>
      </c>
      <c r="D60" s="1236">
        <v>649899</v>
      </c>
      <c r="E60" s="1236">
        <v>38</v>
      </c>
      <c r="F60" s="1236">
        <v>1235869</v>
      </c>
    </row>
    <row r="61" spans="1:6">
      <c r="A61" s="1235" t="s">
        <v>48</v>
      </c>
      <c r="B61" s="1235" t="s">
        <v>53</v>
      </c>
      <c r="C61" s="1236">
        <v>21</v>
      </c>
      <c r="D61" s="1236">
        <v>1627210</v>
      </c>
      <c r="E61" s="1236">
        <v>128</v>
      </c>
      <c r="F61" s="1236">
        <v>1646132</v>
      </c>
    </row>
    <row r="62" spans="1:6">
      <c r="A62" s="1235" t="s">
        <v>48</v>
      </c>
      <c r="B62" s="1235" t="s">
        <v>54</v>
      </c>
      <c r="C62" s="1236">
        <v>4</v>
      </c>
      <c r="D62" s="1236">
        <v>353382</v>
      </c>
      <c r="E62" s="1236">
        <v>11</v>
      </c>
      <c r="F62" s="1236">
        <v>145338</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2</v>
      </c>
      <c r="D65" s="1236">
        <v>29712</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5</v>
      </c>
      <c r="F68" s="1238">
        <v>126737</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52508501</v>
      </c>
      <c r="E73" s="443"/>
      <c r="F73" s="324"/>
    </row>
    <row r="74" spans="1:6">
      <c r="A74" s="1235" t="s">
        <v>63</v>
      </c>
      <c r="B74" s="1235" t="s">
        <v>730</v>
      </c>
      <c r="C74" s="1248" t="s">
        <v>731</v>
      </c>
      <c r="D74" s="1236">
        <v>4524689.4811825072</v>
      </c>
      <c r="E74" s="443"/>
      <c r="F74" s="324"/>
    </row>
    <row r="75" spans="1:6">
      <c r="A75" s="1235" t="s">
        <v>64</v>
      </c>
      <c r="B75" s="1235" t="s">
        <v>728</v>
      </c>
      <c r="C75" s="1248" t="s">
        <v>732</v>
      </c>
      <c r="D75" s="1236">
        <v>11734732</v>
      </c>
      <c r="E75" s="443"/>
      <c r="F75" s="324"/>
    </row>
    <row r="76" spans="1:6">
      <c r="A76" s="1235" t="s">
        <v>64</v>
      </c>
      <c r="B76" s="1235" t="s">
        <v>730</v>
      </c>
      <c r="C76" s="1248" t="s">
        <v>733</v>
      </c>
      <c r="D76" s="1236">
        <v>207435.48118250727</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137867.03763498546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2198.0453977663369</v>
      </c>
      <c r="C91" s="324"/>
      <c r="D91" s="324"/>
      <c r="E91" s="324"/>
      <c r="F91" s="324"/>
    </row>
    <row r="92" spans="1:6">
      <c r="A92" s="1230" t="s">
        <v>68</v>
      </c>
      <c r="B92" s="1231">
        <v>964.470589003687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313</v>
      </c>
      <c r="C97" s="324"/>
      <c r="D97" s="324"/>
      <c r="E97" s="324"/>
      <c r="F97" s="324"/>
    </row>
    <row r="98" spans="1:6">
      <c r="A98" s="1235" t="s">
        <v>71</v>
      </c>
      <c r="B98" s="1236">
        <v>4</v>
      </c>
      <c r="C98" s="324"/>
      <c r="D98" s="324"/>
      <c r="E98" s="324"/>
      <c r="F98" s="324"/>
    </row>
    <row r="99" spans="1:6">
      <c r="A99" s="1235" t="s">
        <v>72</v>
      </c>
      <c r="B99" s="1236">
        <v>69</v>
      </c>
      <c r="C99" s="324"/>
      <c r="D99" s="324"/>
      <c r="E99" s="324"/>
      <c r="F99" s="324"/>
    </row>
    <row r="100" spans="1:6">
      <c r="A100" s="1235" t="s">
        <v>73</v>
      </c>
      <c r="B100" s="1236">
        <v>97</v>
      </c>
      <c r="C100" s="324"/>
      <c r="D100" s="324"/>
      <c r="E100" s="324"/>
      <c r="F100" s="324"/>
    </row>
    <row r="101" spans="1:6">
      <c r="A101" s="1235" t="s">
        <v>74</v>
      </c>
      <c r="B101" s="1236">
        <v>44</v>
      </c>
      <c r="C101" s="324"/>
      <c r="D101" s="324"/>
      <c r="E101" s="324"/>
      <c r="F101" s="324"/>
    </row>
    <row r="102" spans="1:6">
      <c r="A102" s="1235" t="s">
        <v>75</v>
      </c>
      <c r="B102" s="1236">
        <v>36</v>
      </c>
      <c r="C102" s="324"/>
      <c r="D102" s="324"/>
      <c r="E102" s="324"/>
      <c r="F102" s="324"/>
    </row>
    <row r="103" spans="1:6">
      <c r="A103" s="1235" t="s">
        <v>76</v>
      </c>
      <c r="B103" s="1236">
        <v>68</v>
      </c>
      <c r="C103" s="324"/>
      <c r="D103" s="324"/>
      <c r="E103" s="324"/>
      <c r="F103" s="324"/>
    </row>
    <row r="104" spans="1:6">
      <c r="A104" s="1235" t="s">
        <v>77</v>
      </c>
      <c r="B104" s="1236">
        <v>3494</v>
      </c>
      <c r="C104" s="324"/>
      <c r="D104" s="324"/>
      <c r="E104" s="324"/>
      <c r="F104" s="324"/>
    </row>
    <row r="105" spans="1:6">
      <c r="A105" s="1230" t="s">
        <v>78</v>
      </c>
      <c r="B105" s="123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4</v>
      </c>
      <c r="C123" s="1236">
        <v>1</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30</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8</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42265.046958491926</v>
      </c>
      <c r="C3" s="43" t="s">
        <v>163</v>
      </c>
      <c r="D3" s="43"/>
      <c r="E3" s="155"/>
      <c r="F3" s="43"/>
      <c r="G3" s="43"/>
      <c r="H3" s="43"/>
      <c r="I3" s="43"/>
      <c r="J3" s="43"/>
      <c r="K3" s="96"/>
    </row>
    <row r="4" spans="1:11">
      <c r="A4" s="350" t="s">
        <v>164</v>
      </c>
      <c r="B4" s="49">
        <f>IF(ISERROR('SEAP template'!B78+'SEAP template'!C78),0,'SEAP template'!B78+'SEAP template'!C78)</f>
        <v>3162.515986770024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0.20446349801142841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641.19399999999996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641.19399999999996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0.20446349801142841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131.10076814393983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21717.339</v>
      </c>
      <c r="C5" s="17">
        <f>IF(ISERROR('Eigen informatie GS &amp; warmtenet'!B57),0,'Eigen informatie GS &amp; warmtenet'!B57)</f>
        <v>0</v>
      </c>
      <c r="D5" s="30">
        <f>(SUM(HH_hh_gas_kWh,HH_rest_gas_kWh)/1000)*0.902</f>
        <v>24484.780078000003</v>
      </c>
      <c r="E5" s="17">
        <f>B32*B41</f>
        <v>1569.4203369157806</v>
      </c>
      <c r="F5" s="17">
        <f>B36*B45</f>
        <v>53571.214708073021</v>
      </c>
      <c r="G5" s="18"/>
      <c r="H5" s="17"/>
      <c r="I5" s="17"/>
      <c r="J5" s="17">
        <f>B35*B44+C35*C44</f>
        <v>1206.2879368117781</v>
      </c>
      <c r="K5" s="17"/>
      <c r="L5" s="17"/>
      <c r="M5" s="17"/>
      <c r="N5" s="17">
        <f>B34*B43+C34*C43</f>
        <v>6064.4734345642928</v>
      </c>
      <c r="O5" s="17">
        <f>B52*B53*B54</f>
        <v>48.463333333333338</v>
      </c>
      <c r="P5" s="17">
        <f>B60*B61*B62/1000-B60*B61*B62/1000/B63</f>
        <v>228.8</v>
      </c>
    </row>
    <row r="6" spans="1:16">
      <c r="A6" s="16" t="s">
        <v>591</v>
      </c>
      <c r="B6" s="727">
        <f>kWh_PV_kleiner_dan_10kW</f>
        <v>2198.0453977663369</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23915.384397766338</v>
      </c>
      <c r="C8" s="21">
        <f>C5</f>
        <v>0</v>
      </c>
      <c r="D8" s="21">
        <f>D5</f>
        <v>24484.780078000003</v>
      </c>
      <c r="E8" s="21">
        <f>E5</f>
        <v>1569.4203369157806</v>
      </c>
      <c r="F8" s="21">
        <f>F5</f>
        <v>53571.214708073021</v>
      </c>
      <c r="G8" s="21"/>
      <c r="H8" s="21"/>
      <c r="I8" s="21"/>
      <c r="J8" s="21">
        <f>J5</f>
        <v>1206.2879368117781</v>
      </c>
      <c r="K8" s="21"/>
      <c r="L8" s="21">
        <f>L5</f>
        <v>0</v>
      </c>
      <c r="M8" s="21">
        <f>M5</f>
        <v>0</v>
      </c>
      <c r="N8" s="21">
        <f>N5</f>
        <v>6064.4734345642928</v>
      </c>
      <c r="O8" s="21">
        <f>O5</f>
        <v>48.463333333333338</v>
      </c>
      <c r="P8" s="21">
        <f>P5</f>
        <v>228.8</v>
      </c>
    </row>
    <row r="9" spans="1:16">
      <c r="B9" s="19"/>
      <c r="C9" s="19"/>
      <c r="D9" s="255"/>
      <c r="E9" s="19"/>
      <c r="F9" s="19"/>
      <c r="G9" s="19"/>
      <c r="H9" s="19"/>
      <c r="I9" s="19"/>
      <c r="J9" s="19"/>
      <c r="K9" s="19"/>
      <c r="L9" s="19"/>
      <c r="M9" s="19"/>
      <c r="N9" s="19"/>
      <c r="O9" s="19"/>
      <c r="P9" s="19"/>
    </row>
    <row r="10" spans="1:16">
      <c r="A10" s="24" t="s">
        <v>207</v>
      </c>
      <c r="B10" s="25">
        <f ca="1">'EF ele_warmte'!B12</f>
        <v>0.20446349801142841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4889.8231502552435</v>
      </c>
      <c r="C12" s="23">
        <f ca="1">C10*C8</f>
        <v>0</v>
      </c>
      <c r="D12" s="23">
        <f>D8*D10</f>
        <v>4945.9255757560013</v>
      </c>
      <c r="E12" s="23">
        <f>E10*E8</f>
        <v>356.25841647988221</v>
      </c>
      <c r="F12" s="23">
        <f>F10*F8</f>
        <v>14303.514327055498</v>
      </c>
      <c r="G12" s="23"/>
      <c r="H12" s="23"/>
      <c r="I12" s="23"/>
      <c r="J12" s="23">
        <f>J10*J8</f>
        <v>427.02592963136942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4640</v>
      </c>
      <c r="C26" s="36"/>
      <c r="D26" s="225"/>
    </row>
    <row r="27" spans="1:5" s="15" customFormat="1">
      <c r="A27" s="227" t="s">
        <v>671</v>
      </c>
      <c r="B27" s="37">
        <f>SUM(HH_hh_gas_aantal,HH_rest_gas_aantal)</f>
        <v>1449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1376.55</v>
      </c>
      <c r="C31" s="34" t="s">
        <v>104</v>
      </c>
      <c r="D31" s="171"/>
    </row>
    <row r="32" spans="1:5">
      <c r="A32" s="168" t="s">
        <v>72</v>
      </c>
      <c r="B32" s="33">
        <f>IF((B21*($B$26-($B$27-0.05*$B$27)-$B$60))&lt;0,0,B21*($B$26-($B$27-0.05*$B$27)-$B$60))</f>
        <v>23.05137799132747</v>
      </c>
      <c r="C32" s="34" t="s">
        <v>104</v>
      </c>
      <c r="D32" s="171"/>
    </row>
    <row r="33" spans="1:6">
      <c r="A33" s="168" t="s">
        <v>73</v>
      </c>
      <c r="B33" s="33">
        <f>IF((B22*($B$26-($B$27-0.05*$B$27)-$B$60))&lt;0,0,B22*($B$26-($B$27-0.05*$B$27)-$B$60))</f>
        <v>660.64935698954184</v>
      </c>
      <c r="C33" s="34" t="s">
        <v>104</v>
      </c>
      <c r="D33" s="171"/>
    </row>
    <row r="34" spans="1:6">
      <c r="A34" s="168" t="s">
        <v>74</v>
      </c>
      <c r="B34" s="33">
        <f>IF((B24*($B$26-($B$27-0.05*$B$27)-$B$60))&lt;0,0,B24*($B$26-($B$27-0.05*$B$27)-$B$60))</f>
        <v>131.7404637369352</v>
      </c>
      <c r="C34" s="33">
        <f>B26*C24</f>
        <v>948.77613234719638</v>
      </c>
      <c r="D34" s="230"/>
    </row>
    <row r="35" spans="1:6">
      <c r="A35" s="168" t="s">
        <v>76</v>
      </c>
      <c r="B35" s="33">
        <f>IF((B19*($B$26-($B$27-0.05*$B$27)-$B$60))&lt;0,0,B19*($B$26-($B$27-0.05*$B$27)-$B$60))</f>
        <v>68.605291640855569</v>
      </c>
      <c r="C35" s="33">
        <f>B35/2</f>
        <v>34.302645820427784</v>
      </c>
      <c r="D35" s="230"/>
    </row>
    <row r="36" spans="1:6">
      <c r="A36" s="168" t="s">
        <v>77</v>
      </c>
      <c r="B36" s="33">
        <f>IF((B18*($B$26-($B$27-0.05*$B$27)-$B$60))&lt;0,0,B18*($B$26-($B$27-0.05*$B$27)-$B$60))</f>
        <v>2367.40350964134</v>
      </c>
      <c r="C36" s="34" t="s">
        <v>104</v>
      </c>
      <c r="D36" s="171"/>
    </row>
    <row r="37" spans="1:6">
      <c r="A37" s="168" t="s">
        <v>78</v>
      </c>
      <c r="B37" s="33">
        <f>B60</f>
        <v>12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8423.4600000000009</v>
      </c>
      <c r="C5" s="17">
        <f>IF(ISERROR('Eigen informatie GS &amp; warmtenet'!B58),0,'Eigen informatie GS &amp; warmtenet'!B58)</f>
        <v>0</v>
      </c>
      <c r="D5" s="30">
        <f>SUM(D6:D12)</f>
        <v>3403.7366880000004</v>
      </c>
      <c r="E5" s="17">
        <f>SUM(E6:E12)</f>
        <v>150.92699412179269</v>
      </c>
      <c r="F5" s="17">
        <f>SUM(F6:F12)</f>
        <v>1700.1501168764028</v>
      </c>
      <c r="G5" s="18"/>
      <c r="H5" s="17"/>
      <c r="I5" s="17"/>
      <c r="J5" s="17">
        <f>SUM(J6:J12)</f>
        <v>0</v>
      </c>
      <c r="K5" s="17"/>
      <c r="L5" s="17"/>
      <c r="M5" s="17"/>
      <c r="N5" s="17">
        <f>SUM(N6:N12)</f>
        <v>412.97798569633466</v>
      </c>
      <c r="O5" s="17">
        <f>B38*B39*B40</f>
        <v>0</v>
      </c>
      <c r="P5" s="17">
        <f>B46*B47*B48/1000-B46*B47*B48/1000/B49</f>
        <v>0</v>
      </c>
      <c r="R5" s="32"/>
    </row>
    <row r="6" spans="1:18">
      <c r="A6" s="32" t="s">
        <v>53</v>
      </c>
      <c r="B6" s="37">
        <f>B26</f>
        <v>1646.1320000000001</v>
      </c>
      <c r="C6" s="33"/>
      <c r="D6" s="37">
        <f>IF(ISERROR(TER_kantoor_gas_kWh/1000),0,TER_kantoor_gas_kWh/1000)*0.902</f>
        <v>1467.74342</v>
      </c>
      <c r="E6" s="33">
        <f>$C$26*'E Balans VL '!I12/100/3.6*1000000</f>
        <v>56.943016166959914</v>
      </c>
      <c r="F6" s="33">
        <f>$C$26*('E Balans VL '!L12+'E Balans VL '!N12)/100/3.6*1000000</f>
        <v>251.29952918612003</v>
      </c>
      <c r="G6" s="34"/>
      <c r="H6" s="33"/>
      <c r="I6" s="33"/>
      <c r="J6" s="33">
        <f>$C$26*('E Balans VL '!D12+'E Balans VL '!E12)/100/3.6*1000000</f>
        <v>0</v>
      </c>
      <c r="K6" s="33"/>
      <c r="L6" s="33"/>
      <c r="M6" s="33"/>
      <c r="N6" s="33">
        <f>$C$26*'E Balans VL '!Y12/100/3.6*1000000</f>
        <v>25.375907296738092</v>
      </c>
      <c r="O6" s="33"/>
      <c r="P6" s="33"/>
      <c r="R6" s="32"/>
    </row>
    <row r="7" spans="1:18">
      <c r="A7" s="32" t="s">
        <v>52</v>
      </c>
      <c r="B7" s="37">
        <f t="shared" ref="B7:B12" si="0">B27</f>
        <v>1235.8689999999999</v>
      </c>
      <c r="C7" s="33"/>
      <c r="D7" s="37">
        <f>IF(ISERROR(TER_horeca_gas_kWh/1000),0,TER_horeca_gas_kWh/1000)*0.902</f>
        <v>586.20889799999998</v>
      </c>
      <c r="E7" s="33">
        <f>$C$27*'E Balans VL '!I9/100/3.6*1000000</f>
        <v>67.729548338204907</v>
      </c>
      <c r="F7" s="33">
        <f>$C$27*('E Balans VL '!L9+'E Balans VL '!N9)/100/3.6*1000000</f>
        <v>209.15037443195214</v>
      </c>
      <c r="G7" s="34"/>
      <c r="H7" s="33"/>
      <c r="I7" s="33"/>
      <c r="J7" s="33">
        <f>$C$27*('E Balans VL '!D9+'E Balans VL '!E9)/100/3.6*1000000</f>
        <v>0</v>
      </c>
      <c r="K7" s="33"/>
      <c r="L7" s="33"/>
      <c r="M7" s="33"/>
      <c r="N7" s="33">
        <f>$C$27*'E Balans VL '!Y9/100/3.6*1000000</f>
        <v>0</v>
      </c>
      <c r="O7" s="33"/>
      <c r="P7" s="33"/>
      <c r="R7" s="32"/>
    </row>
    <row r="8" spans="1:18">
      <c r="A8" s="6" t="s">
        <v>51</v>
      </c>
      <c r="B8" s="37">
        <f t="shared" si="0"/>
        <v>2907.797</v>
      </c>
      <c r="C8" s="33"/>
      <c r="D8" s="37">
        <f>IF(ISERROR(TER_handel_gas_kWh/1000),0,TER_handel_gas_kWh/1000)*0.902</f>
        <v>895.72568799999999</v>
      </c>
      <c r="E8" s="33">
        <f>$C$28*'E Balans VL '!I13/100/3.6*1000000</f>
        <v>14.711041527721711</v>
      </c>
      <c r="F8" s="33">
        <f>$C$28*('E Balans VL '!L13+'E Balans VL '!N13)/100/3.6*1000000</f>
        <v>441.81701162579697</v>
      </c>
      <c r="G8" s="34"/>
      <c r="H8" s="33"/>
      <c r="I8" s="33"/>
      <c r="J8" s="33">
        <f>$C$28*('E Balans VL '!D13+'E Balans VL '!E13)/100/3.6*1000000</f>
        <v>0</v>
      </c>
      <c r="K8" s="33"/>
      <c r="L8" s="33"/>
      <c r="M8" s="33"/>
      <c r="N8" s="33">
        <f>$C$28*'E Balans VL '!Y13/100/3.6*1000000</f>
        <v>1.3597637168385655</v>
      </c>
      <c r="O8" s="33"/>
      <c r="P8" s="33"/>
      <c r="R8" s="32"/>
    </row>
    <row r="9" spans="1:18">
      <c r="A9" s="32" t="s">
        <v>50</v>
      </c>
      <c r="B9" s="37">
        <f t="shared" si="0"/>
        <v>661.25599999999997</v>
      </c>
      <c r="C9" s="33"/>
      <c r="D9" s="37">
        <f>IF(ISERROR(TER_gezond_gas_kWh/1000),0,TER_gezond_gas_kWh/1000)*0.902</f>
        <v>93.471553999999998</v>
      </c>
      <c r="E9" s="33">
        <f>$C$29*'E Balans VL '!I10/100/3.6*1000000</f>
        <v>0.24046287405514577</v>
      </c>
      <c r="F9" s="33">
        <f>$C$29*('E Balans VL '!L10+'E Balans VL '!N10)/100/3.6*1000000</f>
        <v>142.87955303702259</v>
      </c>
      <c r="G9" s="34"/>
      <c r="H9" s="33"/>
      <c r="I9" s="33"/>
      <c r="J9" s="33">
        <f>$C$29*('E Balans VL '!D10+'E Balans VL '!E10)/100/3.6*1000000</f>
        <v>0</v>
      </c>
      <c r="K9" s="33"/>
      <c r="L9" s="33"/>
      <c r="M9" s="33"/>
      <c r="N9" s="33">
        <f>$C$29*'E Balans VL '!Y10/100/3.6*1000000</f>
        <v>5.0138241609454282</v>
      </c>
      <c r="O9" s="33"/>
      <c r="P9" s="33"/>
      <c r="R9" s="32"/>
    </row>
    <row r="10" spans="1:18">
      <c r="A10" s="32" t="s">
        <v>49</v>
      </c>
      <c r="B10" s="37">
        <f t="shared" si="0"/>
        <v>1827.068</v>
      </c>
      <c r="C10" s="33"/>
      <c r="D10" s="37">
        <f>IF(ISERROR(TER_ander_gas_kWh/1000),0,TER_ander_gas_kWh/1000)*0.902</f>
        <v>41.836564000000003</v>
      </c>
      <c r="E10" s="33">
        <f>$C$30*'E Balans VL '!I14/100/3.6*1000000</f>
        <v>11.122548173491372</v>
      </c>
      <c r="F10" s="33">
        <f>$C$30*('E Balans VL '!L14+'E Balans VL '!N14)/100/3.6*1000000</f>
        <v>483.71520618396409</v>
      </c>
      <c r="G10" s="34"/>
      <c r="H10" s="33"/>
      <c r="I10" s="33"/>
      <c r="J10" s="33">
        <f>$C$30*('E Balans VL '!D14+'E Balans VL '!E14)/100/3.6*1000000</f>
        <v>0</v>
      </c>
      <c r="K10" s="33"/>
      <c r="L10" s="33"/>
      <c r="M10" s="33"/>
      <c r="N10" s="33">
        <f>$C$30*'E Balans VL '!Y14/100/3.6*1000000</f>
        <v>380.53088169590836</v>
      </c>
      <c r="O10" s="33"/>
      <c r="P10" s="33"/>
      <c r="R10" s="32"/>
    </row>
    <row r="11" spans="1:18">
      <c r="A11" s="32" t="s">
        <v>54</v>
      </c>
      <c r="B11" s="37">
        <f t="shared" si="0"/>
        <v>145.33799999999999</v>
      </c>
      <c r="C11" s="33"/>
      <c r="D11" s="37">
        <f>IF(ISERROR(TER_onderwijs_gas_kWh/1000),0,TER_onderwijs_gas_kWh/1000)*0.902</f>
        <v>318.750564</v>
      </c>
      <c r="E11" s="33">
        <f>$C$31*'E Balans VL '!I11/100/3.6*1000000</f>
        <v>0.18037704135966892</v>
      </c>
      <c r="F11" s="33">
        <f>$C$31*('E Balans VL '!L11+'E Balans VL '!N11)/100/3.6*1000000</f>
        <v>171.28844241154698</v>
      </c>
      <c r="G11" s="34"/>
      <c r="H11" s="33"/>
      <c r="I11" s="33"/>
      <c r="J11" s="33">
        <f>$C$31*('E Balans VL '!D11+'E Balans VL '!E11)/100/3.6*1000000</f>
        <v>0</v>
      </c>
      <c r="K11" s="33"/>
      <c r="L11" s="33"/>
      <c r="M11" s="33"/>
      <c r="N11" s="33">
        <f>$C$31*'E Balans VL '!Y11/100/3.6*1000000</f>
        <v>0.69760882590417261</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8423.4600000000009</v>
      </c>
      <c r="C16" s="21">
        <f ca="1">C5+C13+C14</f>
        <v>0</v>
      </c>
      <c r="D16" s="21">
        <f t="shared" ref="D16:N16" ca="1" si="1">MAX((D5+D13+D14),0)</f>
        <v>3403.7366880000004</v>
      </c>
      <c r="E16" s="21">
        <f t="shared" si="1"/>
        <v>150.92699412179269</v>
      </c>
      <c r="F16" s="21">
        <f t="shared" ca="1" si="1"/>
        <v>1700.1501168764028</v>
      </c>
      <c r="G16" s="21">
        <f t="shared" si="1"/>
        <v>0</v>
      </c>
      <c r="H16" s="21">
        <f t="shared" si="1"/>
        <v>0</v>
      </c>
      <c r="I16" s="21">
        <f t="shared" si="1"/>
        <v>0</v>
      </c>
      <c r="J16" s="21">
        <f t="shared" si="1"/>
        <v>0</v>
      </c>
      <c r="K16" s="21">
        <f t="shared" si="1"/>
        <v>0</v>
      </c>
      <c r="L16" s="21">
        <f t="shared" ca="1" si="1"/>
        <v>0</v>
      </c>
      <c r="M16" s="21">
        <f t="shared" si="1"/>
        <v>0</v>
      </c>
      <c r="N16" s="21">
        <f t="shared" ca="1" si="1"/>
        <v>412.97798569633466</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0.20446349801142841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1722.290096959347</v>
      </c>
      <c r="C20" s="23">
        <f t="shared" ref="C20:P20" ca="1" si="2">C16*C18</f>
        <v>0</v>
      </c>
      <c r="D20" s="23">
        <f t="shared" ca="1" si="2"/>
        <v>687.55481097600011</v>
      </c>
      <c r="E20" s="23">
        <f t="shared" si="2"/>
        <v>34.260427665646944</v>
      </c>
      <c r="F20" s="23">
        <f t="shared" ca="1" si="2"/>
        <v>453.94008120599955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1646.1320000000001</v>
      </c>
      <c r="C26" s="39">
        <f>IF(ISERROR(B26*3.6/1000000/'E Balans VL '!Z12*100),0,B26*3.6/1000000/'E Balans VL '!Z12*100)</f>
        <v>3.4232476584570543E-2</v>
      </c>
      <c r="D26" s="233" t="s">
        <v>676</v>
      </c>
      <c r="F26" s="6"/>
    </row>
    <row r="27" spans="1:18">
      <c r="A27" s="228" t="s">
        <v>52</v>
      </c>
      <c r="B27" s="33">
        <f>IF(ISERROR(TER_horeca_ele_kWh/1000),0,TER_horeca_ele_kWh/1000)</f>
        <v>1235.8689999999999</v>
      </c>
      <c r="C27" s="39">
        <f>IF(ISERROR(B27*3.6/1000000/'E Balans VL '!Z9*100),0,B27*3.6/1000000/'E Balans VL '!Z9*100)</f>
        <v>0.10165110228430974</v>
      </c>
      <c r="D27" s="233" t="s">
        <v>676</v>
      </c>
      <c r="F27" s="6"/>
    </row>
    <row r="28" spans="1:18">
      <c r="A28" s="168" t="s">
        <v>51</v>
      </c>
      <c r="B28" s="33">
        <f>IF(ISERROR(TER_handel_ele_kWh/1000),0,TER_handel_ele_kWh/1000)</f>
        <v>2907.797</v>
      </c>
      <c r="C28" s="39">
        <f>IF(ISERROR(B28*3.6/1000000/'E Balans VL '!Z13*100),0,B28*3.6/1000000/'E Balans VL '!Z13*100)</f>
        <v>8.0487252500928766E-2</v>
      </c>
      <c r="D28" s="233" t="s">
        <v>676</v>
      </c>
      <c r="F28" s="6"/>
    </row>
    <row r="29" spans="1:18">
      <c r="A29" s="228" t="s">
        <v>50</v>
      </c>
      <c r="B29" s="33">
        <f>IF(ISERROR(TER_gezond_ele_kWh/1000),0,TER_gezond_ele_kWh/1000)</f>
        <v>661.25599999999997</v>
      </c>
      <c r="C29" s="39">
        <f>IF(ISERROR(B29*3.6/1000000/'E Balans VL '!Z10*100),0,B29*3.6/1000000/'E Balans VL '!Z10*100)</f>
        <v>7.5411447156764302E-2</v>
      </c>
      <c r="D29" s="233" t="s">
        <v>676</v>
      </c>
      <c r="F29" s="6"/>
    </row>
    <row r="30" spans="1:18">
      <c r="A30" s="228" t="s">
        <v>49</v>
      </c>
      <c r="B30" s="33">
        <f>IF(ISERROR(TER_ander_ele_kWh/1000),0,TER_ander_ele_kWh/1000)</f>
        <v>1827.068</v>
      </c>
      <c r="C30" s="39">
        <f>IF(ISERROR(B30*3.6/1000000/'E Balans VL '!Z14*100),0,B30*3.6/1000000/'E Balans VL '!Z14*100)</f>
        <v>0.14142001916876371</v>
      </c>
      <c r="D30" s="233" t="s">
        <v>676</v>
      </c>
      <c r="F30" s="6"/>
    </row>
    <row r="31" spans="1:18">
      <c r="A31" s="228" t="s">
        <v>54</v>
      </c>
      <c r="B31" s="33">
        <f>IF(ISERROR(TER_onderwijs_ele_kWh/1000),0,TER_onderwijs_ele_kWh/1000)</f>
        <v>145.33799999999999</v>
      </c>
      <c r="C31" s="39">
        <f>IF(ISERROR(B31*3.6/1000000/'E Balans VL '!Z11*100),0,B31*3.6/1000000/'E Balans VL '!Z11*100)</f>
        <v>4.5284571626366288E-2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4586.1799999999994</v>
      </c>
      <c r="C5" s="17">
        <f>IF(ISERROR('Eigen informatie GS &amp; warmtenet'!B59),0,'Eigen informatie GS &amp; warmtenet'!B59)</f>
        <v>0</v>
      </c>
      <c r="D5" s="30">
        <f>SUM(D6:D15)</f>
        <v>2635.7829080000001</v>
      </c>
      <c r="E5" s="17">
        <f>SUM(E6:E15)</f>
        <v>87.50259078303408</v>
      </c>
      <c r="F5" s="17">
        <f>SUM(F6:F15)</f>
        <v>1186.2962861884262</v>
      </c>
      <c r="G5" s="18"/>
      <c r="H5" s="17"/>
      <c r="I5" s="17"/>
      <c r="J5" s="17">
        <f>SUM(J6:J15)</f>
        <v>30.773711413841848</v>
      </c>
      <c r="K5" s="17"/>
      <c r="L5" s="17"/>
      <c r="M5" s="17"/>
      <c r="N5" s="17">
        <f>SUM(N6:N15)</f>
        <v>82.039960111063095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725.82600000000002</v>
      </c>
      <c r="C8" s="33"/>
      <c r="D8" s="37">
        <f>IF( ISERROR(IND_metaal_Gas_kWH/1000),0,IND_metaal_Gas_kWH/1000)*0.902</f>
        <v>397.20021000000003</v>
      </c>
      <c r="E8" s="33">
        <f>C30*'E Balans VL '!I18/100/3.6*1000000</f>
        <v>5.1002191557573751</v>
      </c>
      <c r="F8" s="33">
        <f>C30*'E Balans VL '!L18/100/3.6*1000000+C30*'E Balans VL '!N18/100/3.6*1000000</f>
        <v>79.691448299923209</v>
      </c>
      <c r="G8" s="34"/>
      <c r="H8" s="33"/>
      <c r="I8" s="33"/>
      <c r="J8" s="40">
        <f>C30*'E Balans VL '!D18/100/3.6*1000000+C30*'E Balans VL '!E18/100/3.6*1000000</f>
        <v>14.975354819388601</v>
      </c>
      <c r="K8" s="33"/>
      <c r="L8" s="33"/>
      <c r="M8" s="33"/>
      <c r="N8" s="33">
        <f>C30*'E Balans VL '!Y18/100/3.6*1000000</f>
        <v>2.7204481219324506</v>
      </c>
      <c r="O8" s="33"/>
      <c r="P8" s="33"/>
      <c r="R8" s="32"/>
    </row>
    <row r="9" spans="1:18">
      <c r="A9" s="6" t="s">
        <v>32</v>
      </c>
      <c r="B9" s="37">
        <f t="shared" si="0"/>
        <v>1003.191</v>
      </c>
      <c r="C9" s="33"/>
      <c r="D9" s="37">
        <f>IF( ISERROR(IND_andere_gas_kWh/1000),0,IND_andere_gas_kWh/1000)*0.902</f>
        <v>879.75307200000009</v>
      </c>
      <c r="E9" s="33">
        <f>C31*'E Balans VL '!I19/100/3.6*1000000</f>
        <v>16.849821793213131</v>
      </c>
      <c r="F9" s="33">
        <f>C31*'E Balans VL '!L19/100/3.6*1000000+C31*'E Balans VL '!N19/100/3.6*1000000</f>
        <v>784.23758630695806</v>
      </c>
      <c r="G9" s="34"/>
      <c r="H9" s="33"/>
      <c r="I9" s="33"/>
      <c r="J9" s="40">
        <f>C31*'E Balans VL '!D19/100/3.6*1000000+C31*'E Balans VL '!E19/100/3.6*1000000</f>
        <v>9.047897264690101E-2</v>
      </c>
      <c r="K9" s="33"/>
      <c r="L9" s="33"/>
      <c r="M9" s="33"/>
      <c r="N9" s="33">
        <f>C31*'E Balans VL '!Y19/100/3.6*1000000</f>
        <v>74.352547882654321</v>
      </c>
      <c r="O9" s="33"/>
      <c r="P9" s="33"/>
      <c r="R9" s="32"/>
    </row>
    <row r="10" spans="1:18">
      <c r="A10" s="6" t="s">
        <v>40</v>
      </c>
      <c r="B10" s="37">
        <f t="shared" si="0"/>
        <v>336.286</v>
      </c>
      <c r="C10" s="33"/>
      <c r="D10" s="37">
        <f>IF( ISERROR(IND_voed_gas_kWh/1000),0,IND_voed_gas_kWh/1000)*0.902</f>
        <v>0</v>
      </c>
      <c r="E10" s="33">
        <f>C32*'E Balans VL '!I20/100/3.6*1000000</f>
        <v>3.0681337203594183</v>
      </c>
      <c r="F10" s="33">
        <f>C32*'E Balans VL '!L20/100/3.6*1000000+C32*'E Balans VL '!N20/100/3.6*1000000</f>
        <v>54.253450210521194</v>
      </c>
      <c r="G10" s="34"/>
      <c r="H10" s="33"/>
      <c r="I10" s="33"/>
      <c r="J10" s="40">
        <f>C32*'E Balans VL '!D20/100/3.6*1000000+C32*'E Balans VL '!E20/100/3.6*1000000</f>
        <v>1.385046227773941</v>
      </c>
      <c r="K10" s="33"/>
      <c r="L10" s="33"/>
      <c r="M10" s="33"/>
      <c r="N10" s="33">
        <f>C32*'E Balans VL '!Y20/100/3.6*1000000</f>
        <v>4.9195990110467509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2518.2449999999999</v>
      </c>
      <c r="C12" s="33"/>
      <c r="D12" s="37">
        <f>IF( ISERROR(IND_min_gas_kWh/1000),0,IND_min_gas_kWh/1000)*0.902</f>
        <v>0</v>
      </c>
      <c r="E12" s="33">
        <f>C34*'E Balans VL '!I22/100/3.6*1000000</f>
        <v>62.46066293616645</v>
      </c>
      <c r="F12" s="33">
        <f>C34*'E Balans VL '!L22/100/3.6*1000000+C34*'E Balans VL '!N22/100/3.6*1000000</f>
        <v>267.58764343645754</v>
      </c>
      <c r="G12" s="34"/>
      <c r="H12" s="33"/>
      <c r="I12" s="33"/>
      <c r="J12" s="40">
        <f>C34*'E Balans VL '!D22/100/3.6*1000000+C34*'E Balans VL '!E22/100/3.6*1000000</f>
        <v>14.305109210981744</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2.6320000000000001</v>
      </c>
      <c r="C15" s="33"/>
      <c r="D15" s="37">
        <f>IF( ISERROR(IND_rest_gas_kWh/1000),0,IND_rest_gas_kWh/1000)*0.902</f>
        <v>1358.829626</v>
      </c>
      <c r="E15" s="33">
        <f>C37*'E Balans VL '!I15/100/3.6*1000000</f>
        <v>2.3753177537693456E-2</v>
      </c>
      <c r="F15" s="33">
        <f>C37*'E Balans VL '!L15/100/3.6*1000000+C37*'E Balans VL '!N15/100/3.6*1000000</f>
        <v>0.52615793456607451</v>
      </c>
      <c r="G15" s="34"/>
      <c r="H15" s="33"/>
      <c r="I15" s="33"/>
      <c r="J15" s="40">
        <f>C37*'E Balans VL '!D15/100/3.6*1000000+C37*'E Balans VL '!E15/100/3.6*1000000</f>
        <v>1.7722183050662841E-2</v>
      </c>
      <c r="K15" s="33"/>
      <c r="L15" s="33"/>
      <c r="M15" s="33"/>
      <c r="N15" s="33">
        <f>C37*'E Balans VL '!Y15/100/3.6*1000000</f>
        <v>4.7365095429562236E-2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4586.1799999999994</v>
      </c>
      <c r="C18" s="21">
        <f>C5+C16</f>
        <v>0</v>
      </c>
      <c r="D18" s="21">
        <f>MAX((D5+D16),0)</f>
        <v>2635.7829080000001</v>
      </c>
      <c r="E18" s="21">
        <f>MAX((E5+E16),0)</f>
        <v>87.50259078303408</v>
      </c>
      <c r="F18" s="21">
        <f>MAX((F5+F16),0)</f>
        <v>1186.2962861884262</v>
      </c>
      <c r="G18" s="21"/>
      <c r="H18" s="21"/>
      <c r="I18" s="21"/>
      <c r="J18" s="21">
        <f>MAX((J5+J16),0)</f>
        <v>30.773711413841848</v>
      </c>
      <c r="K18" s="21"/>
      <c r="L18" s="21">
        <f>MAX((L5+L16),0)</f>
        <v>0</v>
      </c>
      <c r="M18" s="21"/>
      <c r="N18" s="21">
        <f>MAX((N5+N16),0)</f>
        <v>82.039960111063095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0.20446349801142841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937.70640531005256</v>
      </c>
      <c r="C22" s="23">
        <f ca="1">C18*C20</f>
        <v>0</v>
      </c>
      <c r="D22" s="23">
        <f>D18*D20</f>
        <v>532.42814741600012</v>
      </c>
      <c r="E22" s="23">
        <f>E18*E20</f>
        <v>19.863088107748737</v>
      </c>
      <c r="F22" s="23">
        <f>F18*F20</f>
        <v>316.74110841230981</v>
      </c>
      <c r="G22" s="23"/>
      <c r="H22" s="23"/>
      <c r="I22" s="23"/>
      <c r="J22" s="23">
        <f>J18*J20</f>
        <v>10.893893840500013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725.82600000000002</v>
      </c>
      <c r="C30" s="39">
        <f>IF(ISERROR(B30*3.6/1000000/'E Balans VL '!Z18*100),0,B30*3.6/1000000/'E Balans VL '!Z18*100)</f>
        <v>4.8318680046497198E-2</v>
      </c>
      <c r="D30" s="233" t="s">
        <v>676</v>
      </c>
    </row>
    <row r="31" spans="1:18">
      <c r="A31" s="6" t="s">
        <v>32</v>
      </c>
      <c r="B31" s="37">
        <f>IF( ISERROR(IND_ander_ele_kWh/1000),0,IND_ander_ele_kWh/1000)</f>
        <v>1003.191</v>
      </c>
      <c r="C31" s="39">
        <f>IF(ISERROR(B31*3.6/1000000/'E Balans VL '!Z19*100),0,B31*3.6/1000000/'E Balans VL '!Z19*100)</f>
        <v>4.4467481437384805E-2</v>
      </c>
      <c r="D31" s="233" t="s">
        <v>676</v>
      </c>
    </row>
    <row r="32" spans="1:18">
      <c r="A32" s="168" t="s">
        <v>40</v>
      </c>
      <c r="B32" s="37">
        <f>IF( ISERROR(IND_voed_ele_kWh/1000),0,IND_voed_ele_kWh/1000)</f>
        <v>336.286</v>
      </c>
      <c r="C32" s="39">
        <f>IF(ISERROR(B32*3.6/1000000/'E Balans VL '!Z20*100),0,B32*3.6/1000000/'E Balans VL '!Z20*100)</f>
        <v>1.1232917079680049E-2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2518.2449999999999</v>
      </c>
      <c r="C34" s="39">
        <f>IF(ISERROR(B34*3.6/1000000/'E Balans VL '!Z22*100),0,B34*3.6/1000000/'E Balans VL '!Z22*100)</f>
        <v>0.48977099115104117</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2.6320000000000001</v>
      </c>
      <c r="C37" s="39">
        <f>IF(ISERROR(B37*3.6/1000000/'E Balans VL '!Z15*100),0,B37*3.6/1000000/'E Balans VL '!Z15*100)</f>
        <v>1.9577792105216724E-5</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3086.3809999999999</v>
      </c>
      <c r="C5" s="17">
        <f>'Eigen informatie GS &amp; warmtenet'!B60</f>
        <v>0</v>
      </c>
      <c r="D5" s="30">
        <f>IF(ISERROR(SUM(LB_lb_gas_kWh,LB_rest_gas_kWh)/1000),0,SUM(LB_lb_gas_kWh,LB_rest_gas_kWh)/1000)*0.902</f>
        <v>2092.1330760000001</v>
      </c>
      <c r="E5" s="17">
        <f>B17*'E Balans VL '!I25/3.6*1000000/100</f>
        <v>27.812209082316659</v>
      </c>
      <c r="F5" s="17">
        <f>B17*('E Balans VL '!L25/3.6*1000000+'E Balans VL '!N25/3.6*1000000)/100</f>
        <v>11564.763738503454</v>
      </c>
      <c r="G5" s="18"/>
      <c r="H5" s="17"/>
      <c r="I5" s="17"/>
      <c r="J5" s="17">
        <f>('E Balans VL '!D25+'E Balans VL '!E25)/3.6*1000000*landbouw!B17/100</f>
        <v>312.32899228462213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3086.3809999999999</v>
      </c>
      <c r="C8" s="21">
        <f>C5+C6</f>
        <v>0</v>
      </c>
      <c r="D8" s="21">
        <f>MAX((D5+D6),0)</f>
        <v>2092.1330760000001</v>
      </c>
      <c r="E8" s="21">
        <f>MAX((E5+E6),0)</f>
        <v>27.812209082316659</v>
      </c>
      <c r="F8" s="21">
        <f>MAX((F5+F6),0)</f>
        <v>11564.763738503454</v>
      </c>
      <c r="G8" s="21"/>
      <c r="H8" s="21"/>
      <c r="I8" s="21"/>
      <c r="J8" s="21">
        <f>MAX((J5+J6),0)</f>
        <v>312.32899228462213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0.20446349801142841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631.05225545601036</v>
      </c>
      <c r="C12" s="23">
        <f ca="1">C8*C10</f>
        <v>0</v>
      </c>
      <c r="D12" s="23">
        <f>D8*D10</f>
        <v>422.61088135200004</v>
      </c>
      <c r="E12" s="23">
        <f>E8*E10</f>
        <v>6.3133714616858816</v>
      </c>
      <c r="F12" s="23">
        <f>F8*F10</f>
        <v>3087.7919181804223</v>
      </c>
      <c r="G12" s="23"/>
      <c r="H12" s="23"/>
      <c r="I12" s="23"/>
      <c r="J12" s="23">
        <f>J8*J10</f>
        <v>110.56446326875623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0.47505361406325147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508.44020966656325</v>
      </c>
      <c r="C26" s="243">
        <f>B26*'GWP N2O_CH4'!B5</f>
        <v>10677.244402997829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244.95928174872989</v>
      </c>
      <c r="C27" s="243">
        <f>B27*'GWP N2O_CH4'!B5</f>
        <v>5144.1449167233277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7.5063160382187419</v>
      </c>
      <c r="C28" s="243">
        <f>B28*'GWP N2O_CH4'!B4</f>
        <v>2326.9579718478099</v>
      </c>
      <c r="D28" s="50"/>
    </row>
    <row r="29" spans="1:4">
      <c r="A29" s="41" t="s">
        <v>266</v>
      </c>
      <c r="B29" s="243">
        <f>B34*'ha_N2O bodem landbouw'!B4</f>
        <v>17.404070951222813</v>
      </c>
      <c r="C29" s="243">
        <f>B29*'GWP N2O_CH4'!B4</f>
        <v>5395.2619948790725</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4.5186365880204834E-3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2.5397463749624894E-6</v>
      </c>
      <c r="C5" s="431" t="s">
        <v>204</v>
      </c>
      <c r="D5" s="416">
        <f>SUM(D6:D11)</f>
        <v>8.6858304394954396E-6</v>
      </c>
      <c r="E5" s="416">
        <f>SUM(E6:E11)</f>
        <v>8.8751404492833942E-4</v>
      </c>
      <c r="F5" s="429" t="s">
        <v>204</v>
      </c>
      <c r="G5" s="416">
        <f>SUM(G6:G11)</f>
        <v>0.16205858594086081</v>
      </c>
      <c r="H5" s="416">
        <f>SUM(H6:H11)</f>
        <v>2.9782472772484726E-2</v>
      </c>
      <c r="I5" s="431" t="s">
        <v>204</v>
      </c>
      <c r="J5" s="431" t="s">
        <v>204</v>
      </c>
      <c r="K5" s="431" t="s">
        <v>204</v>
      </c>
      <c r="L5" s="431" t="s">
        <v>204</v>
      </c>
      <c r="M5" s="416">
        <f>SUM(M6:M11)</f>
        <v>8.3520907512188419E-3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1.9954017674993777E-6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6.2984395156027512E-6</v>
      </c>
      <c r="E6" s="419">
        <f>vkm_GW_PW*SUMIFS(TableVerdeelsleutelVkm[LPG],TableVerdeelsleutelVkm[Voertuigtype],"Lichte voertuigen")*SUMIFS(TableECFTransport[EnergieConsumptieFactor (PJ per km)],TableECFTransport[Index],CONCATENATE($A6,"_LPG_LPG"))</f>
        <v>6.5414624408750008E-4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8.7317071210232355E-2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2.1930285496656612E-2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4.7708906131033102E-3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9.4093459441253507E-8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4.2415028864552944E-2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1.2480348026599001E-6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1.8272616675997404E-3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4.4593741066673199E-7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2.3873909238926889E-6</v>
      </c>
      <c r="E8" s="419">
        <f>vkm_NGW_PW*SUMIFS(TableVerdeelsleutelVkm[LPG],TableVerdeelsleutelVkm[Voertuigtype],"Lichte voertuigen")*SUMIFS(TableECFTransport[EnergieConsumptieFactor (PJ per km)],TableECFTransport[Index],CONCATENATE($A8,"_LPG_LPG"))</f>
        <v>2.3336780084083934E-4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2.963301026203094E-2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7.8508701793030267E-3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1.6379025992891557E-3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4.313737355126109E-9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2.6934756040445612E-3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6.9061722426480544E-8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1.1603587122663425E-4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0.7054851041562471</v>
      </c>
      <c r="C14" s="21"/>
      <c r="D14" s="21">
        <f t="shared" ref="D14:M14" si="0">((D5)*10^9/3600)+D12</f>
        <v>2.4127306776376218</v>
      </c>
      <c r="E14" s="21">
        <f t="shared" si="0"/>
        <v>246.53167914676095</v>
      </c>
      <c r="F14" s="21"/>
      <c r="G14" s="21">
        <f t="shared" si="0"/>
        <v>45016.273872461337</v>
      </c>
      <c r="H14" s="21">
        <f t="shared" si="0"/>
        <v>8272.9091034679805</v>
      </c>
      <c r="I14" s="21"/>
      <c r="J14" s="21"/>
      <c r="K14" s="21"/>
      <c r="L14" s="21"/>
      <c r="M14" s="21">
        <f t="shared" si="0"/>
        <v>2320.0252086719006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0.20446349801142841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0.14424595219074318</v>
      </c>
      <c r="C18" s="23"/>
      <c r="D18" s="23">
        <f t="shared" ref="D18:M18" si="1">D14*D16</f>
        <v>0.48737159688279963</v>
      </c>
      <c r="E18" s="23">
        <f t="shared" si="1"/>
        <v>55.962691166314741</v>
      </c>
      <c r="F18" s="23"/>
      <c r="G18" s="23">
        <f t="shared" si="1"/>
        <v>12019.345123947178</v>
      </c>
      <c r="H18" s="23">
        <f t="shared" si="1"/>
        <v>2059.9543667635271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8.3414722371796282E-6</v>
      </c>
      <c r="C50" s="313">
        <f t="shared" ref="C50:P50" si="2">SUM(C51:C52)</f>
        <v>0</v>
      </c>
      <c r="D50" s="313">
        <f t="shared" si="2"/>
        <v>0</v>
      </c>
      <c r="E50" s="313">
        <f t="shared" si="2"/>
        <v>0</v>
      </c>
      <c r="F50" s="313">
        <f t="shared" si="2"/>
        <v>0</v>
      </c>
      <c r="G50" s="313">
        <f t="shared" si="2"/>
        <v>1.8095986546563926E-3</v>
      </c>
      <c r="H50" s="313">
        <f t="shared" si="2"/>
        <v>0</v>
      </c>
      <c r="I50" s="313">
        <f t="shared" si="2"/>
        <v>0</v>
      </c>
      <c r="J50" s="313">
        <f t="shared" si="2"/>
        <v>0</v>
      </c>
      <c r="K50" s="313">
        <f t="shared" si="2"/>
        <v>0</v>
      </c>
      <c r="L50" s="313">
        <f t="shared" si="2"/>
        <v>0</v>
      </c>
      <c r="M50" s="313">
        <f t="shared" si="2"/>
        <v>7.7480063273313953E-5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8.3414722371796282E-6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1.8095986546563926E-3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7.7480063273313953E-5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2.3170756214387858</v>
      </c>
      <c r="C54" s="21">
        <f t="shared" ref="C54:P54" si="3">(C50)*10^9/3600</f>
        <v>0</v>
      </c>
      <c r="D54" s="21">
        <f t="shared" si="3"/>
        <v>0</v>
      </c>
      <c r="E54" s="21">
        <f t="shared" si="3"/>
        <v>0</v>
      </c>
      <c r="F54" s="21">
        <f t="shared" si="3"/>
        <v>0</v>
      </c>
      <c r="G54" s="21">
        <f t="shared" si="3"/>
        <v>502.66629296010905</v>
      </c>
      <c r="H54" s="21">
        <f t="shared" si="3"/>
        <v>0</v>
      </c>
      <c r="I54" s="21">
        <f t="shared" si="3"/>
        <v>0</v>
      </c>
      <c r="J54" s="21">
        <f t="shared" si="3"/>
        <v>0</v>
      </c>
      <c r="K54" s="21">
        <f t="shared" si="3"/>
        <v>0</v>
      </c>
      <c r="L54" s="21">
        <f t="shared" si="3"/>
        <v>0</v>
      </c>
      <c r="M54" s="21">
        <f t="shared" si="3"/>
        <v>21.522239798142763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0.20446349801142841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0.4737573867163784</v>
      </c>
      <c r="C58" s="23">
        <f t="shared" ref="C58:P58" ca="1" si="4">C54*C56</f>
        <v>0</v>
      </c>
      <c r="D58" s="23">
        <f t="shared" si="4"/>
        <v>0</v>
      </c>
      <c r="E58" s="23">
        <f t="shared" si="4"/>
        <v>0</v>
      </c>
      <c r="F58" s="23">
        <f t="shared" si="4"/>
        <v>0</v>
      </c>
      <c r="G58" s="23">
        <f t="shared" si="4"/>
        <v>134.21190022034912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3162.515986770024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3162.515986770024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9064.6540000000005</v>
      </c>
      <c r="D10" s="635">
        <f ca="1">tertiair!C16</f>
        <v>0</v>
      </c>
      <c r="E10" s="635">
        <f ca="1">tertiair!D16</f>
        <v>3403.7366880000004</v>
      </c>
      <c r="F10" s="635">
        <f>tertiair!E16</f>
        <v>150.92699412179269</v>
      </c>
      <c r="G10" s="635">
        <f ca="1">tertiair!F16</f>
        <v>1700.1501168764028</v>
      </c>
      <c r="H10" s="635">
        <f>tertiair!G16</f>
        <v>0</v>
      </c>
      <c r="I10" s="635">
        <f>tertiair!H16</f>
        <v>0</v>
      </c>
      <c r="J10" s="635">
        <f>tertiair!I16</f>
        <v>0</v>
      </c>
      <c r="K10" s="635">
        <f>tertiair!J16</f>
        <v>0</v>
      </c>
      <c r="L10" s="635">
        <f>tertiair!K16</f>
        <v>0</v>
      </c>
      <c r="M10" s="635">
        <f ca="1">tertiair!L16</f>
        <v>0</v>
      </c>
      <c r="N10" s="635">
        <f>tertiair!M16</f>
        <v>0</v>
      </c>
      <c r="O10" s="635">
        <f ca="1">tertiair!N16</f>
        <v>412.97798569633466</v>
      </c>
      <c r="P10" s="635">
        <f>tertiair!O16</f>
        <v>0</v>
      </c>
      <c r="Q10" s="636">
        <f>tertiair!P16</f>
        <v>0</v>
      </c>
      <c r="R10" s="638">
        <f ca="1">SUM(C10:Q10)</f>
        <v>14732.445784694532</v>
      </c>
      <c r="S10" s="67"/>
    </row>
    <row r="11" spans="1:19" s="441" customFormat="1">
      <c r="A11" s="749" t="s">
        <v>214</v>
      </c>
      <c r="B11" s="754"/>
      <c r="C11" s="635">
        <f>huishoudens!B8</f>
        <v>23915.384397766338</v>
      </c>
      <c r="D11" s="635">
        <f>huishoudens!C8</f>
        <v>0</v>
      </c>
      <c r="E11" s="635">
        <f>huishoudens!D8</f>
        <v>24484.780078000003</v>
      </c>
      <c r="F11" s="635">
        <f>huishoudens!E8</f>
        <v>1569.4203369157806</v>
      </c>
      <c r="G11" s="635">
        <f>huishoudens!F8</f>
        <v>53571.214708073021</v>
      </c>
      <c r="H11" s="635">
        <f>huishoudens!G8</f>
        <v>0</v>
      </c>
      <c r="I11" s="635">
        <f>huishoudens!H8</f>
        <v>0</v>
      </c>
      <c r="J11" s="635">
        <f>huishoudens!I8</f>
        <v>0</v>
      </c>
      <c r="K11" s="635">
        <f>huishoudens!J8</f>
        <v>1206.2879368117781</v>
      </c>
      <c r="L11" s="635">
        <f>huishoudens!K8</f>
        <v>0</v>
      </c>
      <c r="M11" s="635">
        <f>huishoudens!L8</f>
        <v>0</v>
      </c>
      <c r="N11" s="635">
        <f>huishoudens!M8</f>
        <v>0</v>
      </c>
      <c r="O11" s="635">
        <f>huishoudens!N8</f>
        <v>6064.4734345642928</v>
      </c>
      <c r="P11" s="635">
        <f>huishoudens!O8</f>
        <v>48.463333333333338</v>
      </c>
      <c r="Q11" s="636">
        <f>huishoudens!P8</f>
        <v>228.8</v>
      </c>
      <c r="R11" s="638">
        <f>SUM(C11:Q11)</f>
        <v>111088.82422546456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4586.1799999999994</v>
      </c>
      <c r="D13" s="635">
        <f>industrie!C18</f>
        <v>0</v>
      </c>
      <c r="E13" s="635">
        <f>industrie!D18</f>
        <v>2635.7829080000001</v>
      </c>
      <c r="F13" s="635">
        <f>industrie!E18</f>
        <v>87.50259078303408</v>
      </c>
      <c r="G13" s="635">
        <f>industrie!F18</f>
        <v>1186.2962861884262</v>
      </c>
      <c r="H13" s="635">
        <f>industrie!G18</f>
        <v>0</v>
      </c>
      <c r="I13" s="635">
        <f>industrie!H18</f>
        <v>0</v>
      </c>
      <c r="J13" s="635">
        <f>industrie!I18</f>
        <v>0</v>
      </c>
      <c r="K13" s="635">
        <f>industrie!J18</f>
        <v>30.773711413841848</v>
      </c>
      <c r="L13" s="635">
        <f>industrie!K18</f>
        <v>0</v>
      </c>
      <c r="M13" s="635">
        <f>industrie!L18</f>
        <v>0</v>
      </c>
      <c r="N13" s="635">
        <f>industrie!M18</f>
        <v>0</v>
      </c>
      <c r="O13" s="635">
        <f>industrie!N18</f>
        <v>82.039960111063095</v>
      </c>
      <c r="P13" s="635">
        <f>industrie!O18</f>
        <v>0</v>
      </c>
      <c r="Q13" s="636">
        <f>industrie!P18</f>
        <v>0</v>
      </c>
      <c r="R13" s="638">
        <f>SUM(C13:Q13)</f>
        <v>8608.5754564963645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37566.218397766337</v>
      </c>
      <c r="D16" s="668">
        <f t="shared" ref="D16:R16" ca="1" si="0">SUM(D9:D15)</f>
        <v>0</v>
      </c>
      <c r="E16" s="668">
        <f t="shared" ca="1" si="0"/>
        <v>30524.299674000005</v>
      </c>
      <c r="F16" s="668">
        <f t="shared" si="0"/>
        <v>1807.8499218206073</v>
      </c>
      <c r="G16" s="668">
        <f t="shared" ca="1" si="0"/>
        <v>56457.661111137844</v>
      </c>
      <c r="H16" s="668">
        <f t="shared" si="0"/>
        <v>0</v>
      </c>
      <c r="I16" s="668">
        <f t="shared" si="0"/>
        <v>0</v>
      </c>
      <c r="J16" s="668">
        <f t="shared" si="0"/>
        <v>0</v>
      </c>
      <c r="K16" s="668">
        <f t="shared" si="0"/>
        <v>1237.0616482256198</v>
      </c>
      <c r="L16" s="668">
        <f t="shared" si="0"/>
        <v>0</v>
      </c>
      <c r="M16" s="668">
        <f t="shared" ca="1" si="0"/>
        <v>0</v>
      </c>
      <c r="N16" s="668">
        <f t="shared" si="0"/>
        <v>0</v>
      </c>
      <c r="O16" s="668">
        <f t="shared" ca="1" si="0"/>
        <v>6559.4913803716909</v>
      </c>
      <c r="P16" s="668">
        <f t="shared" si="0"/>
        <v>48.463333333333338</v>
      </c>
      <c r="Q16" s="668">
        <f t="shared" si="0"/>
        <v>228.8</v>
      </c>
      <c r="R16" s="668">
        <f t="shared" ca="1" si="0"/>
        <v>134429.84546665545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2.3170756214387858</v>
      </c>
      <c r="D19" s="635">
        <f>transport!C54</f>
        <v>0</v>
      </c>
      <c r="E19" s="635">
        <f>transport!D54</f>
        <v>0</v>
      </c>
      <c r="F19" s="635">
        <f>transport!E54</f>
        <v>0</v>
      </c>
      <c r="G19" s="635">
        <f>transport!F54</f>
        <v>0</v>
      </c>
      <c r="H19" s="635">
        <f>transport!G54</f>
        <v>502.66629296010905</v>
      </c>
      <c r="I19" s="635">
        <f>transport!H54</f>
        <v>0</v>
      </c>
      <c r="J19" s="635">
        <f>transport!I54</f>
        <v>0</v>
      </c>
      <c r="K19" s="635">
        <f>transport!J54</f>
        <v>0</v>
      </c>
      <c r="L19" s="635">
        <f>transport!K54</f>
        <v>0</v>
      </c>
      <c r="M19" s="635">
        <f>transport!L54</f>
        <v>0</v>
      </c>
      <c r="N19" s="635">
        <f>transport!M54</f>
        <v>21.522239798142763</v>
      </c>
      <c r="O19" s="635">
        <f>transport!N54</f>
        <v>0</v>
      </c>
      <c r="P19" s="635">
        <f>transport!O54</f>
        <v>0</v>
      </c>
      <c r="Q19" s="636">
        <f>transport!P54</f>
        <v>0</v>
      </c>
      <c r="R19" s="638">
        <f>SUM(C19:Q19)</f>
        <v>526.50560837969056</v>
      </c>
      <c r="S19" s="67"/>
    </row>
    <row r="20" spans="1:19" s="441" customFormat="1">
      <c r="A20" s="749" t="s">
        <v>296</v>
      </c>
      <c r="B20" s="754"/>
      <c r="C20" s="635">
        <f>transport!B14</f>
        <v>0.7054851041562471</v>
      </c>
      <c r="D20" s="635">
        <f>transport!C14</f>
        <v>0</v>
      </c>
      <c r="E20" s="635">
        <f>transport!D14</f>
        <v>2.4127306776376218</v>
      </c>
      <c r="F20" s="635">
        <f>transport!E14</f>
        <v>246.53167914676095</v>
      </c>
      <c r="G20" s="635">
        <f>transport!F14</f>
        <v>0</v>
      </c>
      <c r="H20" s="635">
        <f>transport!G14</f>
        <v>45016.273872461337</v>
      </c>
      <c r="I20" s="635">
        <f>transport!H14</f>
        <v>8272.9091034679805</v>
      </c>
      <c r="J20" s="635">
        <f>transport!I14</f>
        <v>0</v>
      </c>
      <c r="K20" s="635">
        <f>transport!J14</f>
        <v>0</v>
      </c>
      <c r="L20" s="635">
        <f>transport!K14</f>
        <v>0</v>
      </c>
      <c r="M20" s="635">
        <f>transport!L14</f>
        <v>0</v>
      </c>
      <c r="N20" s="635">
        <f>transport!M14</f>
        <v>2320.0252086719006</v>
      </c>
      <c r="O20" s="635">
        <f>transport!N14</f>
        <v>0</v>
      </c>
      <c r="P20" s="635">
        <f>transport!O14</f>
        <v>0</v>
      </c>
      <c r="Q20" s="636">
        <f>transport!P14</f>
        <v>0</v>
      </c>
      <c r="R20" s="638">
        <f>SUM(C20:Q20)</f>
        <v>55858.858079529768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3.0225607255950329</v>
      </c>
      <c r="D22" s="752">
        <f t="shared" ref="D22:R22" si="1">SUM(D18:D21)</f>
        <v>0</v>
      </c>
      <c r="E22" s="752">
        <f t="shared" si="1"/>
        <v>2.4127306776376218</v>
      </c>
      <c r="F22" s="752">
        <f t="shared" si="1"/>
        <v>246.53167914676095</v>
      </c>
      <c r="G22" s="752">
        <f t="shared" si="1"/>
        <v>0</v>
      </c>
      <c r="H22" s="752">
        <f t="shared" si="1"/>
        <v>45518.940165421445</v>
      </c>
      <c r="I22" s="752">
        <f t="shared" si="1"/>
        <v>8272.9091034679805</v>
      </c>
      <c r="J22" s="752">
        <f t="shared" si="1"/>
        <v>0</v>
      </c>
      <c r="K22" s="752">
        <f t="shared" si="1"/>
        <v>0</v>
      </c>
      <c r="L22" s="752">
        <f t="shared" si="1"/>
        <v>0</v>
      </c>
      <c r="M22" s="752">
        <f t="shared" si="1"/>
        <v>0</v>
      </c>
      <c r="N22" s="752">
        <f t="shared" si="1"/>
        <v>2341.5474484700435</v>
      </c>
      <c r="O22" s="752">
        <f t="shared" si="1"/>
        <v>0</v>
      </c>
      <c r="P22" s="752">
        <f t="shared" si="1"/>
        <v>0</v>
      </c>
      <c r="Q22" s="752">
        <f t="shared" si="1"/>
        <v>0</v>
      </c>
      <c r="R22" s="752">
        <f t="shared" si="1"/>
        <v>56385.363687909456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3086.3809999999999</v>
      </c>
      <c r="D24" s="635">
        <f>+landbouw!C8</f>
        <v>0</v>
      </c>
      <c r="E24" s="635">
        <f>+landbouw!D8</f>
        <v>2092.1330760000001</v>
      </c>
      <c r="F24" s="635">
        <f>+landbouw!E8</f>
        <v>27.812209082316659</v>
      </c>
      <c r="G24" s="635">
        <f>+landbouw!F8</f>
        <v>11564.763738503454</v>
      </c>
      <c r="H24" s="635">
        <f>+landbouw!G8</f>
        <v>0</v>
      </c>
      <c r="I24" s="635">
        <f>+landbouw!H8</f>
        <v>0</v>
      </c>
      <c r="J24" s="635">
        <f>+landbouw!I8</f>
        <v>0</v>
      </c>
      <c r="K24" s="635">
        <f>+landbouw!J8</f>
        <v>312.32899228462213</v>
      </c>
      <c r="L24" s="635">
        <f>+landbouw!K8</f>
        <v>0</v>
      </c>
      <c r="M24" s="635">
        <f>+landbouw!L8</f>
        <v>0</v>
      </c>
      <c r="N24" s="635">
        <f>+landbouw!M8</f>
        <v>0</v>
      </c>
      <c r="O24" s="635">
        <f>+landbouw!N8</f>
        <v>0</v>
      </c>
      <c r="P24" s="635">
        <f>+landbouw!O8</f>
        <v>0</v>
      </c>
      <c r="Q24" s="636">
        <f>+landbouw!P8</f>
        <v>0</v>
      </c>
      <c r="R24" s="638">
        <f>SUM(C24:Q24)</f>
        <v>17083.419015870393</v>
      </c>
      <c r="S24" s="67"/>
    </row>
    <row r="25" spans="1:19" s="441" customFormat="1" ht="15" thickBot="1">
      <c r="A25" s="771" t="s">
        <v>864</v>
      </c>
      <c r="B25" s="923"/>
      <c r="C25" s="924">
        <f>IF(Onbekend_ele_kWh="---",0,Onbekend_ele_kWh)/1000+IF(REST_rest_ele_kWh="---",0,REST_rest_ele_kWh)/1000</f>
        <v>1609.425</v>
      </c>
      <c r="D25" s="924"/>
      <c r="E25" s="924">
        <f>IF(onbekend_gas_kWh="---",0,onbekend_gas_kWh)/1000+IF(REST_rest_gas_kWh="---",0,REST_rest_gas_kWh)/1000</f>
        <v>908.09</v>
      </c>
      <c r="F25" s="924"/>
      <c r="G25" s="924"/>
      <c r="H25" s="924"/>
      <c r="I25" s="924"/>
      <c r="J25" s="924"/>
      <c r="K25" s="924"/>
      <c r="L25" s="924"/>
      <c r="M25" s="924"/>
      <c r="N25" s="924"/>
      <c r="O25" s="924"/>
      <c r="P25" s="924"/>
      <c r="Q25" s="925"/>
      <c r="R25" s="638">
        <f>SUM(C25:Q25)</f>
        <v>2517.5149999999999</v>
      </c>
      <c r="S25" s="67"/>
    </row>
    <row r="26" spans="1:19" s="441" customFormat="1" ht="15.75" thickBot="1">
      <c r="A26" s="641" t="s">
        <v>865</v>
      </c>
      <c r="B26" s="757"/>
      <c r="C26" s="752">
        <f>SUM(C24:C25)</f>
        <v>4695.8059999999996</v>
      </c>
      <c r="D26" s="752">
        <f t="shared" ref="D26:R26" si="2">SUM(D24:D25)</f>
        <v>0</v>
      </c>
      <c r="E26" s="752">
        <f t="shared" si="2"/>
        <v>3000.2230760000002</v>
      </c>
      <c r="F26" s="752">
        <f t="shared" si="2"/>
        <v>27.812209082316659</v>
      </c>
      <c r="G26" s="752">
        <f t="shared" si="2"/>
        <v>11564.763738503454</v>
      </c>
      <c r="H26" s="752">
        <f t="shared" si="2"/>
        <v>0</v>
      </c>
      <c r="I26" s="752">
        <f t="shared" si="2"/>
        <v>0</v>
      </c>
      <c r="J26" s="752">
        <f t="shared" si="2"/>
        <v>0</v>
      </c>
      <c r="K26" s="752">
        <f t="shared" si="2"/>
        <v>312.32899228462213</v>
      </c>
      <c r="L26" s="752">
        <f t="shared" si="2"/>
        <v>0</v>
      </c>
      <c r="M26" s="752">
        <f t="shared" si="2"/>
        <v>0</v>
      </c>
      <c r="N26" s="752">
        <f t="shared" si="2"/>
        <v>0</v>
      </c>
      <c r="O26" s="752">
        <f t="shared" si="2"/>
        <v>0</v>
      </c>
      <c r="P26" s="752">
        <f t="shared" si="2"/>
        <v>0</v>
      </c>
      <c r="Q26" s="752">
        <f t="shared" si="2"/>
        <v>0</v>
      </c>
      <c r="R26" s="752">
        <f t="shared" si="2"/>
        <v>19600.934015870393</v>
      </c>
      <c r="S26" s="67"/>
    </row>
    <row r="27" spans="1:19" s="441" customFormat="1" ht="17.25" thickTop="1" thickBot="1">
      <c r="A27" s="642" t="s">
        <v>109</v>
      </c>
      <c r="B27" s="744"/>
      <c r="C27" s="643">
        <f ca="1">C22+C16+C26</f>
        <v>42265.046958491926</v>
      </c>
      <c r="D27" s="643">
        <f t="shared" ref="D27:R27" ca="1" si="3">D22+D16+D26</f>
        <v>0</v>
      </c>
      <c r="E27" s="643">
        <f t="shared" ca="1" si="3"/>
        <v>33526.935480677646</v>
      </c>
      <c r="F27" s="643">
        <f t="shared" si="3"/>
        <v>2082.193810049685</v>
      </c>
      <c r="G27" s="643">
        <f t="shared" ca="1" si="3"/>
        <v>68022.424849641306</v>
      </c>
      <c r="H27" s="643">
        <f t="shared" si="3"/>
        <v>45518.940165421445</v>
      </c>
      <c r="I27" s="643">
        <f t="shared" si="3"/>
        <v>8272.9091034679805</v>
      </c>
      <c r="J27" s="643">
        <f t="shared" si="3"/>
        <v>0</v>
      </c>
      <c r="K27" s="643">
        <f t="shared" si="3"/>
        <v>1549.3906405102421</v>
      </c>
      <c r="L27" s="643">
        <f t="shared" si="3"/>
        <v>0</v>
      </c>
      <c r="M27" s="643">
        <f t="shared" ca="1" si="3"/>
        <v>0</v>
      </c>
      <c r="N27" s="643">
        <f t="shared" si="3"/>
        <v>2341.5474484700435</v>
      </c>
      <c r="O27" s="643">
        <f t="shared" ca="1" si="3"/>
        <v>6559.4913803716909</v>
      </c>
      <c r="P27" s="643">
        <f t="shared" si="3"/>
        <v>48.463333333333338</v>
      </c>
      <c r="Q27" s="643">
        <f t="shared" si="3"/>
        <v>228.8</v>
      </c>
      <c r="R27" s="643">
        <f t="shared" ca="1" si="3"/>
        <v>210416.14317043527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1853.3908651032868</v>
      </c>
      <c r="D40" s="635">
        <f ca="1">tertiair!C20</f>
        <v>0</v>
      </c>
      <c r="E40" s="635">
        <f ca="1">tertiair!D20</f>
        <v>687.55481097600011</v>
      </c>
      <c r="F40" s="635">
        <f>tertiair!E20</f>
        <v>34.260427665646944</v>
      </c>
      <c r="G40" s="635">
        <f ca="1">tertiair!F20</f>
        <v>453.94008120599955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3029.1461849509333</v>
      </c>
    </row>
    <row r="41" spans="1:18">
      <c r="A41" s="762" t="s">
        <v>214</v>
      </c>
      <c r="B41" s="769"/>
      <c r="C41" s="635">
        <f ca="1">huishoudens!B12</f>
        <v>4889.8231502552435</v>
      </c>
      <c r="D41" s="635">
        <f ca="1">huishoudens!C12</f>
        <v>0</v>
      </c>
      <c r="E41" s="635">
        <f>huishoudens!D12</f>
        <v>4945.9255757560013</v>
      </c>
      <c r="F41" s="635">
        <f>huishoudens!E12</f>
        <v>356.25841647988221</v>
      </c>
      <c r="G41" s="635">
        <f>huishoudens!F12</f>
        <v>14303.514327055498</v>
      </c>
      <c r="H41" s="635">
        <f>huishoudens!G12</f>
        <v>0</v>
      </c>
      <c r="I41" s="635">
        <f>huishoudens!H12</f>
        <v>0</v>
      </c>
      <c r="J41" s="635">
        <f>huishoudens!I12</f>
        <v>0</v>
      </c>
      <c r="K41" s="635">
        <f>huishoudens!J12</f>
        <v>427.02592963136942</v>
      </c>
      <c r="L41" s="635">
        <f>huishoudens!K12</f>
        <v>0</v>
      </c>
      <c r="M41" s="635">
        <f>huishoudens!L12</f>
        <v>0</v>
      </c>
      <c r="N41" s="635">
        <f>huishoudens!M12</f>
        <v>0</v>
      </c>
      <c r="O41" s="635">
        <f>huishoudens!N12</f>
        <v>0</v>
      </c>
      <c r="P41" s="635">
        <f>huishoudens!O12</f>
        <v>0</v>
      </c>
      <c r="Q41" s="710">
        <f>huishoudens!P12</f>
        <v>0</v>
      </c>
      <c r="R41" s="790">
        <f t="shared" ca="1" si="4"/>
        <v>24922.547399177998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937.70640531005256</v>
      </c>
      <c r="D43" s="635">
        <f ca="1">industrie!C22</f>
        <v>0</v>
      </c>
      <c r="E43" s="635">
        <f>industrie!D22</f>
        <v>532.42814741600012</v>
      </c>
      <c r="F43" s="635">
        <f>industrie!E22</f>
        <v>19.863088107748737</v>
      </c>
      <c r="G43" s="635">
        <f>industrie!F22</f>
        <v>316.74110841230981</v>
      </c>
      <c r="H43" s="635">
        <f>industrie!G22</f>
        <v>0</v>
      </c>
      <c r="I43" s="635">
        <f>industrie!H22</f>
        <v>0</v>
      </c>
      <c r="J43" s="635">
        <f>industrie!I22</f>
        <v>0</v>
      </c>
      <c r="K43" s="635">
        <f>industrie!J22</f>
        <v>10.893893840500013</v>
      </c>
      <c r="L43" s="635">
        <f>industrie!K22</f>
        <v>0</v>
      </c>
      <c r="M43" s="635">
        <f>industrie!L22</f>
        <v>0</v>
      </c>
      <c r="N43" s="635">
        <f>industrie!M22</f>
        <v>0</v>
      </c>
      <c r="O43" s="635">
        <f>industrie!N22</f>
        <v>0</v>
      </c>
      <c r="P43" s="635">
        <f>industrie!O22</f>
        <v>0</v>
      </c>
      <c r="Q43" s="710">
        <f>industrie!P22</f>
        <v>0</v>
      </c>
      <c r="R43" s="789">
        <f t="shared" ca="1" si="4"/>
        <v>1817.6326430866113</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7680.9204206685827</v>
      </c>
      <c r="D46" s="668">
        <f t="shared" ref="D46:Q46" ca="1" si="5">SUM(D39:D45)</f>
        <v>0</v>
      </c>
      <c r="E46" s="668">
        <f t="shared" ca="1" si="5"/>
        <v>6165.9085341480013</v>
      </c>
      <c r="F46" s="668">
        <f t="shared" si="5"/>
        <v>410.38193225327791</v>
      </c>
      <c r="G46" s="668">
        <f t="shared" ca="1" si="5"/>
        <v>15074.195516673808</v>
      </c>
      <c r="H46" s="668">
        <f t="shared" si="5"/>
        <v>0</v>
      </c>
      <c r="I46" s="668">
        <f t="shared" si="5"/>
        <v>0</v>
      </c>
      <c r="J46" s="668">
        <f t="shared" si="5"/>
        <v>0</v>
      </c>
      <c r="K46" s="668">
        <f t="shared" si="5"/>
        <v>437.91982347186945</v>
      </c>
      <c r="L46" s="668">
        <f t="shared" si="5"/>
        <v>0</v>
      </c>
      <c r="M46" s="668">
        <f t="shared" ca="1" si="5"/>
        <v>0</v>
      </c>
      <c r="N46" s="668">
        <f t="shared" si="5"/>
        <v>0</v>
      </c>
      <c r="O46" s="668">
        <f t="shared" ca="1" si="5"/>
        <v>0</v>
      </c>
      <c r="P46" s="668">
        <f t="shared" si="5"/>
        <v>0</v>
      </c>
      <c r="Q46" s="668">
        <f t="shared" si="5"/>
        <v>0</v>
      </c>
      <c r="R46" s="668">
        <f ca="1">SUM(R39:R45)</f>
        <v>29769.326227215541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0.4737573867163784</v>
      </c>
      <c r="D49" s="635">
        <f ca="1">transport!C58</f>
        <v>0</v>
      </c>
      <c r="E49" s="635">
        <f>transport!D58</f>
        <v>0</v>
      </c>
      <c r="F49" s="635">
        <f>transport!E58</f>
        <v>0</v>
      </c>
      <c r="G49" s="635">
        <f>transport!F58</f>
        <v>0</v>
      </c>
      <c r="H49" s="635">
        <f>transport!G58</f>
        <v>134.21190022034912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134.68565760706551</v>
      </c>
    </row>
    <row r="50" spans="1:18">
      <c r="A50" s="765" t="s">
        <v>296</v>
      </c>
      <c r="B50" s="775"/>
      <c r="C50" s="930">
        <f ca="1">transport!B18</f>
        <v>0.14424595219074318</v>
      </c>
      <c r="D50" s="930">
        <f>transport!C18</f>
        <v>0</v>
      </c>
      <c r="E50" s="930">
        <f>transport!D18</f>
        <v>0.48737159688279963</v>
      </c>
      <c r="F50" s="930">
        <f>transport!E18</f>
        <v>55.962691166314741</v>
      </c>
      <c r="G50" s="930">
        <f>transport!F18</f>
        <v>0</v>
      </c>
      <c r="H50" s="930">
        <f>transport!G18</f>
        <v>12019.345123947178</v>
      </c>
      <c r="I50" s="930">
        <f>transport!H18</f>
        <v>2059.9543667635271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14135.893799426092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0.61800333890712156</v>
      </c>
      <c r="D52" s="668">
        <f t="shared" ref="D52:Q52" ca="1" si="6">SUM(D48:D51)</f>
        <v>0</v>
      </c>
      <c r="E52" s="668">
        <f t="shared" si="6"/>
        <v>0.48737159688279963</v>
      </c>
      <c r="F52" s="668">
        <f t="shared" si="6"/>
        <v>55.962691166314741</v>
      </c>
      <c r="G52" s="668">
        <f t="shared" si="6"/>
        <v>0</v>
      </c>
      <c r="H52" s="668">
        <f t="shared" si="6"/>
        <v>12153.557024167527</v>
      </c>
      <c r="I52" s="668">
        <f t="shared" si="6"/>
        <v>2059.9543667635271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14270.579457033158</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631.05225545601036</v>
      </c>
      <c r="D54" s="930">
        <f ca="1">+landbouw!C12</f>
        <v>0</v>
      </c>
      <c r="E54" s="930">
        <f>+landbouw!D12</f>
        <v>422.61088135200004</v>
      </c>
      <c r="F54" s="930">
        <f>+landbouw!E12</f>
        <v>6.3133714616858816</v>
      </c>
      <c r="G54" s="930">
        <f>+landbouw!F12</f>
        <v>3087.7919181804223</v>
      </c>
      <c r="H54" s="930">
        <f>+landbouw!G12</f>
        <v>0</v>
      </c>
      <c r="I54" s="930">
        <f>+landbouw!H12</f>
        <v>0</v>
      </c>
      <c r="J54" s="930">
        <f>+landbouw!I12</f>
        <v>0</v>
      </c>
      <c r="K54" s="930">
        <f>+landbouw!J12</f>
        <v>110.56446326875623</v>
      </c>
      <c r="L54" s="930">
        <f>+landbouw!K12</f>
        <v>0</v>
      </c>
      <c r="M54" s="930">
        <f>+landbouw!L12</f>
        <v>0</v>
      </c>
      <c r="N54" s="930">
        <f>+landbouw!M12</f>
        <v>0</v>
      </c>
      <c r="O54" s="930">
        <f>+landbouw!N12</f>
        <v>0</v>
      </c>
      <c r="P54" s="930">
        <f>+landbouw!O12</f>
        <v>0</v>
      </c>
      <c r="Q54" s="931">
        <f>+landbouw!P12</f>
        <v>0</v>
      </c>
      <c r="R54" s="667">
        <f ca="1">SUM(C54:Q54)</f>
        <v>4258.3328897188749</v>
      </c>
    </row>
    <row r="55" spans="1:18" ht="15" thickBot="1">
      <c r="A55" s="765" t="s">
        <v>864</v>
      </c>
      <c r="B55" s="775"/>
      <c r="C55" s="930">
        <f ca="1">C25*'EF ele_warmte'!B12</f>
        <v>329.06866528704313</v>
      </c>
      <c r="D55" s="930"/>
      <c r="E55" s="930">
        <f>E25*EF_CO2_aardgas</f>
        <v>183.43418000000003</v>
      </c>
      <c r="F55" s="930"/>
      <c r="G55" s="930"/>
      <c r="H55" s="930"/>
      <c r="I55" s="930"/>
      <c r="J55" s="930"/>
      <c r="K55" s="930"/>
      <c r="L55" s="930"/>
      <c r="M55" s="930"/>
      <c r="N55" s="930"/>
      <c r="O55" s="930"/>
      <c r="P55" s="930"/>
      <c r="Q55" s="931"/>
      <c r="R55" s="667">
        <f ca="1">SUM(C55:Q55)</f>
        <v>512.5028452870431</v>
      </c>
    </row>
    <row r="56" spans="1:18" ht="15.75" thickBot="1">
      <c r="A56" s="763" t="s">
        <v>865</v>
      </c>
      <c r="B56" s="776"/>
      <c r="C56" s="668">
        <f ca="1">SUM(C54:C55)</f>
        <v>960.12092074305349</v>
      </c>
      <c r="D56" s="668">
        <f t="shared" ref="D56:Q56" ca="1" si="7">SUM(D54:D55)</f>
        <v>0</v>
      </c>
      <c r="E56" s="668">
        <f t="shared" si="7"/>
        <v>606.04506135200006</v>
      </c>
      <c r="F56" s="668">
        <f t="shared" si="7"/>
        <v>6.3133714616858816</v>
      </c>
      <c r="G56" s="668">
        <f t="shared" si="7"/>
        <v>3087.7919181804223</v>
      </c>
      <c r="H56" s="668">
        <f t="shared" si="7"/>
        <v>0</v>
      </c>
      <c r="I56" s="668">
        <f t="shared" si="7"/>
        <v>0</v>
      </c>
      <c r="J56" s="668">
        <f t="shared" si="7"/>
        <v>0</v>
      </c>
      <c r="K56" s="668">
        <f t="shared" si="7"/>
        <v>110.56446326875623</v>
      </c>
      <c r="L56" s="668">
        <f t="shared" si="7"/>
        <v>0</v>
      </c>
      <c r="M56" s="668">
        <f t="shared" si="7"/>
        <v>0</v>
      </c>
      <c r="N56" s="668">
        <f t="shared" si="7"/>
        <v>0</v>
      </c>
      <c r="O56" s="668">
        <f t="shared" si="7"/>
        <v>0</v>
      </c>
      <c r="P56" s="668">
        <f t="shared" si="7"/>
        <v>0</v>
      </c>
      <c r="Q56" s="669">
        <f t="shared" si="7"/>
        <v>0</v>
      </c>
      <c r="R56" s="670">
        <f ca="1">SUM(R54:R55)</f>
        <v>4770.8357350059177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8641.6593447505438</v>
      </c>
      <c r="D61" s="676">
        <f t="shared" ref="D61:Q61" ca="1" si="8">D46+D52+D56</f>
        <v>0</v>
      </c>
      <c r="E61" s="676">
        <f t="shared" ca="1" si="8"/>
        <v>6772.4409670968835</v>
      </c>
      <c r="F61" s="676">
        <f t="shared" si="8"/>
        <v>472.65799488127857</v>
      </c>
      <c r="G61" s="676">
        <f t="shared" ca="1" si="8"/>
        <v>18161.987434854229</v>
      </c>
      <c r="H61" s="676">
        <f t="shared" si="8"/>
        <v>12153.557024167527</v>
      </c>
      <c r="I61" s="676">
        <f t="shared" si="8"/>
        <v>2059.9543667635271</v>
      </c>
      <c r="J61" s="676">
        <f t="shared" si="8"/>
        <v>0</v>
      </c>
      <c r="K61" s="676">
        <f t="shared" si="8"/>
        <v>548.48428674062563</v>
      </c>
      <c r="L61" s="676">
        <f t="shared" si="8"/>
        <v>0</v>
      </c>
      <c r="M61" s="676">
        <f t="shared" ca="1" si="8"/>
        <v>0</v>
      </c>
      <c r="N61" s="676">
        <f t="shared" si="8"/>
        <v>0</v>
      </c>
      <c r="O61" s="676">
        <f t="shared" ca="1" si="8"/>
        <v>0</v>
      </c>
      <c r="P61" s="676">
        <f t="shared" si="8"/>
        <v>0</v>
      </c>
      <c r="Q61" s="676">
        <f t="shared" si="8"/>
        <v>0</v>
      </c>
      <c r="R61" s="676">
        <f ca="1">R46+R52+R56</f>
        <v>48810.741419254613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0.20446349801142844</v>
      </c>
      <c r="D63" s="720">
        <f t="shared" ca="1" si="9"/>
        <v>0</v>
      </c>
      <c r="E63" s="932">
        <f t="shared" ca="1" si="9"/>
        <v>0.20199999999999996</v>
      </c>
      <c r="F63" s="720">
        <f t="shared" si="9"/>
        <v>0.22700000000000004</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3162.515986770024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3162.515986770024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23915.384397766338</v>
      </c>
      <c r="C4" s="445">
        <f>huishoudens!C8</f>
        <v>0</v>
      </c>
      <c r="D4" s="445">
        <f>huishoudens!D8</f>
        <v>24484.780078000003</v>
      </c>
      <c r="E4" s="445">
        <f>huishoudens!E8</f>
        <v>1569.4203369157806</v>
      </c>
      <c r="F4" s="445">
        <f>huishoudens!F8</f>
        <v>53571.214708073021</v>
      </c>
      <c r="G4" s="445">
        <f>huishoudens!G8</f>
        <v>0</v>
      </c>
      <c r="H4" s="445">
        <f>huishoudens!H8</f>
        <v>0</v>
      </c>
      <c r="I4" s="445">
        <f>huishoudens!I8</f>
        <v>0</v>
      </c>
      <c r="J4" s="445">
        <f>huishoudens!J8</f>
        <v>1206.2879368117781</v>
      </c>
      <c r="K4" s="445">
        <f>huishoudens!K8</f>
        <v>0</v>
      </c>
      <c r="L4" s="445">
        <f>huishoudens!L8</f>
        <v>0</v>
      </c>
      <c r="M4" s="445">
        <f>huishoudens!M8</f>
        <v>0</v>
      </c>
      <c r="N4" s="445">
        <f>huishoudens!N8</f>
        <v>6064.4734345642928</v>
      </c>
      <c r="O4" s="445">
        <f>huishoudens!O8</f>
        <v>48.463333333333338</v>
      </c>
      <c r="P4" s="446">
        <f>huishoudens!P8</f>
        <v>228.8</v>
      </c>
      <c r="Q4" s="447">
        <f>SUM(B4:P4)</f>
        <v>111088.82422546456</v>
      </c>
    </row>
    <row r="5" spans="1:17">
      <c r="A5" s="444" t="s">
        <v>149</v>
      </c>
      <c r="B5" s="445">
        <f ca="1">tertiair!B16</f>
        <v>8423.4600000000009</v>
      </c>
      <c r="C5" s="445">
        <f ca="1">tertiair!C16</f>
        <v>0</v>
      </c>
      <c r="D5" s="445">
        <f ca="1">tertiair!D16</f>
        <v>3403.7366880000004</v>
      </c>
      <c r="E5" s="445">
        <f>tertiair!E16</f>
        <v>150.92699412179269</v>
      </c>
      <c r="F5" s="445">
        <f ca="1">tertiair!F16</f>
        <v>1700.1501168764028</v>
      </c>
      <c r="G5" s="445">
        <f>tertiair!G16</f>
        <v>0</v>
      </c>
      <c r="H5" s="445">
        <f>tertiair!H16</f>
        <v>0</v>
      </c>
      <c r="I5" s="445">
        <f>tertiair!I16</f>
        <v>0</v>
      </c>
      <c r="J5" s="445">
        <f>tertiair!J16</f>
        <v>0</v>
      </c>
      <c r="K5" s="445">
        <f>tertiair!K16</f>
        <v>0</v>
      </c>
      <c r="L5" s="445">
        <f ca="1">tertiair!L16</f>
        <v>0</v>
      </c>
      <c r="M5" s="445">
        <f>tertiair!M16</f>
        <v>0</v>
      </c>
      <c r="N5" s="445">
        <f ca="1">tertiair!N16</f>
        <v>412.97798569633466</v>
      </c>
      <c r="O5" s="445">
        <f>tertiair!O16</f>
        <v>0</v>
      </c>
      <c r="P5" s="446">
        <f>tertiair!P16</f>
        <v>0</v>
      </c>
      <c r="Q5" s="444">
        <f t="shared" ref="Q5:Q14" ca="1" si="0">SUM(B5:P5)</f>
        <v>14091.251784694532</v>
      </c>
    </row>
    <row r="6" spans="1:17">
      <c r="A6" s="444" t="s">
        <v>187</v>
      </c>
      <c r="B6" s="445">
        <f>'openbare verlichting'!B8</f>
        <v>641.19399999999996</v>
      </c>
      <c r="C6" s="445"/>
      <c r="D6" s="445"/>
      <c r="E6" s="445"/>
      <c r="F6" s="445"/>
      <c r="G6" s="445"/>
      <c r="H6" s="445"/>
      <c r="I6" s="445"/>
      <c r="J6" s="445"/>
      <c r="K6" s="445"/>
      <c r="L6" s="445"/>
      <c r="M6" s="445"/>
      <c r="N6" s="445"/>
      <c r="O6" s="445"/>
      <c r="P6" s="446"/>
      <c r="Q6" s="444">
        <f t="shared" si="0"/>
        <v>641.19399999999996</v>
      </c>
    </row>
    <row r="7" spans="1:17">
      <c r="A7" s="444" t="s">
        <v>105</v>
      </c>
      <c r="B7" s="445">
        <f>landbouw!B8</f>
        <v>3086.3809999999999</v>
      </c>
      <c r="C7" s="445">
        <f>landbouw!C8</f>
        <v>0</v>
      </c>
      <c r="D7" s="445">
        <f>landbouw!D8</f>
        <v>2092.1330760000001</v>
      </c>
      <c r="E7" s="445">
        <f>landbouw!E8</f>
        <v>27.812209082316659</v>
      </c>
      <c r="F7" s="445">
        <f>landbouw!F8</f>
        <v>11564.763738503454</v>
      </c>
      <c r="G7" s="445">
        <f>landbouw!G8</f>
        <v>0</v>
      </c>
      <c r="H7" s="445">
        <f>landbouw!H8</f>
        <v>0</v>
      </c>
      <c r="I7" s="445">
        <f>landbouw!I8</f>
        <v>0</v>
      </c>
      <c r="J7" s="445">
        <f>landbouw!J8</f>
        <v>312.32899228462213</v>
      </c>
      <c r="K7" s="445">
        <f>landbouw!K8</f>
        <v>0</v>
      </c>
      <c r="L7" s="445">
        <f>landbouw!L8</f>
        <v>0</v>
      </c>
      <c r="M7" s="445">
        <f>landbouw!M8</f>
        <v>0</v>
      </c>
      <c r="N7" s="445">
        <f>landbouw!N8</f>
        <v>0</v>
      </c>
      <c r="O7" s="445">
        <f>landbouw!O8</f>
        <v>0</v>
      </c>
      <c r="P7" s="446">
        <f>landbouw!P8</f>
        <v>0</v>
      </c>
      <c r="Q7" s="444">
        <f t="shared" si="0"/>
        <v>17083.419015870393</v>
      </c>
    </row>
    <row r="8" spans="1:17">
      <c r="A8" s="444" t="s">
        <v>613</v>
      </c>
      <c r="B8" s="445">
        <f>industrie!B18</f>
        <v>4586.1799999999994</v>
      </c>
      <c r="C8" s="445">
        <f>industrie!C18</f>
        <v>0</v>
      </c>
      <c r="D8" s="445">
        <f>industrie!D18</f>
        <v>2635.7829080000001</v>
      </c>
      <c r="E8" s="445">
        <f>industrie!E18</f>
        <v>87.50259078303408</v>
      </c>
      <c r="F8" s="445">
        <f>industrie!F18</f>
        <v>1186.2962861884262</v>
      </c>
      <c r="G8" s="445">
        <f>industrie!G18</f>
        <v>0</v>
      </c>
      <c r="H8" s="445">
        <f>industrie!H18</f>
        <v>0</v>
      </c>
      <c r="I8" s="445">
        <f>industrie!I18</f>
        <v>0</v>
      </c>
      <c r="J8" s="445">
        <f>industrie!J18</f>
        <v>30.773711413841848</v>
      </c>
      <c r="K8" s="445">
        <f>industrie!K18</f>
        <v>0</v>
      </c>
      <c r="L8" s="445">
        <f>industrie!L18</f>
        <v>0</v>
      </c>
      <c r="M8" s="445">
        <f>industrie!M18</f>
        <v>0</v>
      </c>
      <c r="N8" s="445">
        <f>industrie!N18</f>
        <v>82.039960111063095</v>
      </c>
      <c r="O8" s="445">
        <f>industrie!O18</f>
        <v>0</v>
      </c>
      <c r="P8" s="446">
        <f>industrie!P18</f>
        <v>0</v>
      </c>
      <c r="Q8" s="444">
        <f t="shared" si="0"/>
        <v>8608.5754564963645</v>
      </c>
    </row>
    <row r="9" spans="1:17" s="450" customFormat="1">
      <c r="A9" s="448" t="s">
        <v>555</v>
      </c>
      <c r="B9" s="449">
        <f>transport!B14</f>
        <v>0.7054851041562471</v>
      </c>
      <c r="C9" s="449">
        <f>transport!C14</f>
        <v>0</v>
      </c>
      <c r="D9" s="449">
        <f>transport!D14</f>
        <v>2.4127306776376218</v>
      </c>
      <c r="E9" s="449">
        <f>transport!E14</f>
        <v>246.53167914676095</v>
      </c>
      <c r="F9" s="449">
        <f>transport!F14</f>
        <v>0</v>
      </c>
      <c r="G9" s="449">
        <f>transport!G14</f>
        <v>45016.273872461337</v>
      </c>
      <c r="H9" s="449">
        <f>transport!H14</f>
        <v>8272.9091034679805</v>
      </c>
      <c r="I9" s="449">
        <f>transport!I14</f>
        <v>0</v>
      </c>
      <c r="J9" s="449">
        <f>transport!J14</f>
        <v>0</v>
      </c>
      <c r="K9" s="449">
        <f>transport!K14</f>
        <v>0</v>
      </c>
      <c r="L9" s="449">
        <f>transport!L14</f>
        <v>0</v>
      </c>
      <c r="M9" s="449">
        <f>transport!M14</f>
        <v>2320.0252086719006</v>
      </c>
      <c r="N9" s="449">
        <f>transport!N14</f>
        <v>0</v>
      </c>
      <c r="O9" s="449">
        <f>transport!O14</f>
        <v>0</v>
      </c>
      <c r="P9" s="449">
        <f>transport!P14</f>
        <v>0</v>
      </c>
      <c r="Q9" s="448">
        <f>SUM(B9:P9)</f>
        <v>55858.858079529768</v>
      </c>
    </row>
    <row r="10" spans="1:17">
      <c r="A10" s="444" t="s">
        <v>545</v>
      </c>
      <c r="B10" s="445">
        <f>transport!B54</f>
        <v>2.3170756214387858</v>
      </c>
      <c r="C10" s="445">
        <f>transport!C54</f>
        <v>0</v>
      </c>
      <c r="D10" s="445">
        <f>transport!D54</f>
        <v>0</v>
      </c>
      <c r="E10" s="445">
        <f>transport!E54</f>
        <v>0</v>
      </c>
      <c r="F10" s="445">
        <f>transport!F54</f>
        <v>0</v>
      </c>
      <c r="G10" s="445">
        <f>transport!G54</f>
        <v>502.66629296010905</v>
      </c>
      <c r="H10" s="445">
        <f>transport!H54</f>
        <v>0</v>
      </c>
      <c r="I10" s="445">
        <f>transport!I54</f>
        <v>0</v>
      </c>
      <c r="J10" s="445">
        <f>transport!J54</f>
        <v>0</v>
      </c>
      <c r="K10" s="445">
        <f>transport!K54</f>
        <v>0</v>
      </c>
      <c r="L10" s="445">
        <f>transport!L54</f>
        <v>0</v>
      </c>
      <c r="M10" s="445">
        <f>transport!M54</f>
        <v>21.522239798142763</v>
      </c>
      <c r="N10" s="445">
        <f>transport!N54</f>
        <v>0</v>
      </c>
      <c r="O10" s="445">
        <f>transport!O54</f>
        <v>0</v>
      </c>
      <c r="P10" s="446">
        <f>transport!P54</f>
        <v>0</v>
      </c>
      <c r="Q10" s="444">
        <f t="shared" si="0"/>
        <v>526.50560837969056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1609.425</v>
      </c>
      <c r="C14" s="452"/>
      <c r="D14" s="452">
        <f>'SEAP template'!E25</f>
        <v>908.09</v>
      </c>
      <c r="E14" s="452"/>
      <c r="F14" s="452"/>
      <c r="G14" s="452"/>
      <c r="H14" s="452"/>
      <c r="I14" s="452"/>
      <c r="J14" s="452"/>
      <c r="K14" s="452"/>
      <c r="L14" s="452"/>
      <c r="M14" s="452"/>
      <c r="N14" s="452"/>
      <c r="O14" s="452"/>
      <c r="P14" s="453"/>
      <c r="Q14" s="444">
        <f t="shared" si="0"/>
        <v>2517.5149999999999</v>
      </c>
    </row>
    <row r="15" spans="1:17" s="457" customFormat="1">
      <c r="A15" s="454" t="s">
        <v>549</v>
      </c>
      <c r="B15" s="455">
        <f ca="1">SUM(B4:B14)</f>
        <v>42265.046958491941</v>
      </c>
      <c r="C15" s="455">
        <f t="shared" ref="C15:Q15" ca="1" si="1">SUM(C4:C14)</f>
        <v>0</v>
      </c>
      <c r="D15" s="455">
        <f t="shared" ca="1" si="1"/>
        <v>33526.935480677646</v>
      </c>
      <c r="E15" s="455">
        <f t="shared" si="1"/>
        <v>2082.193810049685</v>
      </c>
      <c r="F15" s="455">
        <f t="shared" ca="1" si="1"/>
        <v>68022.424849641306</v>
      </c>
      <c r="G15" s="455">
        <f t="shared" si="1"/>
        <v>45518.940165421445</v>
      </c>
      <c r="H15" s="455">
        <f t="shared" si="1"/>
        <v>8272.9091034679805</v>
      </c>
      <c r="I15" s="455">
        <f t="shared" si="1"/>
        <v>0</v>
      </c>
      <c r="J15" s="455">
        <f t="shared" si="1"/>
        <v>1549.3906405102421</v>
      </c>
      <c r="K15" s="455">
        <f t="shared" si="1"/>
        <v>0</v>
      </c>
      <c r="L15" s="455">
        <f t="shared" ca="1" si="1"/>
        <v>0</v>
      </c>
      <c r="M15" s="455">
        <f t="shared" si="1"/>
        <v>2341.5474484700435</v>
      </c>
      <c r="N15" s="455">
        <f t="shared" ca="1" si="1"/>
        <v>6559.4913803716909</v>
      </c>
      <c r="O15" s="455">
        <f t="shared" si="1"/>
        <v>48.463333333333338</v>
      </c>
      <c r="P15" s="455">
        <f t="shared" si="1"/>
        <v>228.8</v>
      </c>
      <c r="Q15" s="455">
        <f t="shared" ca="1" si="1"/>
        <v>210416.14317043533</v>
      </c>
    </row>
    <row r="17" spans="1:17">
      <c r="A17" s="458" t="s">
        <v>550</v>
      </c>
      <c r="B17" s="725">
        <f ca="1">huishoudens!B10</f>
        <v>0.20446349801142841</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4889.8231502552435</v>
      </c>
      <c r="C22" s="445">
        <f t="shared" ref="C22:C32" ca="1" si="3">C4*$C$17</f>
        <v>0</v>
      </c>
      <c r="D22" s="445">
        <f t="shared" ref="D22:D32" si="4">D4*$D$17</f>
        <v>4945.9255757560013</v>
      </c>
      <c r="E22" s="445">
        <f t="shared" ref="E22:E32" si="5">E4*$E$17</f>
        <v>356.25841647988221</v>
      </c>
      <c r="F22" s="445">
        <f t="shared" ref="F22:F32" si="6">F4*$F$17</f>
        <v>14303.514327055498</v>
      </c>
      <c r="G22" s="445">
        <f t="shared" ref="G22:G32" si="7">G4*$G$17</f>
        <v>0</v>
      </c>
      <c r="H22" s="445">
        <f t="shared" ref="H22:H32" si="8">H4*$H$17</f>
        <v>0</v>
      </c>
      <c r="I22" s="445">
        <f t="shared" ref="I22:I32" si="9">I4*$I$17</f>
        <v>0</v>
      </c>
      <c r="J22" s="445">
        <f t="shared" ref="J22:J32" si="10">J4*$J$17</f>
        <v>427.02592963136942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24922.547399177998</v>
      </c>
    </row>
    <row r="23" spans="1:17">
      <c r="A23" s="444" t="s">
        <v>149</v>
      </c>
      <c r="B23" s="445">
        <f t="shared" ca="1" si="2"/>
        <v>1722.290096959347</v>
      </c>
      <c r="C23" s="445">
        <f t="shared" ca="1" si="3"/>
        <v>0</v>
      </c>
      <c r="D23" s="445">
        <f t="shared" ca="1" si="4"/>
        <v>687.55481097600011</v>
      </c>
      <c r="E23" s="445">
        <f t="shared" si="5"/>
        <v>34.260427665646944</v>
      </c>
      <c r="F23" s="445">
        <f t="shared" ca="1" si="6"/>
        <v>453.94008120599955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2898.0454168069937</v>
      </c>
    </row>
    <row r="24" spans="1:17">
      <c r="A24" s="444" t="s">
        <v>187</v>
      </c>
      <c r="B24" s="445">
        <f t="shared" ca="1" si="2"/>
        <v>131.10076814393983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131.10076814393983</v>
      </c>
    </row>
    <row r="25" spans="1:17">
      <c r="A25" s="444" t="s">
        <v>105</v>
      </c>
      <c r="B25" s="445">
        <f t="shared" ca="1" si="2"/>
        <v>631.05225545601036</v>
      </c>
      <c r="C25" s="445">
        <f t="shared" ca="1" si="3"/>
        <v>0</v>
      </c>
      <c r="D25" s="445">
        <f t="shared" si="4"/>
        <v>422.61088135200004</v>
      </c>
      <c r="E25" s="445">
        <f t="shared" si="5"/>
        <v>6.3133714616858816</v>
      </c>
      <c r="F25" s="445">
        <f t="shared" si="6"/>
        <v>3087.7919181804223</v>
      </c>
      <c r="G25" s="445">
        <f t="shared" si="7"/>
        <v>0</v>
      </c>
      <c r="H25" s="445">
        <f t="shared" si="8"/>
        <v>0</v>
      </c>
      <c r="I25" s="445">
        <f t="shared" si="9"/>
        <v>0</v>
      </c>
      <c r="J25" s="445">
        <f t="shared" si="10"/>
        <v>110.56446326875623</v>
      </c>
      <c r="K25" s="445">
        <f t="shared" si="11"/>
        <v>0</v>
      </c>
      <c r="L25" s="445">
        <f t="shared" si="12"/>
        <v>0</v>
      </c>
      <c r="M25" s="445">
        <f t="shared" si="13"/>
        <v>0</v>
      </c>
      <c r="N25" s="445">
        <f t="shared" si="14"/>
        <v>0</v>
      </c>
      <c r="O25" s="445">
        <f t="shared" si="15"/>
        <v>0</v>
      </c>
      <c r="P25" s="446">
        <f t="shared" si="16"/>
        <v>0</v>
      </c>
      <c r="Q25" s="444">
        <f t="shared" ca="1" si="17"/>
        <v>4258.3328897188749</v>
      </c>
    </row>
    <row r="26" spans="1:17">
      <c r="A26" s="444" t="s">
        <v>613</v>
      </c>
      <c r="B26" s="445">
        <f t="shared" ca="1" si="2"/>
        <v>937.70640531005256</v>
      </c>
      <c r="C26" s="445">
        <f t="shared" ca="1" si="3"/>
        <v>0</v>
      </c>
      <c r="D26" s="445">
        <f t="shared" si="4"/>
        <v>532.42814741600012</v>
      </c>
      <c r="E26" s="445">
        <f t="shared" si="5"/>
        <v>19.863088107748737</v>
      </c>
      <c r="F26" s="445">
        <f t="shared" si="6"/>
        <v>316.74110841230981</v>
      </c>
      <c r="G26" s="445">
        <f t="shared" si="7"/>
        <v>0</v>
      </c>
      <c r="H26" s="445">
        <f t="shared" si="8"/>
        <v>0</v>
      </c>
      <c r="I26" s="445">
        <f t="shared" si="9"/>
        <v>0</v>
      </c>
      <c r="J26" s="445">
        <f t="shared" si="10"/>
        <v>10.893893840500013</v>
      </c>
      <c r="K26" s="445">
        <f t="shared" si="11"/>
        <v>0</v>
      </c>
      <c r="L26" s="445">
        <f t="shared" si="12"/>
        <v>0</v>
      </c>
      <c r="M26" s="445">
        <f t="shared" si="13"/>
        <v>0</v>
      </c>
      <c r="N26" s="445">
        <f t="shared" si="14"/>
        <v>0</v>
      </c>
      <c r="O26" s="445">
        <f t="shared" si="15"/>
        <v>0</v>
      </c>
      <c r="P26" s="446">
        <f t="shared" si="16"/>
        <v>0</v>
      </c>
      <c r="Q26" s="444">
        <f t="shared" ca="1" si="17"/>
        <v>1817.6326430866113</v>
      </c>
    </row>
    <row r="27" spans="1:17" s="450" customFormat="1">
      <c r="A27" s="448" t="s">
        <v>555</v>
      </c>
      <c r="B27" s="719">
        <f t="shared" ca="1" si="2"/>
        <v>0.14424595219074318</v>
      </c>
      <c r="C27" s="449">
        <f t="shared" ca="1" si="3"/>
        <v>0</v>
      </c>
      <c r="D27" s="449">
        <f t="shared" si="4"/>
        <v>0.48737159688279963</v>
      </c>
      <c r="E27" s="449">
        <f t="shared" si="5"/>
        <v>55.962691166314741</v>
      </c>
      <c r="F27" s="449">
        <f t="shared" si="6"/>
        <v>0</v>
      </c>
      <c r="G27" s="449">
        <f t="shared" si="7"/>
        <v>12019.345123947178</v>
      </c>
      <c r="H27" s="449">
        <f t="shared" si="8"/>
        <v>2059.9543667635271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14135.893799426092</v>
      </c>
    </row>
    <row r="28" spans="1:17">
      <c r="A28" s="444" t="s">
        <v>545</v>
      </c>
      <c r="B28" s="445">
        <f t="shared" ca="1" si="2"/>
        <v>0.4737573867163784</v>
      </c>
      <c r="C28" s="445">
        <f t="shared" ca="1" si="3"/>
        <v>0</v>
      </c>
      <c r="D28" s="445">
        <f t="shared" si="4"/>
        <v>0</v>
      </c>
      <c r="E28" s="445">
        <f t="shared" si="5"/>
        <v>0</v>
      </c>
      <c r="F28" s="445">
        <f t="shared" si="6"/>
        <v>0</v>
      </c>
      <c r="G28" s="445">
        <f t="shared" si="7"/>
        <v>134.21190022034912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134.68565760706551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329.06866528704313</v>
      </c>
      <c r="C32" s="445">
        <f t="shared" ca="1" si="3"/>
        <v>0</v>
      </c>
      <c r="D32" s="445">
        <f t="shared" si="4"/>
        <v>183.43418000000003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512.5028452870431</v>
      </c>
    </row>
    <row r="33" spans="1:17" s="457" customFormat="1">
      <c r="A33" s="454" t="s">
        <v>549</v>
      </c>
      <c r="B33" s="455">
        <f ca="1">SUM(B22:B32)</f>
        <v>8641.6593447505438</v>
      </c>
      <c r="C33" s="455">
        <f t="shared" ref="C33:Q33" ca="1" si="19">SUM(C22:C32)</f>
        <v>0</v>
      </c>
      <c r="D33" s="455">
        <f t="shared" ca="1" si="19"/>
        <v>6772.4409670968844</v>
      </c>
      <c r="E33" s="455">
        <f t="shared" si="19"/>
        <v>472.65799488127857</v>
      </c>
      <c r="F33" s="455">
        <f t="shared" ca="1" si="19"/>
        <v>18161.987434854229</v>
      </c>
      <c r="G33" s="455">
        <f t="shared" si="19"/>
        <v>12153.557024167527</v>
      </c>
      <c r="H33" s="455">
        <f t="shared" si="19"/>
        <v>2059.9543667635271</v>
      </c>
      <c r="I33" s="455">
        <f t="shared" si="19"/>
        <v>0</v>
      </c>
      <c r="J33" s="455">
        <f t="shared" si="19"/>
        <v>548.48428674062563</v>
      </c>
      <c r="K33" s="455">
        <f t="shared" si="19"/>
        <v>0</v>
      </c>
      <c r="L33" s="455">
        <f t="shared" ca="1" si="19"/>
        <v>0</v>
      </c>
      <c r="M33" s="455">
        <f t="shared" si="19"/>
        <v>0</v>
      </c>
      <c r="N33" s="455">
        <f t="shared" ca="1" si="19"/>
        <v>0</v>
      </c>
      <c r="O33" s="455">
        <f t="shared" si="19"/>
        <v>0</v>
      </c>
      <c r="P33" s="455">
        <f t="shared" si="19"/>
        <v>0</v>
      </c>
      <c r="Q33" s="455">
        <f t="shared" ca="1" si="19"/>
        <v>48810.74141925462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3162.515986770024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3162.515986770024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0.20446349801142841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0.20446349801142841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2022-07-26T13:06:26Z</dcterms:modified>
</cp:coreProperties>
</file>