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4082C5F3-B124-4252-9087-26782EFBCB3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45" i="18"/>
  <c r="V45" i="18"/>
  <c r="U45" i="18"/>
  <c r="T45" i="18"/>
  <c r="S45" i="18"/>
  <c r="R45" i="18"/>
  <c r="Q45" i="18"/>
  <c r="P45" i="18"/>
  <c r="O45" i="18"/>
  <c r="N45" i="18"/>
  <c r="M45" i="18"/>
  <c r="W44" i="18"/>
  <c r="V44" i="18"/>
  <c r="U44" i="18"/>
  <c r="T44" i="18"/>
  <c r="S44" i="18"/>
  <c r="R44" i="18"/>
  <c r="Q44" i="18"/>
  <c r="P44" i="18"/>
  <c r="O44" i="18"/>
  <c r="N44" i="18"/>
  <c r="M44" i="18"/>
  <c r="W43" i="18"/>
  <c r="V43" i="18"/>
  <c r="U43" i="18"/>
  <c r="T43" i="18"/>
  <c r="S43" i="18"/>
  <c r="R43" i="18"/>
  <c r="Q43" i="18"/>
  <c r="P43" i="18"/>
  <c r="O43" i="18"/>
  <c r="N43" i="18"/>
  <c r="M43" i="18"/>
  <c r="W42" i="18"/>
  <c r="H9" i="18"/>
  <c r="V42" i="18"/>
  <c r="U42" i="18"/>
  <c r="T42" i="18"/>
  <c r="I9" i="18"/>
  <c r="S42" i="18"/>
  <c r="E9" i="18"/>
  <c r="R42" i="18"/>
  <c r="Q42" i="18"/>
  <c r="P42" i="18"/>
  <c r="C9" i="18"/>
  <c r="O42" i="18"/>
  <c r="N42" i="18"/>
  <c r="B9" i="18"/>
  <c r="M42"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S36" i="18"/>
  <c r="R36" i="18"/>
  <c r="Q36" i="18"/>
  <c r="P36" i="18"/>
  <c r="O36" i="18"/>
  <c r="N36" i="18"/>
  <c r="M36" i="18"/>
  <c r="W35" i="18"/>
  <c r="V35" i="18"/>
  <c r="U35" i="18"/>
  <c r="T35" i="18"/>
  <c r="S35" i="18"/>
  <c r="R35" i="18"/>
  <c r="Q35" i="18"/>
  <c r="P35" i="18"/>
  <c r="O35" i="18"/>
  <c r="N35" i="18"/>
  <c r="B8" i="18"/>
  <c r="M35" i="18"/>
  <c r="G22" i="18"/>
  <c r="F22" i="18"/>
  <c r="E22" i="18"/>
  <c r="D22" i="18"/>
  <c r="C22" i="18"/>
  <c r="D20" i="18"/>
  <c r="G12" i="18"/>
  <c r="F12" i="18"/>
  <c r="E12" i="18"/>
  <c r="D12" i="18"/>
  <c r="C12" i="18"/>
  <c r="L10" i="18"/>
  <c r="K10" i="18"/>
  <c r="G10" i="18"/>
  <c r="D10" i="18"/>
  <c r="B6" i="18"/>
  <c r="B5" i="18"/>
  <c r="B4" i="18"/>
  <c r="G20" i="18"/>
  <c r="K20" i="18"/>
  <c r="B51" i="18"/>
  <c r="I55" i="18"/>
  <c r="H17" i="18"/>
  <c r="J9" i="18"/>
  <c r="O9" i="18"/>
  <c r="B17" i="18"/>
  <c r="B20" i="18"/>
  <c r="C51" i="18"/>
  <c r="H54" i="18"/>
  <c r="O19" i="18"/>
  <c r="O18" i="18"/>
  <c r="L20" i="18"/>
  <c r="B10" i="18"/>
  <c r="D55"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55" i="18"/>
  <c r="C17" i="18"/>
  <c r="D87" i="14"/>
  <c r="D17" i="55"/>
  <c r="D20" i="55"/>
  <c r="L20" i="55"/>
  <c r="F55" i="18"/>
  <c r="G55" i="18"/>
  <c r="I17" i="18"/>
  <c r="J77" i="14"/>
  <c r="J9" i="55"/>
  <c r="H55" i="18"/>
  <c r="H20" i="18"/>
  <c r="M87" i="14"/>
  <c r="M17" i="55"/>
  <c r="M20" i="55"/>
  <c r="C55" i="18"/>
  <c r="E55" i="18"/>
  <c r="E17" i="18"/>
  <c r="K10" i="55"/>
  <c r="C54" i="18"/>
  <c r="E54" i="18"/>
  <c r="E8" i="18"/>
  <c r="G54" i="18"/>
  <c r="I54" i="18"/>
  <c r="H8" i="18"/>
  <c r="B54" i="18"/>
  <c r="C8" i="18"/>
  <c r="D76" i="14"/>
  <c r="D8" i="55"/>
  <c r="D10" i="55"/>
  <c r="D54" i="18"/>
  <c r="F54"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<sst xmlns="http://schemas.openxmlformats.org/spreadsheetml/2006/main" count="2553" uniqueCount="968">
  <si>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</si>
  <si>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</si>
  <si>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</si>
  <si>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</si>
  <si>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</si>
  <si>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</si>
  <si>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</si>
  <si>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</si>
  <si>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</si>
  <si>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</si>
  <si>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</si>
  <si>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</si>
  <si>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</si>
  <si>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</si>
  <si>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</si>
  <si>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</si>
  <si>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</si>
  <si>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</si>
  <si>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</si>
  <si>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</si>
  <si>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</si>
  <si>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</si>
  <si>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</si>
  <si>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</si>
  <si>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</si>
  <si>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</si>
  <si>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</si>
  <si>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</si>
  <si>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</si>
  <si>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</si>
  <si>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</si>
  <si>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</si>
  <si>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</si>
  <si>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</si>
  <si>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</si>
  <si>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</si>
  <si>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</si>
  <si>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</si>
  <si>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</si>
  <si>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</si>
  <si>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</si>
  <si>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</si>
  <si>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</si>
  <si>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</si>
  <si>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</si>
  <si>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</si>
  <si>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</si>
  <si>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</si>
  <si>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</si>
  <si>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</si>
  <si>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</si>
  <si>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</si>
  <si>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</si>
  <si>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</si>
  <si>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</si>
  <si>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</si>
  <si>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</si>
  <si>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</si>
  <si>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</si>
  <si>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</si>
  <si>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</si>
  <si>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</si>
  <si>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</si>
  <si>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</si>
  <si>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</si>
  <si>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</si>
  <si>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</si>
  <si>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</si>
  <si>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</si>
  <si>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</si>
  <si>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</si>
  <si>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</si>
  <si>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</si>
  <si>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</si>
  <si>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</si>
  <si>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</si>
  <si>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</si>
  <si>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</si>
  <si>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</si>
  <si>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</si>
  <si>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</si>
  <si>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</si>
  <si>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</si>
  <si>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</si>
  <si>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</si>
  <si>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</si>
  <si>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</si>
  <si>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</si>
  <si>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</si>
  <si>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</si>
  <si>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</si>
  <si>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</si>
  <si>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</si>
  <si>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</si>
  <si>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</si>
  <si>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</si>
  <si>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</si>
  <si>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</si>
  <si>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</si>
  <si>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</si>
  <si>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</si>
  <si>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</si>
  <si>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</si>
  <si>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</si>
  <si>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</si>
  <si>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</si>
  <si>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</si>
  <si>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</si>
  <si>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</si>
  <si>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</si>
  <si>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</si>
  <si>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</si>
  <si>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</si>
  <si>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</si>
  <si>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</si>
  <si>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</si>
  <si>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</si>
  <si>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</si>
  <si>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</si>
  <si>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</si>
  <si>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</si>
  <si>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</si>
  <si>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</si>
  <si>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</si>
  <si>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</si>
  <si>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</si>
  <si>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</si>
  <si>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</si>
  <si>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</si>
  <si>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</si>
  <si>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</si>
  <si>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</si>
  <si>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</si>
  <si>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</si>
  <si>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</si>
  <si>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</si>
  <si>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</si>
  <si>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</si>
  <si>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</si>
  <si>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</si>
  <si>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</si>
  <si>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</si>
  <si>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</si>
  <si>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</si>
  <si>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</si>
  <si>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</si>
  <si>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</si>
  <si>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</si>
  <si>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</si>
  <si>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</si>
  <si>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</si>
  <si>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</si>
  <si>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</si>
  <si>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</si>
  <si>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</si>
  <si>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</si>
  <si>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</si>
  <si>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</si>
  <si>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</si>
  <si>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</si>
  <si>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</si>
  <si>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</si>
  <si>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</si>
  <si>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</si>
  <si>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</si>
  <si>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</si>
  <si>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</si>
  <si>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</si>
  <si>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</si>
  <si>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</si>
  <si>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</si>
  <si>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</si>
  <si>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</si>
  <si>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</si>
  <si>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</si>
  <si>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</si>
  <si>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</si>
  <si>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</si>
  <si>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</si>
  <si>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</si>
  <si>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</si>
  <si>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</si>
  <si>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</si>
  <si>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</si>
  <si>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</si>
  <si>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</si>
  <si>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</si>
  <si>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</si>
  <si>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</si>
  <si>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</si>
  <si>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</si>
  <si>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</si>
  <si>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</si>
  <si>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</si>
  <si>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</si>
  <si>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</si>
  <si>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</si>
  <si>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</si>
  <si>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</si>
  <si>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</si>
  <si>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</si>
  <si>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</si>
  <si>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</si>
  <si>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</si>
  <si>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</si>
  <si>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</si>
  <si>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</si>
  <si>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</si>
  <si>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</si>
  <si>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</si>
  <si>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</si>
  <si>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</si>
  <si>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</si>
  <si>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</si>
  <si>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</si>
  <si>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</si>
  <si>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</si>
  <si>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</si>
  <si>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</si>
  <si>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</si>
  <si>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</si>
  <si>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</si>
  <si>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</si>
  <si>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</si>
  <si>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</si>
  <si>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</si>
  <si>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</si>
  <si>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</si>
  <si>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</si>
  <si>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</si>
  <si>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</si>
  <si>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</si>
  <si>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</si>
  <si>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</si>
  <si>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</si>
  <si>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</si>
  <si>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</si>
  <si>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</si>
  <si>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</si>
  <si>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</si>
  <si>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</si>
  <si>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</si>
  <si>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</si>
  <si>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</si>
  <si>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</si>
  <si>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</si>
  <si>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</si>
  <si>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</si>
  <si>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</si>
  <si>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</si>
  <si>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</si>
  <si>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</si>
  <si>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</si>
  <si>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</si>
  <si>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</si>
  <si>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</si>
  <si>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</si>
  <si>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</si>
  <si>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</si>
  <si>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</si>
  <si>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</si>
  <si>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</si>
  <si>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</si>
  <si>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</si>
  <si>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</si>
  <si>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</si>
  <si>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</si>
  <si>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</si>
  <si>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</si>
  <si>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</si>
  <si>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</si>
  <si>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</si>
  <si>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</si>
  <si>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</si>
  <si>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</si>
  <si>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</si>
  <si>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</si>
  <si>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</si>
  <si>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</si>
  <si>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</si>
  <si>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</si>
  <si>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</si>
  <si>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</si>
  <si>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</si>
  <si>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</si>
  <si>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</si>
  <si>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</si>
  <si>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</si>
  <si>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</si>
  <si>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</si>
  <si>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</si>
  <si>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</si>
  <si>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</si>
  <si>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</si>
  <si>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</si>
  <si>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</si>
  <si>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</si>
  <si>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</si>
  <si>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</si>
  <si>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</si>
  <si>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</si>
  <si>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</si>
  <si>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</si>
  <si>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</si>
  <si>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</si>
  <si>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</si>
  <si>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</si>
  <si>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</si>
  <si>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</si>
  <si>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</si>
  <si>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</si>
  <si>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</si>
  <si>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</si>
  <si>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</si>
  <si>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</si>
  <si>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</si>
  <si>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</si>
  <si>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</si>
  <si>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</si>
  <si>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</si>
  <si>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</si>
  <si>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</si>
  <si>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</si>
  <si>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</si>
  <si>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</si>
  <si>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</si>
  <si>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</si>
  <si>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</si>
  <si>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</si>
  <si>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</si>
  <si>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</si>
  <si>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</si>
  <si>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</si>
  <si>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</si>
  <si>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</si>
  <si>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</si>
  <si>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</si>
  <si>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</si>
  <si>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</si>
  <si>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</si>
  <si>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</si>
  <si>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</si>
  <si>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</si>
  <si>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</si>
  <si>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</si>
  <si>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</si>
  <si>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</si>
  <si>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</si>
  <si>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</si>
  <si>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</si>
  <si>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</si>
  <si>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</si>
  <si>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</si>
  <si>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</si>
  <si>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</si>
  <si>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</si>
  <si>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</si>
  <si>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</si>
  <si>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</si>
  <si>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</si>
  <si>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</si>
  <si>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</si>
  <si>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</si>
  <si>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</si>
  <si>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</si>
  <si>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</si>
  <si>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</si>
  <si>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</si>
  <si>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</si>
  <si>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</si>
  <si>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</si>
  <si>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</si>
  <si>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</si>
  <si>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</si>
  <si>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</si>
  <si>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</si>
  <si>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</si>
  <si>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</si>
  <si>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</si>
  <si>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</si>
  <si>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</si>
  <si>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</si>
  <si>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</si>
  <si>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</si>
  <si>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</si>
  <si>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</si>
  <si>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</si>
  <si>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</si>
  <si>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</si>
  <si>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</si>
  <si>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</si>
  <si>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</si>
  <si>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</si>
  <si>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</si>
  <si>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</si>
  <si>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</si>
  <si>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</si>
  <si>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</si>
  <si>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</si>
  <si>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</si>
  <si>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</si>
  <si>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</si>
  <si>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</si>
  <si>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</si>
  <si>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</si>
  <si>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</si>
  <si>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</si>
  <si>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</si>
  <si>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</si>
  <si>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</si>
  <si>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</si>
  <si>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</si>
  <si>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</si>
  <si>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</si>
  <si>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</si>
  <si>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</si>
  <si>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</si>
  <si>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</si>
  <si>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</si>
  <si>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</si>
  <si>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</si>
  <si>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</si>
  <si>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</si>
  <si>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</si>
  <si>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</si>
  <si>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</si>
  <si>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</si>
  <si>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</si>
  <si>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</si>
  <si>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</si>
  <si>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</si>
  <si>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</si>
  <si>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</si>
  <si>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</si>
  <si>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</si>
  <si>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</si>
  <si>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</si>
  <si>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</si>
  <si>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</si>
  <si>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</si>
  <si>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</si>
  <si>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</si>
  <si>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</si>
  <si>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</si>
  <si>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</si>
  <si>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</si>
  <si>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</si>
  <si>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</si>
  <si>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</si>
  <si>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</si>
  <si>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</si>
  <si>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</si>
  <si>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</si>
  <si>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</si>
  <si>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</si>
  <si>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</si>
  <si>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</si>
  <si>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</si>
  <si>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</si>
  <si>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</si>
  <si>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</si>
  <si>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</si>
  <si>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</si>
  <si>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</si>
  <si>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</si>
  <si>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</si>
  <si>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</si>
  <si>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</si>
  <si>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</si>
  <si>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</si>
  <si>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</si>
  <si>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</si>
  <si>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</si>
  <si>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</si>
  <si>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</si>
  <si>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</si>
  <si>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</si>
  <si>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</si>
  <si>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</si>
  <si>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</si>
  <si>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</si>
  <si>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</si>
  <si>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</si>
  <si>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</si>
  <si>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</si>
  <si>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</si>
  <si>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</si>
  <si>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</si>
  <si>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</si>
  <si>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</si>
  <si>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</si>
  <si>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</si>
  <si>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</si>
  <si>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</si>
  <si>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</si>
  <si>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</si>
  <si>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</si>
  <si>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</si>
  <si>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</si>
  <si>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</si>
  <si>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</si>
  <si>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</si>
  <si>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</si>
  <si>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</si>
  <si>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</si>
  <si>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</si>
  <si>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</si>
  <si>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</si>
  <si>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</si>
  <si>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</si>
  <si>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</si>
  <si>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</si>
  <si>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</si>
  <si>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</si>
  <si>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</si>
  <si>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</si>
  <si>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</si>
  <si>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</si>
  <si>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</si>
  <si>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</si>
  <si>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</si>
  <si>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</si>
  <si>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</si>
  <si>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</si>
  <si>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</si>
  <si>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</si>
  <si>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</si>
  <si>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</si>
  <si>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</si>
  <si>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</si>
  <si>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</si>
  <si>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</si>
  <si>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</si>
  <si>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</si>
  <si>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</si>
  <si>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</si>
  <si>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</si>
  <si>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</si>
  <si>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</si>
  <si>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</si>
  <si>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</si>
  <si>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</si>
  <si>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</si>
  <si>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</si>
  <si>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</si>
  <si>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</si>
  <si>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</si>
  <si>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</si>
  <si>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</si>
  <si>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</si>
  <si>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</si>
  <si>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</si>
  <si>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</si>
  <si>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</si>
  <si>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</si>
  <si>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</si>
  <si>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</si>
  <si>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</si>
  <si>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</si>
  <si>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</si>
  <si>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</si>
  <si>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</si>
  <si>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</si>
  <si>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</si>
  <si>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</si>
  <si>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</si>
  <si>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</si>
  <si>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</si>
  <si>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</si>
  <si>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</si>
  <si>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</si>
  <si>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</si>
  <si>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</si>
  <si>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</si>
  <si>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</si>
  <si>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</si>
  <si>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</si>
  <si>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</si>
  <si>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</si>
  <si>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</si>
  <si>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</si>
  <si>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</si>
  <si>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</si>
  <si>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</si>
  <si>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</si>
  <si>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</si>
  <si>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</si>
  <si>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</si>
  <si>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</si>
  <si>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</si>
  <si>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</si>
  <si>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</si>
  <si>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</si>
  <si>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</si>
  <si>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</si>
  <si>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</si>
  <si>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</si>
  <si>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</si>
  <si>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</si>
  <si>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</si>
  <si>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</si>
  <si>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</si>
  <si>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</si>
  <si>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</si>
  <si>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</si>
  <si>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</si>
  <si>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</si>
  <si>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</si>
  <si>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</si>
  <si>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</si>
  <si>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</si>
  <si>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</si>
  <si>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</si>
  <si>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</si>
  <si>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</si>
  <si>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</si>
  <si>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</si>
  <si>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</si>
  <si>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</si>
  <si>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</si>
  <si>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</si>
  <si>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</si>
  <si>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</si>
  <si>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</si>
  <si>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</si>
  <si>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</si>
  <si>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</si>
  <si>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</si>
  <si>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</si>
  <si>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</si>
  <si>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</si>
  <si>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</si>
  <si>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</si>
  <si>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</si>
  <si>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</si>
  <si>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</si>
  <si>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</si>
  <si>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</si>
  <si>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</si>
  <si>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</si>
  <si>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</si>
  <si>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</si>
  <si>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</si>
  <si>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</si>
  <si>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</si>
  <si>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</si>
  <si>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</si>
  <si>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</si>
  <si>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</si>
  <si>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</si>
  <si>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</si>
  <si>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</si>
  <si>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</si>
  <si>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</si>
  <si>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</si>
  <si>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</si>
  <si>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</si>
  <si>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</si>
  <si>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</si>
  <si>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</si>
  <si>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</si>
  <si>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</si>
  <si>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</si>
  <si>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</si>
  <si>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</si>
  <si>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</si>
  <si>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</si>
  <si>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</si>
  <si>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</si>
  <si>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</si>
  <si>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</si>
  <si>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</si>
  <si>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</si>
  <si>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</si>
  <si>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</si>
  <si>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</si>
  <si>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</si>
  <si>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</si>
  <si>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</si>
  <si>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</si>
  <si>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</si>
  <si>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</si>
  <si>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</si>
  <si>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</si>
  <si>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</si>
  <si>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</si>
  <si>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</si>
  <si>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</si>
  <si>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</si>
  <si>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</si>
  <si>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</si>
  <si>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</si>
  <si>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</si>
  <si>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</si>
  <si>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</si>
  <si>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</si>
  <si>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</si>
  <si>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</si>
  <si>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</si>
  <si>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</si>
  <si>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</si>
  <si>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</si>
  <si>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</si>
  <si>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</si>
  <si>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</si>
  <si>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</si>
  <si>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</si>
  <si>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</si>
  <si>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</si>
  <si>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</si>
  <si>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</si>
  <si>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</si>
  <si>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</si>
  <si>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</si>
  <si>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</si>
  <si>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</si>
  <si>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</si>
  <si>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</si>
  <si>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</si>
  <si>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</si>
  <si>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</si>
  <si>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</si>
  <si>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</si>
  <si>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</si>
  <si>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</si>
  <si>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</si>
  <si>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</si>
  <si>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</si>
  <si>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</si>
  <si>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</si>
  <si>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</si>
  <si>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</si>
  <si>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</si>
  <si>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</si>
  <si>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</si>
  <si>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</si>
  <si>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</si>
  <si>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</si>
  <si>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</si>
  <si>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</si>
  <si>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</si>
  <si>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</si>
  <si>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</si>
  <si>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</si>
  <si>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</si>
  <si>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</si>
  <si>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</si>
  <si>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</si>
  <si>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</si>
  <si>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</si>
  <si>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</si>
  <si>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</si>
  <si>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</si>
  <si>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</si>
  <si>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</si>
  <si>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</si>
  <si>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</si>
  <si>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</si>
  <si>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</si>
  <si>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</si>
  <si>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</si>
  <si>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</si>
  <si>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</si>
  <si>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</si>
  <si>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</si>
  <si>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</si>
  <si>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</si>
  <si>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</si>
  <si>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</si>
  <si>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</si>
  <si>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</si>
  <si>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</si>
  <si>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</si>
  <si>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</si>
  <si>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</si>
  <si>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</si>
  <si>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</si>
  <si>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</si>
  <si>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</si>
  <si>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</si>
  <si>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</si>
  <si>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</si>
  <si>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</si>
  <si>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</si>
  <si>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</si>
  <si>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</si>
  <si>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</si>
  <si>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</si>
  <si>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</si>
  <si>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</si>
  <si>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</si>
  <si>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</si>
  <si>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</si>
  <si>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</si>
  <si>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</si>
  <si>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</si>
  <si>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</si>
  <si>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</si>
  <si>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</si>
  <si>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</si>
  <si>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</si>
  <si>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</si>
  <si>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</si>
  <si>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</si>
  <si>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</si>
  <si>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</si>
  <si>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</si>
  <si>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</si>
  <si>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</si>
  <si>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</si>
  <si>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</si>
  <si>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</si>
  <si>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</si>
  <si>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</si>
  <si>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</si>
  <si>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</si>
  <si>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</si>
  <si>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</si>
  <si>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</si>
  <si>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</si>
  <si>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</si>
  <si>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</si>
  <si>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</si>
  <si>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</si>
  <si>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</si>
  <si>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</si>
  <si>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</si>
  <si>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</si>
  <si>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</si>
  <si>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</si>
  <si>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</si>
  <si>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</si>
  <si>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</si>
  <si>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</si>
  <si>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</si>
  <si>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</si>
  <si>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</si>
  <si>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</si>
  <si>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</si>
  <si>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</si>
  <si>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</si>
  <si>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</si>
  <si>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</si>
  <si>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</si>
  <si>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</si>
  <si>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</si>
  <si>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</si>
  <si>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</si>
  <si>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</si>
  <si>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</si>
  <si>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</si>
  <si>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</si>
  <si>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</si>
  <si>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</si>
  <si>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</si>
  <si>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</si>
  <si>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</si>
  <si>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</si>
  <si>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</si>
  <si>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</si>
  <si>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</si>
  <si>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</si>
  <si>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</si>
  <si>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</si>
  <si>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</si>
  <si>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</si>
  <si>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</si>
  <si>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</si>
  <si>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</si>
  <si>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</si>
  <si>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</si>
  <si>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</si>
  <si>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</si>
  <si>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</si>
  <si>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</si>
  <si>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</si>
  <si>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</si>
  <si>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</si>
  <si>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</si>
  <si>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</si>
  <si>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</si>
  <si>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</si>
  <si>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</si>
  <si>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</si>
  <si>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</si>
  <si>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</si>
  <si>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</si>
  <si>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</si>
  <si>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</si>
  <si>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</si>
  <si>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</si>
  <si>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</si>
  <si>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</si>
  <si>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</si>
  <si>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</si>
  <si>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</si>
  <si>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</si>
  <si>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</si>
  <si>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</si>
  <si>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</si>
  <si>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</si>
  <si>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</si>
  <si>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</si>
  <si>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</si>
  <si>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</si>
  <si>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</si>
  <si>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</si>
  <si>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</si>
  <si>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</si>
  <si>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</si>
  <si>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</si>
  <si>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</si>
  <si>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</si>
  <si>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</si>
  <si>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</si>
  <si>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</si>
  <si>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</si>
  <si>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</si>
  <si>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</si>
  <si>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</si>
  <si>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</si>
  <si>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</si>
  <si>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</si>
  <si>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</si>
  <si>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</si>
  <si>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</si>
  <si>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</si>
  <si>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</si>
  <si>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</si>
  <si>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</si>
  <si>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</si>
  <si>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</si>
  <si>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</si>
  <si>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</si>
  <si>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</si>
  <si>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</si>
  <si>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</si>
  <si>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</si>
  <si>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</si>
  <si>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</si>
  <si>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</si>
  <si>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</si>
  <si>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</si>
  <si>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</si>
  <si>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</si>
  <si>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</si>
  <si>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</si>
  <si>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</si>
  <si>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</si>
  <si>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</si>
  <si>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</si>
  <si>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</si>
  <si>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</si>
  <si>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</si>
  <si>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</si>
  <si>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</si>
  <si>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</si>
  <si>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46003</t>
  </si>
  <si>
    <t>BEVEREN</t>
  </si>
  <si>
    <t>Paarden&amp;pony's 200 - 600 kg</t>
  </si>
  <si>
    <t>Paarden&amp;pony's &lt; 200 kg</t>
  </si>
  <si>
    <t>vloeibaar gas (MWh)</t>
  </si>
  <si>
    <t>interne verbrandingsmotor</t>
  </si>
  <si>
    <t>WKK interne verbrandinsgmotor (gas)</t>
  </si>
  <si>
    <t>INTERGEM</t>
  </si>
  <si>
    <t>biogas - overig</t>
  </si>
  <si>
    <t>niet WKK interne verbrandingsmotor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</si>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</sst>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74E59873-A2DD-4857-A919-49DA83AC64D5}"/>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46003</v>
      </c>
      <c r="B6" s="382"/>
      <c r="C6" s="383"/>
    </row>
    <row r="7" spans="1:7" s="380" customFormat="1" ht="15.75" customHeight="1">
      <c r="A7" s="384" t="str">
        <f>txtMunicipality</f>
        <v>BEVEREN</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0.1935525017198253</v>
      </c>
      <c r="C17" s="494">
        <f ca="1">'EF ele_warmte'!B22</f>
        <v>0.19925652993874163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0.1935525017198253</v>
      </c>
      <c r="C29" s="495">
        <f ca="1">'EF ele_warmte'!B22</f>
        <v>0.19925652993874163</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19064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7223</v>
      </c>
      <c r="C14" s="324"/>
      <c r="D14" s="324"/>
      <c r="E14" s="324"/>
      <c r="F14" s="324"/>
    </row>
    <row r="15" spans="1:6">
      <c r="A15" s="1235" t="s">
        <v>177</v>
      </c>
      <c r="B15" s="1236">
        <v>44</v>
      </c>
      <c r="C15" s="324"/>
      <c r="D15" s="324"/>
      <c r="E15" s="324"/>
      <c r="F15" s="324"/>
    </row>
    <row r="16" spans="1:6">
      <c r="A16" s="1235" t="s">
        <v>6</v>
      </c>
      <c r="B16" s="1236">
        <v>1625</v>
      </c>
      <c r="C16" s="324"/>
      <c r="D16" s="324"/>
      <c r="E16" s="324"/>
      <c r="F16" s="324"/>
    </row>
    <row r="17" spans="1:6">
      <c r="A17" s="1235" t="s">
        <v>7</v>
      </c>
      <c r="B17" s="1236">
        <v>2330</v>
      </c>
      <c r="C17" s="324"/>
      <c r="D17" s="324"/>
      <c r="E17" s="324"/>
      <c r="F17" s="324"/>
    </row>
    <row r="18" spans="1:6">
      <c r="A18" s="1235" t="s">
        <v>8</v>
      </c>
      <c r="B18" s="1236">
        <v>3105</v>
      </c>
      <c r="C18" s="324"/>
      <c r="D18" s="324"/>
      <c r="E18" s="324"/>
      <c r="F18" s="324"/>
    </row>
    <row r="19" spans="1:6">
      <c r="A19" s="1235" t="s">
        <v>9</v>
      </c>
      <c r="B19" s="1236">
        <v>3013</v>
      </c>
      <c r="C19" s="324"/>
      <c r="D19" s="324"/>
      <c r="E19" s="324"/>
      <c r="F19" s="324"/>
    </row>
    <row r="20" spans="1:6">
      <c r="A20" s="1235" t="s">
        <v>10</v>
      </c>
      <c r="B20" s="1236">
        <v>2067</v>
      </c>
      <c r="C20" s="324"/>
      <c r="D20" s="324"/>
      <c r="E20" s="324"/>
      <c r="F20" s="324"/>
    </row>
    <row r="21" spans="1:6">
      <c r="A21" s="1235" t="s">
        <v>11</v>
      </c>
      <c r="B21" s="1236">
        <v>21957</v>
      </c>
      <c r="C21" s="324"/>
      <c r="D21" s="324"/>
      <c r="E21" s="324"/>
      <c r="F21" s="324"/>
    </row>
    <row r="22" spans="1:6">
      <c r="A22" s="1235" t="s">
        <v>12</v>
      </c>
      <c r="B22" s="1236">
        <v>57251</v>
      </c>
      <c r="C22" s="324"/>
      <c r="D22" s="324"/>
      <c r="E22" s="324"/>
      <c r="F22" s="324"/>
    </row>
    <row r="23" spans="1:6">
      <c r="A23" s="1235" t="s">
        <v>13</v>
      </c>
      <c r="B23" s="1236">
        <v>1119</v>
      </c>
      <c r="C23" s="324"/>
      <c r="D23" s="324"/>
      <c r="E23" s="324"/>
      <c r="F23" s="324"/>
    </row>
    <row r="24" spans="1:6">
      <c r="A24" s="1235" t="s">
        <v>14</v>
      </c>
      <c r="B24" s="1236">
        <v>60</v>
      </c>
      <c r="C24" s="324"/>
      <c r="D24" s="324"/>
      <c r="E24" s="324"/>
      <c r="F24" s="324"/>
    </row>
    <row r="25" spans="1:6">
      <c r="A25" s="1235" t="s">
        <v>15</v>
      </c>
      <c r="B25" s="1236">
        <v>6887</v>
      </c>
      <c r="C25" s="324"/>
      <c r="D25" s="324"/>
      <c r="E25" s="324"/>
      <c r="F25" s="324"/>
    </row>
    <row r="26" spans="1:6">
      <c r="A26" s="1235" t="s">
        <v>16</v>
      </c>
      <c r="B26" s="1236">
        <v>133</v>
      </c>
      <c r="C26" s="324"/>
      <c r="D26" s="324"/>
      <c r="E26" s="324"/>
      <c r="F26" s="324"/>
    </row>
    <row r="27" spans="1:6">
      <c r="A27" s="1235" t="s">
        <v>17</v>
      </c>
      <c r="B27" s="1236">
        <v>0</v>
      </c>
      <c r="C27" s="324"/>
      <c r="D27" s="324"/>
      <c r="E27" s="324"/>
      <c r="F27" s="324"/>
    </row>
    <row r="28" spans="1:6">
      <c r="A28" s="1235" t="s">
        <v>18</v>
      </c>
      <c r="B28" s="1237">
        <v>516542</v>
      </c>
      <c r="C28" s="324"/>
      <c r="D28" s="324"/>
      <c r="E28" s="324"/>
      <c r="F28" s="324"/>
    </row>
    <row r="29" spans="1:6">
      <c r="A29" s="1235" t="s">
        <v>959</v>
      </c>
      <c r="B29" s="1237">
        <v>333</v>
      </c>
      <c r="C29" s="324"/>
      <c r="D29" s="324"/>
      <c r="E29" s="324"/>
      <c r="F29" s="324"/>
    </row>
    <row r="30" spans="1:6">
      <c r="A30" s="1230" t="s">
        <v>960</v>
      </c>
      <c r="B30" s="1238">
        <v>121</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8</v>
      </c>
      <c r="F35" s="1236">
        <v>216919.43141436801</v>
      </c>
    </row>
    <row r="36" spans="1:6">
      <c r="A36" s="1235" t="s">
        <v>24</v>
      </c>
      <c r="B36" s="1235" t="s">
        <v>26</v>
      </c>
      <c r="C36" s="1236">
        <v>0</v>
      </c>
      <c r="D36" s="1236">
        <v>0</v>
      </c>
      <c r="E36" s="1236">
        <v>18</v>
      </c>
      <c r="F36" s="1236">
        <v>2070750.4576851199</v>
      </c>
    </row>
    <row r="37" spans="1:6">
      <c r="A37" s="1235" t="s">
        <v>24</v>
      </c>
      <c r="B37" s="1235" t="s">
        <v>27</v>
      </c>
      <c r="C37" s="1236">
        <v>0</v>
      </c>
      <c r="D37" s="1236">
        <v>0</v>
      </c>
      <c r="E37" s="1236">
        <v>0</v>
      </c>
      <c r="F37" s="1236">
        <v>0</v>
      </c>
    </row>
    <row r="38" spans="1:6">
      <c r="A38" s="1235" t="s">
        <v>24</v>
      </c>
      <c r="B38" s="1235" t="s">
        <v>28</v>
      </c>
      <c r="C38" s="1236">
        <v>3</v>
      </c>
      <c r="D38" s="1236">
        <v>23217945.892087098</v>
      </c>
      <c r="E38" s="1236">
        <v>4</v>
      </c>
      <c r="F38" s="1236">
        <v>93164.783441684893</v>
      </c>
    </row>
    <row r="39" spans="1:6">
      <c r="A39" s="1235" t="s">
        <v>29</v>
      </c>
      <c r="B39" s="1235" t="s">
        <v>30</v>
      </c>
      <c r="C39" s="1236">
        <v>13413</v>
      </c>
      <c r="D39" s="1236">
        <v>211977662.50916401</v>
      </c>
      <c r="E39" s="1236">
        <v>18553</v>
      </c>
      <c r="F39" s="1236">
        <v>93412271.588989303</v>
      </c>
    </row>
    <row r="40" spans="1:6">
      <c r="A40" s="1235" t="s">
        <v>29</v>
      </c>
      <c r="B40" s="1235" t="s">
        <v>28</v>
      </c>
      <c r="C40" s="1236">
        <v>0</v>
      </c>
      <c r="D40" s="1236">
        <v>0</v>
      </c>
      <c r="E40" s="1236">
        <v>0</v>
      </c>
      <c r="F40" s="1236">
        <v>0</v>
      </c>
    </row>
    <row r="41" spans="1:6">
      <c r="A41" s="1235" t="s">
        <v>31</v>
      </c>
      <c r="B41" s="1235" t="s">
        <v>32</v>
      </c>
      <c r="C41" s="1236">
        <v>150</v>
      </c>
      <c r="D41" s="1236">
        <v>3761457.4450473199</v>
      </c>
      <c r="E41" s="1236">
        <v>352</v>
      </c>
      <c r="F41" s="1236">
        <v>32039561.505156402</v>
      </c>
    </row>
    <row r="42" spans="1:6">
      <c r="A42" s="1235" t="s">
        <v>31</v>
      </c>
      <c r="B42" s="1235" t="s">
        <v>33</v>
      </c>
      <c r="C42" s="1236">
        <v>0</v>
      </c>
      <c r="D42" s="1236">
        <v>0</v>
      </c>
      <c r="E42" s="1236">
        <v>3</v>
      </c>
      <c r="F42" s="1236">
        <v>16505646.858420201</v>
      </c>
    </row>
    <row r="43" spans="1:6">
      <c r="A43" s="1235" t="s">
        <v>31</v>
      </c>
      <c r="B43" s="1235" t="s">
        <v>34</v>
      </c>
      <c r="C43" s="1236">
        <v>0</v>
      </c>
      <c r="D43" s="1236">
        <v>0</v>
      </c>
      <c r="E43" s="1236">
        <v>0</v>
      </c>
      <c r="F43" s="1236">
        <v>0</v>
      </c>
    </row>
    <row r="44" spans="1:6">
      <c r="A44" s="1235" t="s">
        <v>31</v>
      </c>
      <c r="B44" s="1235" t="s">
        <v>35</v>
      </c>
      <c r="C44" s="1236">
        <v>0</v>
      </c>
      <c r="D44" s="1236">
        <v>0</v>
      </c>
      <c r="E44" s="1236">
        <v>18</v>
      </c>
      <c r="F44" s="1236">
        <v>645028.01486275205</v>
      </c>
    </row>
    <row r="45" spans="1:6">
      <c r="A45" s="1235" t="s">
        <v>31</v>
      </c>
      <c r="B45" s="1235" t="s">
        <v>36</v>
      </c>
      <c r="C45" s="1236">
        <v>4</v>
      </c>
      <c r="D45" s="1236">
        <v>109465.814608179</v>
      </c>
      <c r="E45" s="1236">
        <v>4</v>
      </c>
      <c r="F45" s="1236">
        <v>51002.768720417997</v>
      </c>
    </row>
    <row r="46" spans="1:6">
      <c r="A46" s="1235" t="s">
        <v>31</v>
      </c>
      <c r="B46" s="1235" t="s">
        <v>37</v>
      </c>
      <c r="C46" s="1236">
        <v>0</v>
      </c>
      <c r="D46" s="1236">
        <v>0</v>
      </c>
      <c r="E46" s="1236">
        <v>0</v>
      </c>
      <c r="F46" s="1236">
        <v>0</v>
      </c>
    </row>
    <row r="47" spans="1:6">
      <c r="A47" s="1235" t="s">
        <v>31</v>
      </c>
      <c r="B47" s="1235" t="s">
        <v>38</v>
      </c>
      <c r="C47" s="1236">
        <v>4</v>
      </c>
      <c r="D47" s="1236">
        <v>179283.953331417</v>
      </c>
      <c r="E47" s="1236">
        <v>9</v>
      </c>
      <c r="F47" s="1236">
        <v>171991.81306672</v>
      </c>
    </row>
    <row r="48" spans="1:6">
      <c r="A48" s="1235" t="s">
        <v>31</v>
      </c>
      <c r="B48" s="1235" t="s">
        <v>28</v>
      </c>
      <c r="C48" s="1236">
        <v>54</v>
      </c>
      <c r="D48" s="1236">
        <v>24736646.190481901</v>
      </c>
      <c r="E48" s="1236">
        <v>74</v>
      </c>
      <c r="F48" s="1236">
        <v>55272334.842164099</v>
      </c>
    </row>
    <row r="49" spans="1:6">
      <c r="A49" s="1235" t="s">
        <v>31</v>
      </c>
      <c r="B49" s="1235" t="s">
        <v>39</v>
      </c>
      <c r="C49" s="1236">
        <v>0</v>
      </c>
      <c r="D49" s="1236">
        <v>0</v>
      </c>
      <c r="E49" s="1236">
        <v>4</v>
      </c>
      <c r="F49" s="1236">
        <v>29797.7087181477</v>
      </c>
    </row>
    <row r="50" spans="1:6">
      <c r="A50" s="1235" t="s">
        <v>31</v>
      </c>
      <c r="B50" s="1235" t="s">
        <v>40</v>
      </c>
      <c r="C50" s="1236">
        <v>23</v>
      </c>
      <c r="D50" s="1236">
        <v>1044150.51154731</v>
      </c>
      <c r="E50" s="1236">
        <v>35</v>
      </c>
      <c r="F50" s="1236">
        <v>20272540.503013901</v>
      </c>
    </row>
    <row r="51" spans="1:6">
      <c r="A51" s="1235" t="s">
        <v>41</v>
      </c>
      <c r="B51" s="1235" t="s">
        <v>42</v>
      </c>
      <c r="C51" s="1236">
        <v>55</v>
      </c>
      <c r="D51" s="1236">
        <v>108743927.783867</v>
      </c>
      <c r="E51" s="1236">
        <v>367</v>
      </c>
      <c r="F51" s="1236">
        <v>9766239.0456189793</v>
      </c>
    </row>
    <row r="52" spans="1:6">
      <c r="A52" s="1235" t="s">
        <v>41</v>
      </c>
      <c r="B52" s="1235" t="s">
        <v>28</v>
      </c>
      <c r="C52" s="1236">
        <v>6</v>
      </c>
      <c r="D52" s="1236">
        <v>105121.75831878401</v>
      </c>
      <c r="E52" s="1236">
        <v>10</v>
      </c>
      <c r="F52" s="1236">
        <v>106967.335885591</v>
      </c>
    </row>
    <row r="53" spans="1:6">
      <c r="A53" s="1235" t="s">
        <v>43</v>
      </c>
      <c r="B53" s="1235" t="s">
        <v>44</v>
      </c>
      <c r="C53" s="1236">
        <v>571</v>
      </c>
      <c r="D53" s="1236">
        <v>36163727.625013597</v>
      </c>
      <c r="E53" s="1236">
        <v>910</v>
      </c>
      <c r="F53" s="1236">
        <v>5061070.0253527202</v>
      </c>
    </row>
    <row r="54" spans="1:6">
      <c r="A54" s="1235" t="s">
        <v>45</v>
      </c>
      <c r="B54" s="1235" t="s">
        <v>46</v>
      </c>
      <c r="C54" s="1236">
        <v>0</v>
      </c>
      <c r="D54" s="1236">
        <v>0</v>
      </c>
      <c r="E54" s="1236">
        <v>1</v>
      </c>
      <c r="F54" s="1236">
        <v>3075081</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95</v>
      </c>
      <c r="D57" s="1236">
        <v>4444144.3887713803</v>
      </c>
      <c r="E57" s="1236">
        <v>186</v>
      </c>
      <c r="F57" s="1236">
        <v>7718006.0608184701</v>
      </c>
    </row>
    <row r="58" spans="1:6">
      <c r="A58" s="1235" t="s">
        <v>48</v>
      </c>
      <c r="B58" s="1235" t="s">
        <v>50</v>
      </c>
      <c r="C58" s="1236">
        <v>29</v>
      </c>
      <c r="D58" s="1236">
        <v>1264940.4065514</v>
      </c>
      <c r="E58" s="1236">
        <v>38</v>
      </c>
      <c r="F58" s="1236">
        <v>998272.90481441398</v>
      </c>
    </row>
    <row r="59" spans="1:6">
      <c r="A59" s="1235" t="s">
        <v>48</v>
      </c>
      <c r="B59" s="1235" t="s">
        <v>51</v>
      </c>
      <c r="C59" s="1236">
        <v>265</v>
      </c>
      <c r="D59" s="1236">
        <v>11148274.004396301</v>
      </c>
      <c r="E59" s="1236">
        <v>531</v>
      </c>
      <c r="F59" s="1236">
        <v>22759965.842691101</v>
      </c>
    </row>
    <row r="60" spans="1:6">
      <c r="A60" s="1235" t="s">
        <v>48</v>
      </c>
      <c r="B60" s="1235" t="s">
        <v>52</v>
      </c>
      <c r="C60" s="1236">
        <v>122</v>
      </c>
      <c r="D60" s="1236">
        <v>5263421.9059172301</v>
      </c>
      <c r="E60" s="1236">
        <v>162</v>
      </c>
      <c r="F60" s="1236">
        <v>5212394.2337046703</v>
      </c>
    </row>
    <row r="61" spans="1:6">
      <c r="A61" s="1235" t="s">
        <v>48</v>
      </c>
      <c r="B61" s="1235" t="s">
        <v>53</v>
      </c>
      <c r="C61" s="1236">
        <v>315</v>
      </c>
      <c r="D61" s="1236">
        <v>26312908.2029128</v>
      </c>
      <c r="E61" s="1236">
        <v>965</v>
      </c>
      <c r="F61" s="1236">
        <v>83917794.001307905</v>
      </c>
    </row>
    <row r="62" spans="1:6">
      <c r="A62" s="1235" t="s">
        <v>48</v>
      </c>
      <c r="B62" s="1235" t="s">
        <v>54</v>
      </c>
      <c r="C62" s="1236">
        <v>12</v>
      </c>
      <c r="D62" s="1236">
        <v>1499780.3047014601</v>
      </c>
      <c r="E62" s="1236">
        <v>28</v>
      </c>
      <c r="F62" s="1236">
        <v>833625.57157852198</v>
      </c>
    </row>
    <row r="63" spans="1:6">
      <c r="A63" s="1235" t="s">
        <v>48</v>
      </c>
      <c r="B63" s="1235" t="s">
        <v>28</v>
      </c>
      <c r="C63" s="1236">
        <v>163</v>
      </c>
      <c r="D63" s="1236">
        <v>19691961.8449216</v>
      </c>
      <c r="E63" s="1236">
        <v>173</v>
      </c>
      <c r="F63" s="1236">
        <v>11075104.5000568</v>
      </c>
    </row>
    <row r="64" spans="1:6">
      <c r="A64" s="1235" t="s">
        <v>55</v>
      </c>
      <c r="B64" s="1235" t="s">
        <v>56</v>
      </c>
      <c r="C64" s="1236">
        <v>0</v>
      </c>
      <c r="D64" s="1236">
        <v>0</v>
      </c>
      <c r="E64" s="1236">
        <v>0</v>
      </c>
      <c r="F64" s="1236">
        <v>0</v>
      </c>
    </row>
    <row r="65" spans="1:6">
      <c r="A65" s="1235" t="s">
        <v>55</v>
      </c>
      <c r="B65" s="1235" t="s">
        <v>28</v>
      </c>
      <c r="C65" s="1236">
        <v>3</v>
      </c>
      <c r="D65" s="1236">
        <v>83790.760166975495</v>
      </c>
      <c r="E65" s="1236">
        <v>4</v>
      </c>
      <c r="F65" s="1236">
        <v>79943.478167709705</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8</v>
      </c>
      <c r="D68" s="1238">
        <v>336456.48177841201</v>
      </c>
      <c r="E68" s="1238">
        <v>46</v>
      </c>
      <c r="F68" s="1238">
        <v>1380629.12213336</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113268719</v>
      </c>
      <c r="E73" s="443"/>
      <c r="F73" s="324"/>
    </row>
    <row r="74" spans="1:6">
      <c r="A74" s="1235" t="s">
        <v>63</v>
      </c>
      <c r="B74" s="1235" t="s">
        <v>730</v>
      </c>
      <c r="C74" s="1248" t="s">
        <v>731</v>
      </c>
      <c r="D74" s="1236">
        <v>19554244.331827737</v>
      </c>
      <c r="E74" s="443"/>
      <c r="F74" s="324"/>
    </row>
    <row r="75" spans="1:6">
      <c r="A75" s="1235" t="s">
        <v>64</v>
      </c>
      <c r="B75" s="1235" t="s">
        <v>728</v>
      </c>
      <c r="C75" s="1248" t="s">
        <v>732</v>
      </c>
      <c r="D75" s="1236">
        <v>73326331</v>
      </c>
      <c r="E75" s="443"/>
      <c r="F75" s="324"/>
    </row>
    <row r="76" spans="1:6">
      <c r="A76" s="1235" t="s">
        <v>64</v>
      </c>
      <c r="B76" s="1235" t="s">
        <v>730</v>
      </c>
      <c r="C76" s="1248" t="s">
        <v>733</v>
      </c>
      <c r="D76" s="1236">
        <v>12481789.331827739</v>
      </c>
      <c r="E76" s="443"/>
      <c r="F76" s="324"/>
    </row>
    <row r="77" spans="1:6">
      <c r="A77" s="1235" t="s">
        <v>65</v>
      </c>
      <c r="B77" s="1235" t="s">
        <v>728</v>
      </c>
      <c r="C77" s="1248" t="s">
        <v>734</v>
      </c>
      <c r="D77" s="1236">
        <v>294553076</v>
      </c>
      <c r="E77" s="443"/>
      <c r="F77" s="324"/>
    </row>
    <row r="78" spans="1:6">
      <c r="A78" s="1230" t="s">
        <v>65</v>
      </c>
      <c r="B78" s="1230" t="s">
        <v>730</v>
      </c>
      <c r="C78" s="1230" t="s">
        <v>735</v>
      </c>
      <c r="D78" s="1238">
        <v>81065063</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1166785.3363445224</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14206.070468537737</v>
      </c>
      <c r="C90" s="324"/>
      <c r="D90" s="324"/>
      <c r="E90" s="324"/>
      <c r="F90" s="324"/>
    </row>
    <row r="91" spans="1:6">
      <c r="A91" s="1235" t="s">
        <v>67</v>
      </c>
      <c r="B91" s="1236">
        <v>5344.0362583317401</v>
      </c>
      <c r="C91" s="324"/>
      <c r="D91" s="324"/>
      <c r="E91" s="324"/>
      <c r="F91" s="324"/>
    </row>
    <row r="92" spans="1:6">
      <c r="A92" s="1230" t="s">
        <v>68</v>
      </c>
      <c r="B92" s="1231">
        <v>18233.317565390902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9871</v>
      </c>
      <c r="C97" s="324"/>
      <c r="D97" s="324"/>
      <c r="E97" s="324"/>
      <c r="F97" s="324"/>
    </row>
    <row r="98" spans="1:6">
      <c r="A98" s="1235" t="s">
        <v>71</v>
      </c>
      <c r="B98" s="1236">
        <v>3</v>
      </c>
      <c r="C98" s="324"/>
      <c r="D98" s="324"/>
      <c r="E98" s="324"/>
      <c r="F98" s="324"/>
    </row>
    <row r="99" spans="1:6">
      <c r="A99" s="1235" t="s">
        <v>72</v>
      </c>
      <c r="B99" s="1236">
        <v>133</v>
      </c>
      <c r="C99" s="324"/>
      <c r="D99" s="324"/>
      <c r="E99" s="324"/>
      <c r="F99" s="324"/>
    </row>
    <row r="100" spans="1:6">
      <c r="A100" s="1235" t="s">
        <v>73</v>
      </c>
      <c r="B100" s="1236">
        <v>2776</v>
      </c>
      <c r="C100" s="324"/>
      <c r="D100" s="324"/>
      <c r="E100" s="324"/>
      <c r="F100" s="324"/>
    </row>
    <row r="101" spans="1:6">
      <c r="A101" s="1235" t="s">
        <v>74</v>
      </c>
      <c r="B101" s="1236">
        <v>316</v>
      </c>
      <c r="C101" s="324"/>
      <c r="D101" s="324"/>
      <c r="E101" s="324"/>
      <c r="F101" s="324"/>
    </row>
    <row r="102" spans="1:6">
      <c r="A102" s="1235" t="s">
        <v>75</v>
      </c>
      <c r="B102" s="1236">
        <v>369</v>
      </c>
      <c r="C102" s="324"/>
      <c r="D102" s="324"/>
      <c r="E102" s="324"/>
      <c r="F102" s="324"/>
    </row>
    <row r="103" spans="1:6">
      <c r="A103" s="1235" t="s">
        <v>76</v>
      </c>
      <c r="B103" s="1236">
        <v>626</v>
      </c>
      <c r="C103" s="324"/>
      <c r="D103" s="324"/>
      <c r="E103" s="324"/>
      <c r="F103" s="324"/>
    </row>
    <row r="104" spans="1:6">
      <c r="A104" s="1235" t="s">
        <v>77</v>
      </c>
      <c r="B104" s="1236">
        <v>3115</v>
      </c>
      <c r="C104" s="324"/>
      <c r="D104" s="324"/>
      <c r="E104" s="324"/>
      <c r="F104" s="324"/>
    </row>
    <row r="105" spans="1:6">
      <c r="A105" s="1230" t="s">
        <v>78</v>
      </c>
      <c r="B105" s="1238">
        <v>19</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20</v>
      </c>
      <c r="C123" s="1236">
        <v>60</v>
      </c>
      <c r="D123" s="324"/>
      <c r="E123" s="324"/>
      <c r="F123" s="324"/>
    </row>
    <row r="124" spans="1:6">
      <c r="A124" s="1235" t="s">
        <v>88</v>
      </c>
      <c r="B124" s="1236">
        <v>0</v>
      </c>
      <c r="C124" s="1236">
        <v>3</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252</v>
      </c>
      <c r="C129" s="324"/>
      <c r="D129" s="324"/>
      <c r="E129" s="324"/>
      <c r="F129" s="324"/>
    </row>
    <row r="130" spans="1:6">
      <c r="A130" s="1235" t="s">
        <v>284</v>
      </c>
      <c r="B130" s="1236">
        <v>1</v>
      </c>
      <c r="C130" s="324"/>
      <c r="D130" s="324"/>
      <c r="E130" s="324"/>
      <c r="F130" s="324"/>
    </row>
    <row r="131" spans="1:6">
      <c r="A131" s="1235" t="s">
        <v>285</v>
      </c>
      <c r="B131" s="1236">
        <v>1</v>
      </c>
      <c r="C131" s="324"/>
      <c r="D131" s="324"/>
      <c r="E131" s="324"/>
      <c r="F131" s="324"/>
    </row>
    <row r="132" spans="1:6">
      <c r="A132" s="1230" t="s">
        <v>286</v>
      </c>
      <c r="B132" s="1231">
        <v>9</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377411.82439292775</v>
      </c>
      <c r="C3" s="43" t="s">
        <v>163</v>
      </c>
      <c r="D3" s="43"/>
      <c r="E3" s="155"/>
      <c r="F3" s="43"/>
      <c r="G3" s="43"/>
      <c r="H3" s="43"/>
      <c r="I3" s="43"/>
      <c r="J3" s="43"/>
      <c r="K3" s="96"/>
    </row>
    <row r="4" spans="1:11">
      <c r="A4" s="350" t="s">
        <v>164</v>
      </c>
      <c r="B4" s="49">
        <f>IF(ISERROR('SEAP template'!B78+'SEAP template'!C78),0,'SEAP template'!B78+'SEAP template'!C78)</f>
        <v>102956.17429226037</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12394.304117647062</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0.1935525017198253</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17706.148739495802</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88861.071428571435</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0.19925652993874163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3075.0810000000001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3075.0810000000001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0.1935525017198253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595.18962054110216</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93412.271588989301</v>
      </c>
      <c r="C5" s="17">
        <f>IF(ISERROR('Eigen informatie GS &amp; warmtenet'!B57),0,'Eigen informatie GS &amp; warmtenet'!B57)</f>
        <v>0</v>
      </c>
      <c r="D5" s="30">
        <f>(SUM(HH_hh_gas_kWh,HH_rest_gas_kWh)/1000)*0.902</f>
        <v>191203.85158326596</v>
      </c>
      <c r="E5" s="17">
        <f>B32*B41</f>
        <v>3037.3565280392086</v>
      </c>
      <c r="F5" s="17">
        <f>B36*B45</f>
        <v>103678.32943233193</v>
      </c>
      <c r="G5" s="18"/>
      <c r="H5" s="17"/>
      <c r="I5" s="17"/>
      <c r="J5" s="17">
        <f>B35*B44+C35*C44</f>
        <v>2334.5731244763524</v>
      </c>
      <c r="K5" s="17"/>
      <c r="L5" s="17"/>
      <c r="M5" s="17"/>
      <c r="N5" s="17">
        <f>B34*B43+C34*C43</f>
        <v>22418.343954444328</v>
      </c>
      <c r="O5" s="17">
        <f>B52*B53*B54</f>
        <v>492.45</v>
      </c>
      <c r="P5" s="17">
        <f>B60*B61*B62/1000-B60*B61*B62/1000/B63</f>
        <v>552.93333333333339</v>
      </c>
    </row>
    <row r="6" spans="1:16">
      <c r="A6" s="16" t="s">
        <v>591</v>
      </c>
      <c r="B6" s="727">
        <f>kWh_PV_kleiner_dan_10kW</f>
        <v>5344.0362583317401</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98756.307847321033</v>
      </c>
      <c r="C8" s="21">
        <f>C5</f>
        <v>0</v>
      </c>
      <c r="D8" s="21">
        <f>D5</f>
        <v>191203.85158326596</v>
      </c>
      <c r="E8" s="21">
        <f>E5</f>
        <v>3037.3565280392086</v>
      </c>
      <c r="F8" s="21">
        <f>F5</f>
        <v>103678.32943233193</v>
      </c>
      <c r="G8" s="21"/>
      <c r="H8" s="21"/>
      <c r="I8" s="21"/>
      <c r="J8" s="21">
        <f>J5</f>
        <v>2334.5731244763524</v>
      </c>
      <c r="K8" s="21"/>
      <c r="L8" s="21">
        <f>L5</f>
        <v>0</v>
      </c>
      <c r="M8" s="21">
        <f>M5</f>
        <v>0</v>
      </c>
      <c r="N8" s="21">
        <f>N5</f>
        <v>22418.343954444328</v>
      </c>
      <c r="O8" s="21">
        <f>O5</f>
        <v>492.45</v>
      </c>
      <c r="P8" s="21">
        <f>P5</f>
        <v>552.93333333333339</v>
      </c>
    </row>
    <row r="9" spans="1:16">
      <c r="B9" s="19"/>
      <c r="C9" s="19"/>
      <c r="D9" s="255"/>
      <c r="E9" s="19"/>
      <c r="F9" s="19"/>
      <c r="G9" s="19"/>
      <c r="H9" s="19"/>
      <c r="I9" s="19"/>
      <c r="J9" s="19"/>
      <c r="K9" s="19"/>
      <c r="L9" s="19"/>
      <c r="M9" s="19"/>
      <c r="N9" s="19"/>
      <c r="O9" s="19"/>
      <c r="P9" s="19"/>
    </row>
    <row r="10" spans="1:16">
      <c r="A10" s="24" t="s">
        <v>207</v>
      </c>
      <c r="B10" s="25">
        <f ca="1">'EF ele_warmte'!B12</f>
        <v>0.1935525017198253</v>
      </c>
      <c r="C10" s="25">
        <f ca="1">'EF ele_warmte'!B22</f>
        <v>0.19925652993874163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19114.530444462202</v>
      </c>
      <c r="C12" s="23">
        <f ca="1">C10*C8</f>
        <v>0</v>
      </c>
      <c r="D12" s="23">
        <f>D8*D10</f>
        <v>38623.17801981973</v>
      </c>
      <c r="E12" s="23">
        <f>E10*E8</f>
        <v>689.47993186490032</v>
      </c>
      <c r="F12" s="23">
        <f>F10*F8</f>
        <v>27682.113958432627</v>
      </c>
      <c r="G12" s="23"/>
      <c r="H12" s="23"/>
      <c r="I12" s="23"/>
      <c r="J12" s="23">
        <f>J10*J8</f>
        <v>826.43888606462872</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19064</v>
      </c>
      <c r="C26" s="36"/>
      <c r="D26" s="225"/>
    </row>
    <row r="27" spans="1:5" s="15" customFormat="1">
      <c r="A27" s="227" t="s">
        <v>671</v>
      </c>
      <c r="B27" s="37">
        <f>SUM(HH_hh_gas_aantal,HH_rest_gas_aantal)</f>
        <v>13413</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12742.35</v>
      </c>
      <c r="C31" s="34" t="s">
        <v>104</v>
      </c>
      <c r="D31" s="171"/>
    </row>
    <row r="32" spans="1:5">
      <c r="A32" s="168" t="s">
        <v>72</v>
      </c>
      <c r="B32" s="33">
        <f>IF((B21*($B$26-($B$27-0.05*$B$27)-$B$60))&lt;0,0,B21*($B$26-($B$27-0.05*$B$27)-$B$60))</f>
        <v>44.612174173715353</v>
      </c>
      <c r="C32" s="34" t="s">
        <v>104</v>
      </c>
      <c r="D32" s="171"/>
    </row>
    <row r="33" spans="1:6">
      <c r="A33" s="168" t="s">
        <v>73</v>
      </c>
      <c r="B33" s="33">
        <f>IF((B22*($B$26-($B$27-0.05*$B$27)-$B$60))&lt;0,0,B22*($B$26-($B$27-0.05*$B$27)-$B$60))</f>
        <v>1278.5788421351212</v>
      </c>
      <c r="C33" s="34" t="s">
        <v>104</v>
      </c>
      <c r="D33" s="171"/>
    </row>
    <row r="34" spans="1:6">
      <c r="A34" s="168" t="s">
        <v>74</v>
      </c>
      <c r="B34" s="33">
        <f>IF((B24*($B$26-($B$27-0.05*$B$27)-$B$60))&lt;0,0,B24*($B$26-($B$27-0.05*$B$27)-$B$60))</f>
        <v>254.96213355094656</v>
      </c>
      <c r="C34" s="33">
        <f>B26*C24</f>
        <v>3898.1612472127053</v>
      </c>
      <c r="D34" s="230"/>
    </row>
    <row r="35" spans="1:6">
      <c r="A35" s="168" t="s">
        <v>76</v>
      </c>
      <c r="B35" s="33">
        <f>IF((B19*($B$26-($B$27-0.05*$B$27)-$B$60))&lt;0,0,B19*($B$26-($B$27-0.05*$B$27)-$B$60))</f>
        <v>132.77432789796239</v>
      </c>
      <c r="C35" s="33">
        <f>B35/2</f>
        <v>66.387163948981197</v>
      </c>
      <c r="D35" s="230"/>
    </row>
    <row r="36" spans="1:6">
      <c r="A36" s="168" t="s">
        <v>77</v>
      </c>
      <c r="B36" s="33">
        <f>IF((B18*($B$26-($B$27-0.05*$B$27)-$B$60))&lt;0,0,B18*($B$26-($B$27-0.05*$B$27)-$B$60))</f>
        <v>4581.7225222422539</v>
      </c>
      <c r="C36" s="34" t="s">
        <v>104</v>
      </c>
      <c r="D36" s="171"/>
    </row>
    <row r="37" spans="1:6">
      <c r="A37" s="168" t="s">
        <v>78</v>
      </c>
      <c r="B37" s="33">
        <f>B60</f>
        <v>29</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315</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29</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132515.16311497189</v>
      </c>
      <c r="C5" s="17">
        <f>IF(ISERROR('Eigen informatie GS &amp; warmtenet'!B58),0,'Eigen informatie GS &amp; warmtenet'!B58)</f>
        <v>0</v>
      </c>
      <c r="D5" s="30">
        <f>SUM(D6:D12)</f>
        <v>62802.138814471298</v>
      </c>
      <c r="E5" s="17">
        <f>SUM(E6:E12)</f>
        <v>3589.3635412951617</v>
      </c>
      <c r="F5" s="17">
        <f>SUM(F6:F12)</f>
        <v>22583.252335887628</v>
      </c>
      <c r="G5" s="18"/>
      <c r="H5" s="17"/>
      <c r="I5" s="17"/>
      <c r="J5" s="17">
        <f>SUM(J6:J12)</f>
        <v>0</v>
      </c>
      <c r="K5" s="17"/>
      <c r="L5" s="17"/>
      <c r="M5" s="17"/>
      <c r="N5" s="17">
        <f>SUM(N6:N12)</f>
        <v>3245.7661568218195</v>
      </c>
      <c r="O5" s="17">
        <f>B38*B39*B40</f>
        <v>1.5633333333333335</v>
      </c>
      <c r="P5" s="17">
        <f>B46*B47*B48/1000-B46*B47*B48/1000/B49</f>
        <v>19.066666666666666</v>
      </c>
      <c r="R5" s="32"/>
    </row>
    <row r="6" spans="1:18">
      <c r="A6" s="32" t="s">
        <v>53</v>
      </c>
      <c r="B6" s="37">
        <f>B26</f>
        <v>83917.794001307906</v>
      </c>
      <c r="C6" s="33"/>
      <c r="D6" s="37">
        <f>IF(ISERROR(TER_kantoor_gas_kWh/1000),0,TER_kantoor_gas_kWh/1000)*0.902</f>
        <v>23734.243199027347</v>
      </c>
      <c r="E6" s="33">
        <f>$C$26*'E Balans VL '!I12/100/3.6*1000000</f>
        <v>2902.8852488816738</v>
      </c>
      <c r="F6" s="33">
        <f>$C$26*('E Balans VL '!L12+'E Balans VL '!N12)/100/3.6*1000000</f>
        <v>12810.942332004044</v>
      </c>
      <c r="G6" s="34"/>
      <c r="H6" s="33"/>
      <c r="I6" s="33"/>
      <c r="J6" s="33">
        <f>$C$26*('E Balans VL '!D12+'E Balans VL '!E12)/100/3.6*1000000</f>
        <v>0</v>
      </c>
      <c r="K6" s="33"/>
      <c r="L6" s="33"/>
      <c r="M6" s="33"/>
      <c r="N6" s="33">
        <f>$C$26*'E Balans VL '!Y12/100/3.6*1000000</f>
        <v>1293.6326862754345</v>
      </c>
      <c r="O6" s="33"/>
      <c r="P6" s="33"/>
      <c r="R6" s="32"/>
    </row>
    <row r="7" spans="1:18">
      <c r="A7" s="32" t="s">
        <v>52</v>
      </c>
      <c r="B7" s="37">
        <f t="shared" ref="B7:B12" si="0">B27</f>
        <v>5212.3942337046701</v>
      </c>
      <c r="C7" s="33"/>
      <c r="D7" s="37">
        <f>IF(ISERROR(TER_horeca_gas_kWh/1000),0,TER_horeca_gas_kWh/1000)*0.902</f>
        <v>4747.6065591373417</v>
      </c>
      <c r="E7" s="33">
        <f>$C$27*'E Balans VL '!I9/100/3.6*1000000</f>
        <v>285.65576708330815</v>
      </c>
      <c r="F7" s="33">
        <f>$C$27*('E Balans VL '!L9+'E Balans VL '!N9)/100/3.6*1000000</f>
        <v>882.11145814506222</v>
      </c>
      <c r="G7" s="34"/>
      <c r="H7" s="33"/>
      <c r="I7" s="33"/>
      <c r="J7" s="33">
        <f>$C$27*('E Balans VL '!D9+'E Balans VL '!E9)/100/3.6*1000000</f>
        <v>0</v>
      </c>
      <c r="K7" s="33"/>
      <c r="L7" s="33"/>
      <c r="M7" s="33"/>
      <c r="N7" s="33">
        <f>$C$27*'E Balans VL '!Y9/100/3.6*1000000</f>
        <v>0</v>
      </c>
      <c r="O7" s="33"/>
      <c r="P7" s="33"/>
      <c r="R7" s="32"/>
    </row>
    <row r="8" spans="1:18">
      <c r="A8" s="6" t="s">
        <v>51</v>
      </c>
      <c r="B8" s="37">
        <f t="shared" si="0"/>
        <v>22759.965842691101</v>
      </c>
      <c r="C8" s="33"/>
      <c r="D8" s="37">
        <f>IF(ISERROR(TER_handel_gas_kWh/1000),0,TER_handel_gas_kWh/1000)*0.902</f>
        <v>10055.743151965464</v>
      </c>
      <c r="E8" s="33">
        <f>$C$28*'E Balans VL '!I13/100/3.6*1000000</f>
        <v>115.14655344969286</v>
      </c>
      <c r="F8" s="33">
        <f>$C$28*('E Balans VL '!L13+'E Balans VL '!N13)/100/3.6*1000000</f>
        <v>3458.1987990643761</v>
      </c>
      <c r="G8" s="34"/>
      <c r="H8" s="33"/>
      <c r="I8" s="33"/>
      <c r="J8" s="33">
        <f>$C$28*('E Balans VL '!D13+'E Balans VL '!E13)/100/3.6*1000000</f>
        <v>0</v>
      </c>
      <c r="K8" s="33"/>
      <c r="L8" s="33"/>
      <c r="M8" s="33"/>
      <c r="N8" s="33">
        <f>$C$28*'E Balans VL '!Y13/100/3.6*1000000</f>
        <v>10.643169295991587</v>
      </c>
      <c r="O8" s="33"/>
      <c r="P8" s="33"/>
      <c r="R8" s="32"/>
    </row>
    <row r="9" spans="1:18">
      <c r="A9" s="32" t="s">
        <v>50</v>
      </c>
      <c r="B9" s="37">
        <f t="shared" si="0"/>
        <v>998.27290481441401</v>
      </c>
      <c r="C9" s="33"/>
      <c r="D9" s="37">
        <f>IF(ISERROR(TER_gezond_gas_kWh/1000),0,TER_gezond_gas_kWh/1000)*0.902</f>
        <v>1140.9762467093628</v>
      </c>
      <c r="E9" s="33">
        <f>$C$29*'E Balans VL '!I10/100/3.6*1000000</f>
        <v>0.36301760858586241</v>
      </c>
      <c r="F9" s="33">
        <f>$C$29*('E Balans VL '!L10+'E Balans VL '!N10)/100/3.6*1000000</f>
        <v>215.69979924394437</v>
      </c>
      <c r="G9" s="34"/>
      <c r="H9" s="33"/>
      <c r="I9" s="33"/>
      <c r="J9" s="33">
        <f>$C$29*('E Balans VL '!D10+'E Balans VL '!E10)/100/3.6*1000000</f>
        <v>0</v>
      </c>
      <c r="K9" s="33"/>
      <c r="L9" s="33"/>
      <c r="M9" s="33"/>
      <c r="N9" s="33">
        <f>$C$29*'E Balans VL '!Y10/100/3.6*1000000</f>
        <v>7.5691786681341036</v>
      </c>
      <c r="O9" s="33"/>
      <c r="P9" s="33"/>
      <c r="R9" s="32"/>
    </row>
    <row r="10" spans="1:18">
      <c r="A10" s="32" t="s">
        <v>49</v>
      </c>
      <c r="B10" s="37">
        <f t="shared" si="0"/>
        <v>7718.0060608184704</v>
      </c>
      <c r="C10" s="33"/>
      <c r="D10" s="37">
        <f>IF(ISERROR(TER_ander_gas_kWh/1000),0,TER_ander_gas_kWh/1000)*0.902</f>
        <v>4008.6182386717851</v>
      </c>
      <c r="E10" s="33">
        <f>$C$30*'E Balans VL '!I14/100/3.6*1000000</f>
        <v>46.984509725282152</v>
      </c>
      <c r="F10" s="33">
        <f>$C$30*('E Balans VL '!L14+'E Balans VL '!N14)/100/3.6*1000000</f>
        <v>2043.3376825809935</v>
      </c>
      <c r="G10" s="34"/>
      <c r="H10" s="33"/>
      <c r="I10" s="33"/>
      <c r="J10" s="33">
        <f>$C$30*('E Balans VL '!D14+'E Balans VL '!E14)/100/3.6*1000000</f>
        <v>0</v>
      </c>
      <c r="K10" s="33"/>
      <c r="L10" s="33"/>
      <c r="M10" s="33"/>
      <c r="N10" s="33">
        <f>$C$30*'E Balans VL '!Y14/100/3.6*1000000</f>
        <v>1607.4605057160529</v>
      </c>
      <c r="O10" s="33"/>
      <c r="P10" s="33"/>
      <c r="R10" s="32"/>
    </row>
    <row r="11" spans="1:18">
      <c r="A11" s="32" t="s">
        <v>54</v>
      </c>
      <c r="B11" s="37">
        <f t="shared" si="0"/>
        <v>833.625571578522</v>
      </c>
      <c r="C11" s="33"/>
      <c r="D11" s="37">
        <f>IF(ISERROR(TER_onderwijs_gas_kWh/1000),0,TER_onderwijs_gas_kWh/1000)*0.902</f>
        <v>1352.801834840717</v>
      </c>
      <c r="E11" s="33">
        <f>$C$31*'E Balans VL '!I11/100/3.6*1000000</f>
        <v>1.0346015096058614</v>
      </c>
      <c r="F11" s="33">
        <f>$C$31*('E Balans VL '!L11+'E Balans VL '!N11)/100/3.6*1000000</f>
        <v>982.47138195186812</v>
      </c>
      <c r="G11" s="34"/>
      <c r="H11" s="33"/>
      <c r="I11" s="33"/>
      <c r="J11" s="33">
        <f>$C$31*('E Balans VL '!D11+'E Balans VL '!E11)/100/3.6*1000000</f>
        <v>0</v>
      </c>
      <c r="K11" s="33"/>
      <c r="L11" s="33"/>
      <c r="M11" s="33"/>
      <c r="N11" s="33">
        <f>$C$31*'E Balans VL '!Y11/100/3.6*1000000</f>
        <v>4.0013248856636778</v>
      </c>
      <c r="O11" s="33"/>
      <c r="P11" s="33"/>
      <c r="R11" s="32"/>
    </row>
    <row r="12" spans="1:18">
      <c r="A12" s="32" t="s">
        <v>249</v>
      </c>
      <c r="B12" s="37">
        <f t="shared" si="0"/>
        <v>11075.104500056799</v>
      </c>
      <c r="C12" s="33"/>
      <c r="D12" s="37">
        <f>IF(ISERROR(TER_rest_gas_kWh/1000),0,TER_rest_gas_kWh/1000)*0.902</f>
        <v>17762.149584119285</v>
      </c>
      <c r="E12" s="33">
        <f>$C$32*'E Balans VL '!I8/100/3.6*1000000</f>
        <v>237.29384303701318</v>
      </c>
      <c r="F12" s="33">
        <f>$C$32*('E Balans VL '!L8+'E Balans VL '!N8)/100/3.6*1000000</f>
        <v>2190.4908828973394</v>
      </c>
      <c r="G12" s="34"/>
      <c r="H12" s="33"/>
      <c r="I12" s="33"/>
      <c r="J12" s="33">
        <f>$C$32*('E Balans VL '!D8+'E Balans VL '!E8)/100/3.6*1000000</f>
        <v>0</v>
      </c>
      <c r="K12" s="33"/>
      <c r="L12" s="33"/>
      <c r="M12" s="33"/>
      <c r="N12" s="33">
        <f>$C$32*'E Balans VL '!Y8/100/3.6*1000000</f>
        <v>322.4592919805429</v>
      </c>
      <c r="O12" s="33"/>
      <c r="P12" s="33"/>
      <c r="R12" s="32"/>
    </row>
    <row r="13" spans="1:18">
      <c r="A13" s="16" t="s">
        <v>483</v>
      </c>
      <c r="B13" s="243">
        <f ca="1">'lokale energieproductie'!N44+'lokale energieproductie'!N37</f>
        <v>147.75</v>
      </c>
      <c r="C13" s="243">
        <f ca="1">'lokale energieproductie'!O44+'lokale energieproductie'!O37</f>
        <v>211.07142857142858</v>
      </c>
      <c r="D13" s="302">
        <f ca="1">('lokale energieproductie'!P37+'lokale energieproductie'!P44)*(-1)</f>
        <v>-422.14285714285717</v>
      </c>
      <c r="E13" s="244"/>
      <c r="F13" s="302">
        <f ca="1">('lokale energieproductie'!S37+'lokale energieproductie'!S44)*(-1)</f>
        <v>0</v>
      </c>
      <c r="G13" s="245"/>
      <c r="H13" s="244"/>
      <c r="I13" s="244"/>
      <c r="J13" s="244"/>
      <c r="K13" s="244"/>
      <c r="L13" s="302">
        <f ca="1">('lokale energieproductie'!U37+'lokale energieproductie'!T37+'lokale energieproductie'!U44+'lokale energieproductie'!T44)*(-1)</f>
        <v>0</v>
      </c>
      <c r="M13" s="244"/>
      <c r="N13" s="302">
        <f ca="1">('lokale energieproductie'!Q37+'lokale energieproductie'!R37+'lokale energieproductie'!V37+'lokale energieproductie'!Q44+'lokale energieproductie'!R44+'lokale energieproductie'!V44)*(-1)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132662.91311497189</v>
      </c>
      <c r="C16" s="21">
        <f ca="1">C5+C13+C14</f>
        <v>211.07142857142858</v>
      </c>
      <c r="D16" s="21">
        <f t="shared" ref="D16:N16" ca="1" si="1">MAX((D5+D13+D14),0)</f>
        <v>62379.995957328443</v>
      </c>
      <c r="E16" s="21">
        <f t="shared" si="1"/>
        <v>3589.3635412951617</v>
      </c>
      <c r="F16" s="21">
        <f t="shared" ca="1" si="1"/>
        <v>22583.252335887628</v>
      </c>
      <c r="G16" s="21">
        <f t="shared" si="1"/>
        <v>0</v>
      </c>
      <c r="H16" s="21">
        <f t="shared" si="1"/>
        <v>0</v>
      </c>
      <c r="I16" s="21">
        <f t="shared" si="1"/>
        <v>0</v>
      </c>
      <c r="J16" s="21">
        <f t="shared" si="1"/>
        <v>0</v>
      </c>
      <c r="K16" s="21">
        <f t="shared" si="1"/>
        <v>0</v>
      </c>
      <c r="L16" s="21">
        <f t="shared" ca="1" si="1"/>
        <v>0</v>
      </c>
      <c r="M16" s="21">
        <f t="shared" si="1"/>
        <v>0</v>
      </c>
      <c r="N16" s="21">
        <f t="shared" ca="1" si="1"/>
        <v>3245.7661568218195</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0.1935525017198253</v>
      </c>
      <c r="C18" s="25">
        <f ca="1">'EF ele_warmte'!B22</f>
        <v>0.19925652993874163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25677.238718842629</v>
      </c>
      <c r="C20" s="23">
        <f t="shared" ref="C20:P20" ca="1" si="2">C16*C18</f>
        <v>42.057360426355828</v>
      </c>
      <c r="D20" s="23">
        <f t="shared" ca="1" si="2"/>
        <v>12600.759183380347</v>
      </c>
      <c r="E20" s="23">
        <f t="shared" si="2"/>
        <v>814.78552387400168</v>
      </c>
      <c r="F20" s="23">
        <f t="shared" ca="1" si="2"/>
        <v>6029.7283736819973</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83917.794001307906</v>
      </c>
      <c r="C26" s="39">
        <f>IF(ISERROR(B26*3.6/1000000/'E Balans VL '!Z12*100),0,B26*3.6/1000000/'E Balans VL '!Z12*100)</f>
        <v>1.7451297454752033</v>
      </c>
      <c r="D26" s="233" t="s">
        <v>676</v>
      </c>
      <c r="F26" s="6"/>
    </row>
    <row r="27" spans="1:18">
      <c r="A27" s="228" t="s">
        <v>52</v>
      </c>
      <c r="B27" s="33">
        <f>IF(ISERROR(TER_horeca_ele_kWh/1000),0,TER_horeca_ele_kWh/1000)</f>
        <v>5212.3942337046701</v>
      </c>
      <c r="C27" s="39">
        <f>IF(ISERROR(B27*3.6/1000000/'E Balans VL '!Z9*100),0,B27*3.6/1000000/'E Balans VL '!Z9*100)</f>
        <v>0.42872312469724516</v>
      </c>
      <c r="D27" s="233" t="s">
        <v>676</v>
      </c>
      <c r="F27" s="6"/>
    </row>
    <row r="28" spans="1:18">
      <c r="A28" s="168" t="s">
        <v>51</v>
      </c>
      <c r="B28" s="33">
        <f>IF(ISERROR(TER_handel_ele_kWh/1000),0,TER_handel_ele_kWh/1000)</f>
        <v>22759.965842691101</v>
      </c>
      <c r="C28" s="39">
        <f>IF(ISERROR(B28*3.6/1000000/'E Balans VL '!Z13*100),0,B28*3.6/1000000/'E Balans VL '!Z13*100)</f>
        <v>0.62999140507167206</v>
      </c>
      <c r="D28" s="233" t="s">
        <v>676</v>
      </c>
      <c r="F28" s="6"/>
    </row>
    <row r="29" spans="1:18">
      <c r="A29" s="228" t="s">
        <v>50</v>
      </c>
      <c r="B29" s="33">
        <f>IF(ISERROR(TER_gezond_ele_kWh/1000),0,TER_gezond_ele_kWh/1000)</f>
        <v>998.27290481441401</v>
      </c>
      <c r="C29" s="39">
        <f>IF(ISERROR(B29*3.6/1000000/'E Balans VL '!Z10*100),0,B29*3.6/1000000/'E Balans VL '!Z10*100)</f>
        <v>0.11384577895617097</v>
      </c>
      <c r="D29" s="233" t="s">
        <v>676</v>
      </c>
      <c r="F29" s="6"/>
    </row>
    <row r="30" spans="1:18">
      <c r="A30" s="228" t="s">
        <v>49</v>
      </c>
      <c r="B30" s="33">
        <f>IF(ISERROR(TER_ander_ele_kWh/1000),0,TER_ander_ele_kWh/1000)</f>
        <v>7718.0060608184704</v>
      </c>
      <c r="C30" s="39">
        <f>IF(ISERROR(B30*3.6/1000000/'E Balans VL '!Z14*100),0,B30*3.6/1000000/'E Balans VL '!Z14*100)</f>
        <v>0.59739460439654268</v>
      </c>
      <c r="D30" s="233" t="s">
        <v>676</v>
      </c>
      <c r="F30" s="6"/>
    </row>
    <row r="31" spans="1:18">
      <c r="A31" s="228" t="s">
        <v>54</v>
      </c>
      <c r="B31" s="33">
        <f>IF(ISERROR(TER_onderwijs_ele_kWh/1000),0,TER_onderwijs_ele_kWh/1000)</f>
        <v>833.625571578522</v>
      </c>
      <c r="C31" s="39">
        <f>IF(ISERROR(B31*3.6/1000000/'E Balans VL '!Z11*100),0,B31*3.6/1000000/'E Balans VL '!Z11*100)</f>
        <v>0.25974195947183887</v>
      </c>
      <c r="D31" s="233" t="s">
        <v>676</v>
      </c>
    </row>
    <row r="32" spans="1:18">
      <c r="A32" s="228" t="s">
        <v>249</v>
      </c>
      <c r="B32" s="33">
        <f>IF(ISERROR(TER_rest_ele_kWh/1000),0,TER_rest_ele_kWh/1000)</f>
        <v>11075.104500056799</v>
      </c>
      <c r="C32" s="39">
        <f>IF(ISERROR(B32*3.6/1000000/'E Balans VL '!Z8*100),0,B32*3.6/1000000/'E Balans VL '!Z8*100)</f>
        <v>9.1326194397035862E-2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1</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124987.90401412264</v>
      </c>
      <c r="C5" s="17">
        <f>IF(ISERROR('Eigen informatie GS &amp; warmtenet'!B59),0,'Eigen informatie GS &amp; warmtenet'!B59)</f>
        <v>0</v>
      </c>
      <c r="D5" s="30">
        <f>SUM(D6:D15)</f>
        <v>26907.565531344546</v>
      </c>
      <c r="E5" s="17">
        <f>SUM(E6:E15)</f>
        <v>1289.0443883375499</v>
      </c>
      <c r="F5" s="17">
        <f>SUM(F6:F15)</f>
        <v>39533.050063149625</v>
      </c>
      <c r="G5" s="18"/>
      <c r="H5" s="17"/>
      <c r="I5" s="17"/>
      <c r="J5" s="17">
        <f>SUM(J6:J15)</f>
        <v>472.15144129622888</v>
      </c>
      <c r="K5" s="17"/>
      <c r="L5" s="17"/>
      <c r="M5" s="17"/>
      <c r="N5" s="17">
        <f>SUM(N6:N15)</f>
        <v>3745.6947730277416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645.028014862752</v>
      </c>
      <c r="C8" s="33"/>
      <c r="D8" s="37">
        <f>IF( ISERROR(IND_metaal_Gas_kWH/1000),0,IND_metaal_Gas_kWH/1000)*0.902</f>
        <v>0</v>
      </c>
      <c r="E8" s="33">
        <f>C30*'E Balans VL '!I18/100/3.6*1000000</f>
        <v>4.532469541464704</v>
      </c>
      <c r="F8" s="33">
        <f>C30*'E Balans VL '!L18/100/3.6*1000000+C30*'E Balans VL '!N18/100/3.6*1000000</f>
        <v>70.820302246595034</v>
      </c>
      <c r="G8" s="34"/>
      <c r="H8" s="33"/>
      <c r="I8" s="33"/>
      <c r="J8" s="40">
        <f>C30*'E Balans VL '!D18/100/3.6*1000000+C30*'E Balans VL '!E18/100/3.6*1000000</f>
        <v>13.308318234694779</v>
      </c>
      <c r="K8" s="33"/>
      <c r="L8" s="33"/>
      <c r="M8" s="33"/>
      <c r="N8" s="33">
        <f>C30*'E Balans VL '!Y18/100/3.6*1000000</f>
        <v>2.4176114545733967</v>
      </c>
      <c r="O8" s="33"/>
      <c r="P8" s="33"/>
      <c r="R8" s="32"/>
    </row>
    <row r="9" spans="1:18">
      <c r="A9" s="6" t="s">
        <v>32</v>
      </c>
      <c r="B9" s="37">
        <f t="shared" si="0"/>
        <v>32039.561505156402</v>
      </c>
      <c r="C9" s="33"/>
      <c r="D9" s="37">
        <f>IF( ISERROR(IND_andere_gas_kWh/1000),0,IND_andere_gas_kWh/1000)*0.902</f>
        <v>3392.8346154326823</v>
      </c>
      <c r="E9" s="33">
        <f>C31*'E Balans VL '!I19/100/3.6*1000000</f>
        <v>538.14368519511936</v>
      </c>
      <c r="F9" s="33">
        <f>C31*'E Balans VL '!L19/100/3.6*1000000+C31*'E Balans VL '!N19/100/3.6*1000000</f>
        <v>25046.704347564111</v>
      </c>
      <c r="G9" s="34"/>
      <c r="H9" s="33"/>
      <c r="I9" s="33"/>
      <c r="J9" s="40">
        <f>C31*'E Balans VL '!D19/100/3.6*1000000+C31*'E Balans VL '!E19/100/3.6*1000000</f>
        <v>2.8896856222232348</v>
      </c>
      <c r="K9" s="33"/>
      <c r="L9" s="33"/>
      <c r="M9" s="33"/>
      <c r="N9" s="33">
        <f>C31*'E Balans VL '!Y19/100/3.6*1000000</f>
        <v>2374.6455370426856</v>
      </c>
      <c r="O9" s="33"/>
      <c r="P9" s="33"/>
      <c r="R9" s="32"/>
    </row>
    <row r="10" spans="1:18">
      <c r="A10" s="6" t="s">
        <v>40</v>
      </c>
      <c r="B10" s="37">
        <f t="shared" si="0"/>
        <v>20272.540503013901</v>
      </c>
      <c r="C10" s="33"/>
      <c r="D10" s="37">
        <f>IF( ISERROR(IND_voed_gas_kWh/1000),0,IND_voed_gas_kWh/1000)*0.902</f>
        <v>941.82376141567374</v>
      </c>
      <c r="E10" s="33">
        <f>C32*'E Balans VL '!I20/100/3.6*1000000</f>
        <v>184.95823529569785</v>
      </c>
      <c r="F10" s="33">
        <f>C32*'E Balans VL '!L20/100/3.6*1000000+C32*'E Balans VL '!N20/100/3.6*1000000</f>
        <v>3270.5948710949579</v>
      </c>
      <c r="G10" s="34"/>
      <c r="H10" s="33"/>
      <c r="I10" s="33"/>
      <c r="J10" s="40">
        <f>C32*'E Balans VL '!D20/100/3.6*1000000+C32*'E Balans VL '!E20/100/3.6*1000000</f>
        <v>83.495613112332506</v>
      </c>
      <c r="K10" s="33"/>
      <c r="L10" s="33"/>
      <c r="M10" s="33"/>
      <c r="N10" s="33">
        <f>C32*'E Balans VL '!Y20/100/3.6*1000000</f>
        <v>296.571282212261</v>
      </c>
      <c r="O10" s="33"/>
      <c r="P10" s="33"/>
      <c r="R10" s="32"/>
    </row>
    <row r="11" spans="1:18">
      <c r="A11" s="6" t="s">
        <v>39</v>
      </c>
      <c r="B11" s="37">
        <f t="shared" si="0"/>
        <v>29.7977087181477</v>
      </c>
      <c r="C11" s="33"/>
      <c r="D11" s="37">
        <f>IF( ISERROR(IND_textiel_gas_kWh/1000),0,IND_textiel_gas_kWh/1000)*0.902</f>
        <v>0</v>
      </c>
      <c r="E11" s="33">
        <f>C33*'E Balans VL '!I21/100/3.6*1000000</f>
        <v>6.7963046347446085E-2</v>
      </c>
      <c r="F11" s="33">
        <f>C33*'E Balans VL '!L21/100/3.6*1000000+C33*'E Balans VL '!N21/100/3.6*1000000</f>
        <v>0.63695366110073359</v>
      </c>
      <c r="G11" s="34"/>
      <c r="H11" s="33"/>
      <c r="I11" s="33"/>
      <c r="J11" s="40">
        <f>C33*'E Balans VL '!D21/100/3.6*1000000+C33*'E Balans VL '!E21/100/3.6*1000000</f>
        <v>0</v>
      </c>
      <c r="K11" s="33"/>
      <c r="L11" s="33"/>
      <c r="M11" s="33"/>
      <c r="N11" s="33">
        <f>C33*'E Balans VL '!Y21/100/3.6*1000000</f>
        <v>0.21138092565118985</v>
      </c>
      <c r="O11" s="33"/>
      <c r="P11" s="33"/>
      <c r="R11" s="32"/>
    </row>
    <row r="12" spans="1:18">
      <c r="A12" s="6" t="s">
        <v>36</v>
      </c>
      <c r="B12" s="37">
        <f t="shared" si="0"/>
        <v>51.002768720417997</v>
      </c>
      <c r="C12" s="33"/>
      <c r="D12" s="37">
        <f>IF( ISERROR(IND_min_gas_kWh/1000),0,IND_min_gas_kWh/1000)*0.902</f>
        <v>98.738164776577463</v>
      </c>
      <c r="E12" s="33">
        <f>C34*'E Balans VL '!I22/100/3.6*1000000</f>
        <v>1.265034476731725</v>
      </c>
      <c r="F12" s="33">
        <f>C34*'E Balans VL '!L22/100/3.6*1000000+C34*'E Balans VL '!N22/100/3.6*1000000</f>
        <v>5.4195325278641766</v>
      </c>
      <c r="G12" s="34"/>
      <c r="H12" s="33"/>
      <c r="I12" s="33"/>
      <c r="J12" s="40">
        <f>C34*'E Balans VL '!D22/100/3.6*1000000+C34*'E Balans VL '!E22/100/3.6*1000000</f>
        <v>0.2897256528288642</v>
      </c>
      <c r="K12" s="33"/>
      <c r="L12" s="33"/>
      <c r="M12" s="33"/>
      <c r="N12" s="33">
        <f>C34*'E Balans VL '!Y22/100/3.6*1000000</f>
        <v>0</v>
      </c>
      <c r="O12" s="33"/>
      <c r="P12" s="33"/>
      <c r="R12" s="32"/>
    </row>
    <row r="13" spans="1:18">
      <c r="A13" s="6" t="s">
        <v>38</v>
      </c>
      <c r="B13" s="37">
        <f t="shared" si="0"/>
        <v>171.99181306672</v>
      </c>
      <c r="C13" s="33"/>
      <c r="D13" s="37">
        <f>IF( ISERROR(IND_papier_gas_kWh/1000),0,IND_papier_gas_kWh/1000)*0.902</f>
        <v>161.71412590493813</v>
      </c>
      <c r="E13" s="33">
        <f>C35*'E Balans VL '!I23/100/3.6*1000000</f>
        <v>5.2917392294073462</v>
      </c>
      <c r="F13" s="33">
        <f>C35*'E Balans VL '!L23/100/3.6*1000000+C35*'E Balans VL '!N23/100/3.6*1000000</f>
        <v>36.519872672801363</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16505.646858420201</v>
      </c>
      <c r="C14" s="33"/>
      <c r="D14" s="37">
        <f>IF( ISERROR(IND_chemie_gas_kWh/1000),0,IND_chemie_gas_kWh/1000)*0.902</f>
        <v>0</v>
      </c>
      <c r="E14" s="33">
        <f>C36*'E Balans VL '!I24/100/3.6*1000000</f>
        <v>55.965511389877463</v>
      </c>
      <c r="F14" s="33">
        <f>C36*'E Balans VL '!L24/100/3.6*1000000+C36*'E Balans VL '!N24/100/3.6*1000000</f>
        <v>52.97061985729637</v>
      </c>
      <c r="G14" s="34"/>
      <c r="H14" s="33"/>
      <c r="I14" s="33"/>
      <c r="J14" s="40">
        <f>C36*'E Balans VL '!D24/100/3.6*1000000+C36*'E Balans VL '!E24/100/3.6*1000000</f>
        <v>0</v>
      </c>
      <c r="K14" s="33"/>
      <c r="L14" s="33"/>
      <c r="M14" s="33"/>
      <c r="N14" s="33">
        <f>C36*'E Balans VL '!Y24/100/3.6*1000000</f>
        <v>77.175931600085519</v>
      </c>
      <c r="O14" s="33"/>
      <c r="P14" s="33"/>
      <c r="R14" s="32"/>
    </row>
    <row r="15" spans="1:18">
      <c r="A15" s="6" t="s">
        <v>259</v>
      </c>
      <c r="B15" s="37">
        <f t="shared" si="0"/>
        <v>55272.334842164099</v>
      </c>
      <c r="C15" s="33"/>
      <c r="D15" s="37">
        <f>IF( ISERROR(IND_rest_gas_kWh/1000),0,IND_rest_gas_kWh/1000)*0.902</f>
        <v>22312.454863814673</v>
      </c>
      <c r="E15" s="33">
        <f>C37*'E Balans VL '!I15/100/3.6*1000000</f>
        <v>498.81975016290409</v>
      </c>
      <c r="F15" s="33">
        <f>C37*'E Balans VL '!L15/100/3.6*1000000+C37*'E Balans VL '!N15/100/3.6*1000000</f>
        <v>11049.383563524898</v>
      </c>
      <c r="G15" s="34"/>
      <c r="H15" s="33"/>
      <c r="I15" s="33"/>
      <c r="J15" s="40">
        <f>C37*'E Balans VL '!D15/100/3.6*1000000+C37*'E Balans VL '!E15/100/3.6*1000000</f>
        <v>372.16809867414952</v>
      </c>
      <c r="K15" s="33"/>
      <c r="L15" s="33"/>
      <c r="M15" s="33"/>
      <c r="N15" s="33">
        <f>C37*'E Balans VL '!Y15/100/3.6*1000000</f>
        <v>994.67302979248484</v>
      </c>
      <c r="O15" s="33"/>
      <c r="P15" s="33"/>
      <c r="R15" s="32"/>
    </row>
    <row r="16" spans="1:18">
      <c r="A16" s="16" t="s">
        <v>483</v>
      </c>
      <c r="B16" s="243">
        <f>'lokale energieproductie'!N43+'lokale energieproductie'!N36</f>
        <v>2970</v>
      </c>
      <c r="C16" s="243">
        <f>'lokale energieproductie'!O43+'lokale energieproductie'!O36</f>
        <v>0</v>
      </c>
      <c r="D16" s="302">
        <f>('lokale energieproductie'!P36+'lokale energieproductie'!P43)*(-1)</f>
        <v>0</v>
      </c>
      <c r="E16" s="244"/>
      <c r="F16" s="302">
        <f>('lokale energieproductie'!S36+'lokale energieproductie'!S43)*(-1)</f>
        <v>0</v>
      </c>
      <c r="G16" s="245"/>
      <c r="H16" s="244"/>
      <c r="I16" s="244"/>
      <c r="J16" s="244"/>
      <c r="K16" s="244"/>
      <c r="L16" s="302">
        <f>('lokale energieproductie'!T36+'lokale energieproductie'!U36+'lokale energieproductie'!T43+'lokale energieproductie'!U43)*(-1)</f>
        <v>0</v>
      </c>
      <c r="M16" s="244"/>
      <c r="N16" s="302">
        <f>('lokale energieproductie'!Q36+'lokale energieproductie'!R36+'lokale energieproductie'!V36+'lokale energieproductie'!Q43+'lokale energieproductie'!R43+'lokale energieproductie'!V43)*(-1)</f>
        <v>-8485.7142857142862</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127957.90401412264</v>
      </c>
      <c r="C18" s="21">
        <f>C5+C16</f>
        <v>0</v>
      </c>
      <c r="D18" s="21">
        <f>MAX((D5+D16),0)</f>
        <v>26907.565531344546</v>
      </c>
      <c r="E18" s="21">
        <f>MAX((E5+E16),0)</f>
        <v>1289.0443883375499</v>
      </c>
      <c r="F18" s="21">
        <f>MAX((F5+F16),0)</f>
        <v>39533.050063149625</v>
      </c>
      <c r="G18" s="21"/>
      <c r="H18" s="21"/>
      <c r="I18" s="21"/>
      <c r="J18" s="21">
        <f>MAX((J5+J16),0)</f>
        <v>472.15144129622888</v>
      </c>
      <c r="K18" s="21"/>
      <c r="L18" s="21">
        <f>MAX((L5+L16),0)</f>
        <v>0</v>
      </c>
      <c r="M18" s="21"/>
      <c r="N18" s="21">
        <f>MAX((N5+N16),0)</f>
        <v>0</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0.1935525017198253</v>
      </c>
      <c r="C20" s="25">
        <f ca="1">'EF ele_warmte'!B22</f>
        <v>0.19925652993874163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24766.572436758714</v>
      </c>
      <c r="C22" s="23">
        <f ca="1">C18*C20</f>
        <v>0</v>
      </c>
      <c r="D22" s="23">
        <f>D18*D20</f>
        <v>5435.3282373315988</v>
      </c>
      <c r="E22" s="23">
        <f>E18*E20</f>
        <v>292.61307615262382</v>
      </c>
      <c r="F22" s="23">
        <f>F18*F20</f>
        <v>10555.32436686095</v>
      </c>
      <c r="G22" s="23"/>
      <c r="H22" s="23"/>
      <c r="I22" s="23"/>
      <c r="J22" s="23">
        <f>J18*J20</f>
        <v>167.14161021886503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645.028014862752</v>
      </c>
      <c r="C30" s="39">
        <f>IF(ISERROR(B30*3.6/1000000/'E Balans VL '!Z18*100),0,B30*3.6/1000000/'E Balans VL '!Z18*100)</f>
        <v>4.2939908836526312E-2</v>
      </c>
      <c r="D30" s="233" t="s">
        <v>676</v>
      </c>
    </row>
    <row r="31" spans="1:18">
      <c r="A31" s="6" t="s">
        <v>32</v>
      </c>
      <c r="B31" s="37">
        <f>IF( ISERROR(IND_ander_ele_kWh/1000),0,IND_ander_ele_kWh/1000)</f>
        <v>32039.561505156402</v>
      </c>
      <c r="C31" s="39">
        <f>IF(ISERROR(B31*3.6/1000000/'E Balans VL '!Z19*100),0,B31*3.6/1000000/'E Balans VL '!Z19*100)</f>
        <v>1.4201867904441838</v>
      </c>
      <c r="D31" s="233" t="s">
        <v>676</v>
      </c>
    </row>
    <row r="32" spans="1:18">
      <c r="A32" s="168" t="s">
        <v>40</v>
      </c>
      <c r="B32" s="37">
        <f>IF( ISERROR(IND_voed_ele_kWh/1000),0,IND_voed_ele_kWh/1000)</f>
        <v>20272.540503013901</v>
      </c>
      <c r="C32" s="39">
        <f>IF(ISERROR(B32*3.6/1000000/'E Balans VL '!Z20*100),0,B32*3.6/1000000/'E Balans VL '!Z20*100)</f>
        <v>0.67716100719271832</v>
      </c>
      <c r="D32" s="233" t="s">
        <v>676</v>
      </c>
    </row>
    <row r="33" spans="1:5">
      <c r="A33" s="168" t="s">
        <v>39</v>
      </c>
      <c r="B33" s="37">
        <f>IF( ISERROR(IND_textiel_ele_kWh/1000),0,IND_textiel_ele_kWh/1000)</f>
        <v>29.7977087181477</v>
      </c>
      <c r="C33" s="39">
        <f>IF(ISERROR(B33*3.6/1000000/'E Balans VL '!Z21*100),0,B33*3.6/1000000/'E Balans VL '!Z21*100)</f>
        <v>3.922937067451714E-3</v>
      </c>
      <c r="D33" s="233" t="s">
        <v>676</v>
      </c>
    </row>
    <row r="34" spans="1:5">
      <c r="A34" s="168" t="s">
        <v>36</v>
      </c>
      <c r="B34" s="37">
        <f>IF( ISERROR(IND_min_ele_kWh/1000),0,IND_min_ele_kWh/1000)</f>
        <v>51.002768720417997</v>
      </c>
      <c r="C34" s="39">
        <f>IF(ISERROR(B34*3.6/1000000/'E Balans VL '!Z22*100),0,B34*3.6/1000000/'E Balans VL '!Z22*100)</f>
        <v>9.9194782825525098E-3</v>
      </c>
      <c r="D34" s="233" t="s">
        <v>676</v>
      </c>
    </row>
    <row r="35" spans="1:5">
      <c r="A35" s="168" t="s">
        <v>38</v>
      </c>
      <c r="B35" s="37">
        <f>IF( ISERROR(IND_papier_ele_kWh/1000),0,IND_papier_ele_kWh/1000)</f>
        <v>171.99181306672</v>
      </c>
      <c r="C35" s="39">
        <f>IF(ISERROR(B35*3.6/1000000/'E Balans VL '!Z22*100),0,B35*3.6/1000000/'E Balans VL '!Z22*100)</f>
        <v>3.3450518418800416E-2</v>
      </c>
      <c r="D35" s="233" t="s">
        <v>676</v>
      </c>
    </row>
    <row r="36" spans="1:5">
      <c r="A36" s="168" t="s">
        <v>33</v>
      </c>
      <c r="B36" s="37">
        <f>IF( ISERROR(IND_chemie_ele_kWh/1000),0,IND_chemie_ele_kWh/1000)</f>
        <v>16505.646858420201</v>
      </c>
      <c r="C36" s="39">
        <f>IF(ISERROR(B36*3.6/1000000/'E Balans VL '!Z24*100),0,B36*3.6/1000000/'E Balans VL '!Z24*100)</f>
        <v>0.38759704451844912</v>
      </c>
      <c r="D36" s="233" t="s">
        <v>676</v>
      </c>
    </row>
    <row r="37" spans="1:5">
      <c r="A37" s="168" t="s">
        <v>259</v>
      </c>
      <c r="B37" s="37">
        <f>IF( ISERROR(IND_rest_ele_kWh/1000),0,IND_rest_ele_kWh/1000)</f>
        <v>55272.334842164099</v>
      </c>
      <c r="C37" s="39">
        <f>IF(ISERROR(B37*3.6/1000000/'E Balans VL '!Z15*100),0,B37*3.6/1000000/'E Balans VL '!Z15*100)</f>
        <v>0.41113612488974749</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9873.2063815045713</v>
      </c>
      <c r="C5" s="17">
        <f>'Eigen informatie GS &amp; warmtenet'!B60</f>
        <v>0</v>
      </c>
      <c r="D5" s="30">
        <f>IF(ISERROR(SUM(LB_lb_gas_kWh,LB_rest_gas_kWh)/1000),0,SUM(LB_lb_gas_kWh,LB_rest_gas_kWh)/1000)*0.902</f>
        <v>98181.842687051569</v>
      </c>
      <c r="E5" s="17">
        <f>B17*'E Balans VL '!I25/3.6*1000000/100</f>
        <v>88.97011749206213</v>
      </c>
      <c r="F5" s="17">
        <f>B17*('E Balans VL '!L25/3.6*1000000+'E Balans VL '!N25/3.6*1000000)/100</f>
        <v>36995.205434320953</v>
      </c>
      <c r="G5" s="18"/>
      <c r="H5" s="17"/>
      <c r="I5" s="17"/>
      <c r="J5" s="17">
        <f>('E Balans VL '!D25+'E Balans VL '!E25)/3.6*1000000*landbouw!B17/100</f>
        <v>999.12765136689961</v>
      </c>
      <c r="K5" s="17"/>
      <c r="L5" s="17">
        <f>L6*(-1)</f>
        <v>0</v>
      </c>
      <c r="M5" s="17"/>
      <c r="N5" s="17">
        <f>N6*(-1)</f>
        <v>28710.000000000004</v>
      </c>
      <c r="O5" s="17"/>
      <c r="P5" s="17"/>
      <c r="R5" s="32"/>
    </row>
    <row r="6" spans="1:18">
      <c r="A6" s="16" t="s">
        <v>483</v>
      </c>
      <c r="B6" s="17" t="s">
        <v>204</v>
      </c>
      <c r="C6" s="17">
        <f>'lokale energieproductie'!O45+'lokale energieproductie'!O38</f>
        <v>88650</v>
      </c>
      <c r="D6" s="302">
        <f>('lokale energieproductie'!P38+'lokale energieproductie'!P45)*(-1)</f>
        <v>-148590</v>
      </c>
      <c r="E6" s="244"/>
      <c r="F6" s="302">
        <f>('lokale energieproductie'!S38+'lokale energieproductie'!S45)*(-1)</f>
        <v>0</v>
      </c>
      <c r="G6" s="245"/>
      <c r="H6" s="244"/>
      <c r="I6" s="244"/>
      <c r="J6" s="244"/>
      <c r="K6" s="244"/>
      <c r="L6" s="302">
        <f>('lokale energieproductie'!T38+'lokale energieproductie'!U38+'lokale energieproductie'!T45+'lokale energieproductie'!U45)*(-1)</f>
        <v>0</v>
      </c>
      <c r="M6" s="244"/>
      <c r="N6" s="302">
        <f>('lokale energieproductie'!V38+'lokale energieproductie'!R38+'lokale energieproductie'!Q38+'lokale energieproductie'!Q45+'lokale energieproductie'!R45+'lokale energieproductie'!V45)*(-1)</f>
        <v>-28710.000000000004</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9873.2063815045713</v>
      </c>
      <c r="C8" s="21">
        <f>C5+C6</f>
        <v>88650</v>
      </c>
      <c r="D8" s="21">
        <f>MAX((D5+D6),0)</f>
        <v>0</v>
      </c>
      <c r="E8" s="21">
        <f>MAX((E5+E6),0)</f>
        <v>88.97011749206213</v>
      </c>
      <c r="F8" s="21">
        <f>MAX((F5+F6),0)</f>
        <v>36995.205434320953</v>
      </c>
      <c r="G8" s="21"/>
      <c r="H8" s="21"/>
      <c r="I8" s="21"/>
      <c r="J8" s="21">
        <f>MAX((J5+J6),0)</f>
        <v>999.12765136689961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0.1935525017198253</v>
      </c>
      <c r="C10" s="31">
        <f ca="1">'EF ele_warmte'!B22</f>
        <v>0.19925652993874163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1910.9837951363536</v>
      </c>
      <c r="C12" s="23">
        <f ca="1">C8*C10</f>
        <v>17664.091379069447</v>
      </c>
      <c r="D12" s="23">
        <f>D8*D10</f>
        <v>0</v>
      </c>
      <c r="E12" s="23">
        <f>E8*E10</f>
        <v>20.196216670698103</v>
      </c>
      <c r="F12" s="23">
        <f>F8*F10</f>
        <v>9877.7198509636946</v>
      </c>
      <c r="G12" s="23"/>
      <c r="H12" s="23"/>
      <c r="I12" s="23"/>
      <c r="J12" s="23">
        <f>J8*J10</f>
        <v>353.69118858388242</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1.5196770502171002</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828.86504243341699</v>
      </c>
      <c r="C26" s="243">
        <f>B26*'GWP N2O_CH4'!B5</f>
        <v>17406.165891101758</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496.00531856270408</v>
      </c>
      <c r="C27" s="243">
        <f>B27*'GWP N2O_CH4'!B5</f>
        <v>10416.111689816786</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14.614717028285812</v>
      </c>
      <c r="C28" s="243">
        <f>B28*'GWP N2O_CH4'!B4</f>
        <v>4530.5622787686016</v>
      </c>
      <c r="D28" s="50"/>
    </row>
    <row r="29" spans="1:4">
      <c r="A29" s="41" t="s">
        <v>266</v>
      </c>
      <c r="B29" s="243">
        <f>B34*'ha_N2O bodem landbouw'!B4</f>
        <v>41.365450635301869</v>
      </c>
      <c r="C29" s="243">
        <f>B29*'GWP N2O_CH4'!B4</f>
        <v>12823.289696943579</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1.073975389117208E-2</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2.0636351043547418E-5</v>
      </c>
      <c r="C5" s="431" t="s">
        <v>204</v>
      </c>
      <c r="D5" s="416">
        <f>SUM(D6:D11)</f>
        <v>6.3410980199289524E-5</v>
      </c>
      <c r="E5" s="416">
        <f>SUM(E6:E11)</f>
        <v>7.3615792333770174E-3</v>
      </c>
      <c r="F5" s="429" t="s">
        <v>204</v>
      </c>
      <c r="G5" s="416">
        <f>SUM(G6:G11)</f>
        <v>2.0091243044523397</v>
      </c>
      <c r="H5" s="416">
        <f>SUM(H6:H11)</f>
        <v>0.22608941535656296</v>
      </c>
      <c r="I5" s="431" t="s">
        <v>204</v>
      </c>
      <c r="J5" s="431" t="s">
        <v>204</v>
      </c>
      <c r="K5" s="431" t="s">
        <v>204</v>
      </c>
      <c r="L5" s="431" t="s">
        <v>204</v>
      </c>
      <c r="M5" s="416">
        <f>SUM(M6:M11)</f>
        <v>9.6957195869246823E-2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4.3043811533486806E-6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1.358667952892626E-5</v>
      </c>
      <c r="E6" s="419">
        <f>vkm_GW_PW*SUMIFS(TableVerdeelsleutelVkm[LPG],TableVerdeelsleutelVkm[Voertuigtype],"Lichte voertuigen")*SUMIFS(TableECFTransport[EnergieConsumptieFactor (PJ per km)],TableECFTransport[Index],CONCATENATE($A6,"_LPG_LPG"))</f>
        <v>1.4110916460260876E-3</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0.18835603025145964</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4.7306917893363075E-2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1.0291527237376983E-2</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4.0664149519943144E-7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0.18330403472068452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5.3936027140271574E-6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7.8968338612023965E-3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2.7865105210610451E-6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1.4917990211600153E-5</v>
      </c>
      <c r="E8" s="419">
        <f>vkm_NGW_PW*SUMIFS(TableVerdeelsleutelVkm[LPG],TableVerdeelsleutelVkm[Voertuigtype],"Lichte voertuigen")*SUMIFS(TableECFTransport[EnergieConsumptieFactor (PJ per km)],TableECFTransport[Index],CONCATENATE($A8,"_LPG_LPG"))</f>
        <v>1.4582356554199503E-3</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0.18516655676500135</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4.9057405435897733E-2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1.0234693740022099E-2</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2.5956582062326756E-7</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0.16207157458526797</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4.15557582196881E-6</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6.9821001273724067E-3</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1.1193458531082017E-5</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3.4906310458763109E-5</v>
      </c>
      <c r="E10" s="419">
        <f>vkm_SW_PW*SUMIFS(TableVerdeelsleutelVkm[LPG],TableVerdeelsleutelVkm[Voertuigtype],"Lichte voertuigen")*SUMIFS(TableECFTransport[EnergieConsumptieFactor (PJ per km)],TableECFTransport[Index],CONCATENATE($A10,"_LPG_LPG"))</f>
        <v>4.4922519319309795E-3</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0.5569720034596759</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0.12969252832035696</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2.9963003642298962E-2</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1.6857935222329771E-6</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0.73325410467025021</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2.301452840919949E-5</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3.1589037260973979E-2</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5.7323197343187271</v>
      </c>
      <c r="C14" s="21"/>
      <c r="D14" s="21">
        <f t="shared" ref="D14:M14" si="0">((D5)*10^9/3600)+D12</f>
        <v>17.614161166469312</v>
      </c>
      <c r="E14" s="21">
        <f t="shared" si="0"/>
        <v>2044.8831203825048</v>
      </c>
      <c r="F14" s="21"/>
      <c r="G14" s="21">
        <f t="shared" si="0"/>
        <v>558090.08457009436</v>
      </c>
      <c r="H14" s="21">
        <f t="shared" si="0"/>
        <v>62802.615376823051</v>
      </c>
      <c r="I14" s="21"/>
      <c r="J14" s="21"/>
      <c r="K14" s="21"/>
      <c r="L14" s="21"/>
      <c r="M14" s="21">
        <f t="shared" si="0"/>
        <v>26932.554408124117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0.1935525017198253</v>
      </c>
      <c r="C16" s="56">
        <f ca="1">'EF ele_warmte'!B22</f>
        <v>0.19925652993874163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1.1095048252353139</v>
      </c>
      <c r="C18" s="23"/>
      <c r="D18" s="23">
        <f t="shared" ref="D18:M18" si="1">D14*D16</f>
        <v>3.5580605556268012</v>
      </c>
      <c r="E18" s="23">
        <f t="shared" si="1"/>
        <v>464.18846832682863</v>
      </c>
      <c r="F18" s="23"/>
      <c r="G18" s="23">
        <f t="shared" si="1"/>
        <v>149010.05258021521</v>
      </c>
      <c r="H18" s="23">
        <f t="shared" si="1"/>
        <v>15637.85122882894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7.0594883714222441E-5</v>
      </c>
      <c r="C50" s="313">
        <f t="shared" ref="C50:P50" si="2">SUM(C51:C52)</f>
        <v>0</v>
      </c>
      <c r="D50" s="313">
        <f t="shared" si="2"/>
        <v>0</v>
      </c>
      <c r="E50" s="313">
        <f t="shared" si="2"/>
        <v>0</v>
      </c>
      <c r="F50" s="313">
        <f t="shared" si="2"/>
        <v>0</v>
      </c>
      <c r="G50" s="313">
        <f t="shared" si="2"/>
        <v>1.531485125916753E-2</v>
      </c>
      <c r="H50" s="313">
        <f t="shared" si="2"/>
        <v>0</v>
      </c>
      <c r="I50" s="313">
        <f t="shared" si="2"/>
        <v>0</v>
      </c>
      <c r="J50" s="313">
        <f t="shared" si="2"/>
        <v>0</v>
      </c>
      <c r="K50" s="313">
        <f t="shared" si="2"/>
        <v>0</v>
      </c>
      <c r="L50" s="313">
        <f t="shared" si="2"/>
        <v>0</v>
      </c>
      <c r="M50" s="313">
        <f t="shared" si="2"/>
        <v>6.5572310276004449E-4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7.0594883714222441E-5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1.531485125916753E-2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6.5572310276004449E-4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19.609689920617342</v>
      </c>
      <c r="C54" s="21">
        <f t="shared" ref="C54:P54" si="3">(C50)*10^9/3600</f>
        <v>0</v>
      </c>
      <c r="D54" s="21">
        <f t="shared" si="3"/>
        <v>0</v>
      </c>
      <c r="E54" s="21">
        <f t="shared" si="3"/>
        <v>0</v>
      </c>
      <c r="F54" s="21">
        <f t="shared" si="3"/>
        <v>0</v>
      </c>
      <c r="G54" s="21">
        <f t="shared" si="3"/>
        <v>4254.1253497687585</v>
      </c>
      <c r="H54" s="21">
        <f t="shared" si="3"/>
        <v>0</v>
      </c>
      <c r="I54" s="21">
        <f t="shared" si="3"/>
        <v>0</v>
      </c>
      <c r="J54" s="21">
        <f t="shared" si="3"/>
        <v>0</v>
      </c>
      <c r="K54" s="21">
        <f t="shared" si="3"/>
        <v>0</v>
      </c>
      <c r="L54" s="21">
        <f t="shared" si="3"/>
        <v>0</v>
      </c>
      <c r="M54" s="21">
        <f t="shared" si="3"/>
        <v>182.14530632223457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0.1935525017198253</v>
      </c>
      <c r="C56" s="56">
        <f ca="1">'EF ele_warmte'!B22</f>
        <v>0.19925652993874163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3.7955045420855287</v>
      </c>
      <c r="C58" s="23">
        <f t="shared" ref="C58:P58" ca="1" si="4">C54*C56</f>
        <v>0</v>
      </c>
      <c r="D58" s="23">
        <f t="shared" si="4"/>
        <v>0</v>
      </c>
      <c r="E58" s="23">
        <f t="shared" si="4"/>
        <v>0</v>
      </c>
      <c r="F58" s="23">
        <f t="shared" si="4"/>
        <v>0</v>
      </c>
      <c r="G58" s="23">
        <f t="shared" si="4"/>
        <v>1135.8514683882586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7"/>
  <sheetViews>
    <sheetView showGridLines="0" zoomScale="65" zoomScaleNormal="65" workbookViewId="0">
      <selection activeCell="A28" sqref="A28:XFD35"/>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14206.070468537737</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23577.353823722642</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N35</f>
        <v>62202.75</v>
      </c>
      <c r="C8" s="542">
        <f>B54</f>
        <v>61357.941176470602</v>
      </c>
      <c r="D8" s="920"/>
      <c r="E8" s="920">
        <f>E54</f>
        <v>0</v>
      </c>
      <c r="F8" s="921"/>
      <c r="G8" s="543"/>
      <c r="H8" s="920">
        <f>I54</f>
        <v>0</v>
      </c>
      <c r="I8" s="920">
        <f>G54+F54</f>
        <v>0</v>
      </c>
      <c r="J8" s="920">
        <f>H54+D54+C54</f>
        <v>11821.764705882355</v>
      </c>
      <c r="K8" s="920"/>
      <c r="L8" s="920"/>
      <c r="M8" s="920"/>
      <c r="N8" s="544"/>
      <c r="O8" s="545">
        <f>C8*$C$12+D8*$D$12+E8*$E$12+F8*$F$12+G8*$G$12+H8*$H$12+I8*$I$12+J8*$J$12</f>
        <v>12394.304117647062</v>
      </c>
      <c r="P8" s="1181"/>
      <c r="Q8" s="1182"/>
      <c r="S8" s="953"/>
      <c r="T8" s="1169"/>
      <c r="U8" s="1169"/>
    </row>
    <row r="9" spans="1:21" s="530" customFormat="1" ht="17.45" customHeight="1" thickBot="1">
      <c r="A9" s="546" t="s">
        <v>237</v>
      </c>
      <c r="B9" s="957">
        <f>N42+'Eigen informatie GS &amp; warmtenet'!B12</f>
        <v>2970</v>
      </c>
      <c r="C9" s="547">
        <f>P42+IF(ISERROR(('Eigen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S42+IF(ISERROR('Eigen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W42+IF(ISERROR('Eigen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(T42+U42)+IF(ISERROR('Eigen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V42+Q42+R42+IF(ISERROR('Eigen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8485.7142857142862</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102956.17429226037</v>
      </c>
      <c r="C10" s="554">
        <f t="shared" ref="C10:L10" si="0">SUM(C8:C9)</f>
        <v>61357.941176470602</v>
      </c>
      <c r="D10" s="554">
        <f t="shared" si="0"/>
        <v>0</v>
      </c>
      <c r="E10" s="554">
        <f t="shared" si="0"/>
        <v>0</v>
      </c>
      <c r="F10" s="554">
        <f t="shared" si="0"/>
        <v>0</v>
      </c>
      <c r="G10" s="554">
        <f t="shared" si="0"/>
        <v>0</v>
      </c>
      <c r="H10" s="554">
        <f t="shared" si="0"/>
        <v>0</v>
      </c>
      <c r="I10" s="554">
        <f t="shared" si="0"/>
        <v>0</v>
      </c>
      <c r="J10" s="554">
        <f t="shared" si="0"/>
        <v>20307.478991596639</v>
      </c>
      <c r="K10" s="554">
        <f t="shared" si="0"/>
        <v>0</v>
      </c>
      <c r="L10" s="554">
        <f t="shared" si="0"/>
        <v>0</v>
      </c>
      <c r="M10" s="915"/>
      <c r="N10" s="915"/>
      <c r="O10" s="555">
        <f>SUM(O4:O9)</f>
        <v>12394.304117647062</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O35</f>
        <v>88861.071428571435</v>
      </c>
      <c r="C17" s="566">
        <f>B55</f>
        <v>87654.201680672282</v>
      </c>
      <c r="D17" s="567"/>
      <c r="E17" s="567">
        <f>E55</f>
        <v>0</v>
      </c>
      <c r="F17" s="568"/>
      <c r="G17" s="569"/>
      <c r="H17" s="566">
        <f>I55</f>
        <v>0</v>
      </c>
      <c r="I17" s="567">
        <f>G55+F55</f>
        <v>0</v>
      </c>
      <c r="J17" s="567">
        <f>H55+D55+C55</f>
        <v>16888.23529411765</v>
      </c>
      <c r="K17" s="567"/>
      <c r="L17" s="567"/>
      <c r="M17" s="567"/>
      <c r="N17" s="916"/>
      <c r="O17" s="570">
        <f>C17*$C$22+E17*$E$22+H17*$H$22+I17*$I$22+J17*$J$22+D17*$D$22+F17*$F$22+G17*$G$22+K17*$K$22+L17*$L$22</f>
        <v>17706.148739495802</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88861.071428571435</v>
      </c>
      <c r="C20" s="553">
        <f>SUM(C17:C19)</f>
        <v>87654.201680672282</v>
      </c>
      <c r="D20" s="553">
        <f t="shared" ref="D20:L20" si="1">SUM(D17:D19)</f>
        <v>0</v>
      </c>
      <c r="E20" s="553">
        <f t="shared" si="1"/>
        <v>0</v>
      </c>
      <c r="F20" s="553">
        <f t="shared" si="1"/>
        <v>0</v>
      </c>
      <c r="G20" s="553">
        <f t="shared" si="1"/>
        <v>0</v>
      </c>
      <c r="H20" s="553">
        <f t="shared" si="1"/>
        <v>0</v>
      </c>
      <c r="I20" s="553">
        <f t="shared" si="1"/>
        <v>0</v>
      </c>
      <c r="J20" s="553">
        <f t="shared" si="1"/>
        <v>16888.23529411765</v>
      </c>
      <c r="K20" s="553">
        <f t="shared" si="1"/>
        <v>0</v>
      </c>
      <c r="L20" s="553">
        <f t="shared" si="1"/>
        <v>0</v>
      </c>
      <c r="M20" s="553"/>
      <c r="N20" s="553"/>
      <c r="O20" s="574">
        <f>SUM(O17:O19)</f>
        <v>17706.148739495802</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25.5" hidden="1">
      <c r="A28" s="578"/>
      <c r="B28" s="736">
        <v>46003</v>
      </c>
      <c r="C28" s="736">
        <v>9120</v>
      </c>
      <c r="D28" s="626"/>
      <c r="E28" s="625"/>
      <c r="F28" s="625"/>
      <c r="G28" s="625" t="s">
        <v>962</v>
      </c>
      <c r="H28" s="625" t="s">
        <v>963</v>
      </c>
      <c r="I28" s="625"/>
      <c r="J28" s="735"/>
      <c r="K28" s="735"/>
      <c r="L28" s="625" t="s">
        <v>964</v>
      </c>
      <c r="M28" s="625">
        <v>197</v>
      </c>
      <c r="N28" s="625">
        <v>147.75</v>
      </c>
      <c r="O28" s="625">
        <v>211.07142857142858</v>
      </c>
      <c r="P28" s="625">
        <v>422.14285714285717</v>
      </c>
      <c r="Q28" s="625">
        <v>0</v>
      </c>
      <c r="R28" s="625">
        <v>0</v>
      </c>
      <c r="S28" s="625">
        <v>0</v>
      </c>
      <c r="T28" s="625">
        <v>0</v>
      </c>
      <c r="U28" s="625">
        <v>0</v>
      </c>
      <c r="V28" s="625">
        <v>0</v>
      </c>
      <c r="W28" s="625">
        <v>0</v>
      </c>
      <c r="X28" s="625"/>
      <c r="Y28" s="625">
        <v>1200</v>
      </c>
      <c r="Z28" s="625" t="s">
        <v>52</v>
      </c>
      <c r="AA28" s="627" t="s">
        <v>149</v>
      </c>
    </row>
    <row r="29" spans="1:27" s="579" customFormat="1" ht="25.5" hidden="1">
      <c r="A29" s="578"/>
      <c r="B29" s="736">
        <v>46003</v>
      </c>
      <c r="C29" s="736">
        <v>9120</v>
      </c>
      <c r="D29" s="626"/>
      <c r="E29" s="625"/>
      <c r="F29" s="625"/>
      <c r="G29" s="625" t="s">
        <v>962</v>
      </c>
      <c r="H29" s="625" t="s">
        <v>963</v>
      </c>
      <c r="I29" s="625"/>
      <c r="J29" s="735"/>
      <c r="K29" s="735"/>
      <c r="L29" s="625" t="s">
        <v>964</v>
      </c>
      <c r="M29" s="625">
        <v>1372</v>
      </c>
      <c r="N29" s="625">
        <v>6174.0000000000009</v>
      </c>
      <c r="O29" s="625">
        <v>8820.0000000000018</v>
      </c>
      <c r="P29" s="625">
        <v>17640.000000000004</v>
      </c>
      <c r="Q29" s="625">
        <v>0</v>
      </c>
      <c r="R29" s="625">
        <v>0</v>
      </c>
      <c r="S29" s="625">
        <v>0</v>
      </c>
      <c r="T29" s="625">
        <v>0</v>
      </c>
      <c r="U29" s="625">
        <v>0</v>
      </c>
      <c r="V29" s="625">
        <v>0</v>
      </c>
      <c r="W29" s="625">
        <v>0</v>
      </c>
      <c r="X29" s="625"/>
      <c r="Y29" s="625">
        <v>10</v>
      </c>
      <c r="Z29" s="625" t="s">
        <v>105</v>
      </c>
      <c r="AA29" s="627" t="s">
        <v>105</v>
      </c>
    </row>
    <row r="30" spans="1:27" s="579" customFormat="1" ht="25.5" hidden="1">
      <c r="A30" s="578"/>
      <c r="B30" s="736">
        <v>46003</v>
      </c>
      <c r="C30" s="736">
        <v>9120</v>
      </c>
      <c r="D30" s="626"/>
      <c r="E30" s="625"/>
      <c r="F30" s="625"/>
      <c r="G30" s="625" t="s">
        <v>962</v>
      </c>
      <c r="H30" s="625" t="s">
        <v>963</v>
      </c>
      <c r="I30" s="625"/>
      <c r="J30" s="735"/>
      <c r="K30" s="735"/>
      <c r="L30" s="625" t="s">
        <v>964</v>
      </c>
      <c r="M30" s="625">
        <v>1562</v>
      </c>
      <c r="N30" s="625">
        <v>7029</v>
      </c>
      <c r="O30" s="625">
        <v>10041.428571428572</v>
      </c>
      <c r="P30" s="625">
        <v>20082.857142857145</v>
      </c>
      <c r="Q30" s="625">
        <v>0</v>
      </c>
      <c r="R30" s="625">
        <v>0</v>
      </c>
      <c r="S30" s="625">
        <v>0</v>
      </c>
      <c r="T30" s="625">
        <v>0</v>
      </c>
      <c r="U30" s="625">
        <v>0</v>
      </c>
      <c r="V30" s="625">
        <v>0</v>
      </c>
      <c r="W30" s="625">
        <v>0</v>
      </c>
      <c r="X30" s="625"/>
      <c r="Y30" s="625">
        <v>10</v>
      </c>
      <c r="Z30" s="625" t="s">
        <v>105</v>
      </c>
      <c r="AA30" s="627" t="s">
        <v>105</v>
      </c>
    </row>
    <row r="31" spans="1:27" s="579" customFormat="1" ht="25.5" hidden="1">
      <c r="A31" s="578"/>
      <c r="B31" s="736">
        <v>46003</v>
      </c>
      <c r="C31" s="736">
        <v>9210</v>
      </c>
      <c r="D31" s="626"/>
      <c r="E31" s="625"/>
      <c r="F31" s="625"/>
      <c r="G31" s="625" t="s">
        <v>962</v>
      </c>
      <c r="H31" s="625" t="s">
        <v>963</v>
      </c>
      <c r="I31" s="625"/>
      <c r="J31" s="735"/>
      <c r="K31" s="735"/>
      <c r="L31" s="625" t="s">
        <v>964</v>
      </c>
      <c r="M31" s="625">
        <v>1994</v>
      </c>
      <c r="N31" s="625">
        <v>8973</v>
      </c>
      <c r="O31" s="625">
        <v>12818.571428571429</v>
      </c>
      <c r="P31" s="625">
        <v>25637.142857142859</v>
      </c>
      <c r="Q31" s="625">
        <v>0</v>
      </c>
      <c r="R31" s="625">
        <v>0</v>
      </c>
      <c r="S31" s="625">
        <v>0</v>
      </c>
      <c r="T31" s="625">
        <v>0</v>
      </c>
      <c r="U31" s="625">
        <v>0</v>
      </c>
      <c r="V31" s="625">
        <v>0</v>
      </c>
      <c r="W31" s="625">
        <v>0</v>
      </c>
      <c r="X31" s="625"/>
      <c r="Y31" s="625">
        <v>10</v>
      </c>
      <c r="Z31" s="625" t="s">
        <v>105</v>
      </c>
      <c r="AA31" s="627" t="s">
        <v>105</v>
      </c>
    </row>
    <row r="32" spans="1:27" s="579" customFormat="1" ht="25.5" hidden="1">
      <c r="A32" s="578"/>
      <c r="B32" s="736">
        <v>46003</v>
      </c>
      <c r="C32" s="736">
        <v>9120</v>
      </c>
      <c r="D32" s="626"/>
      <c r="E32" s="625"/>
      <c r="F32" s="625"/>
      <c r="G32" s="625" t="s">
        <v>962</v>
      </c>
      <c r="H32" s="625" t="s">
        <v>963</v>
      </c>
      <c r="I32" s="625"/>
      <c r="J32" s="735"/>
      <c r="K32" s="735"/>
      <c r="L32" s="625" t="s">
        <v>964</v>
      </c>
      <c r="M32" s="625">
        <v>2233</v>
      </c>
      <c r="N32" s="625">
        <v>10048.5</v>
      </c>
      <c r="O32" s="625">
        <v>14355</v>
      </c>
      <c r="P32" s="625">
        <v>0</v>
      </c>
      <c r="Q32" s="625">
        <v>28710.000000000004</v>
      </c>
      <c r="R32" s="625">
        <v>0</v>
      </c>
      <c r="S32" s="625">
        <v>0</v>
      </c>
      <c r="T32" s="625">
        <v>0</v>
      </c>
      <c r="U32" s="625">
        <v>0</v>
      </c>
      <c r="V32" s="625">
        <v>0</v>
      </c>
      <c r="W32" s="625">
        <v>0</v>
      </c>
      <c r="X32" s="625"/>
      <c r="Y32" s="625">
        <v>10</v>
      </c>
      <c r="Z32" s="625" t="s">
        <v>105</v>
      </c>
      <c r="AA32" s="627" t="s">
        <v>105</v>
      </c>
    </row>
    <row r="33" spans="1:28" s="579" customFormat="1" ht="25.5" hidden="1">
      <c r="A33" s="578"/>
      <c r="B33" s="736">
        <v>46003</v>
      </c>
      <c r="C33" s="736">
        <v>9120</v>
      </c>
      <c r="D33" s="626"/>
      <c r="E33" s="625"/>
      <c r="F33" s="625"/>
      <c r="G33" s="625" t="s">
        <v>962</v>
      </c>
      <c r="H33" s="625" t="s">
        <v>963</v>
      </c>
      <c r="I33" s="625"/>
      <c r="J33" s="735"/>
      <c r="K33" s="735"/>
      <c r="L33" s="625" t="s">
        <v>964</v>
      </c>
      <c r="M33" s="625">
        <v>2731</v>
      </c>
      <c r="N33" s="625">
        <v>12289.5</v>
      </c>
      <c r="O33" s="625">
        <v>17556.428571428572</v>
      </c>
      <c r="P33" s="625">
        <v>35112.857142857145</v>
      </c>
      <c r="Q33" s="625">
        <v>0</v>
      </c>
      <c r="R33" s="625">
        <v>0</v>
      </c>
      <c r="S33" s="625">
        <v>0</v>
      </c>
      <c r="T33" s="625">
        <v>0</v>
      </c>
      <c r="U33" s="625">
        <v>0</v>
      </c>
      <c r="V33" s="625">
        <v>0</v>
      </c>
      <c r="W33" s="625">
        <v>0</v>
      </c>
      <c r="X33" s="625"/>
      <c r="Y33" s="625">
        <v>10</v>
      </c>
      <c r="Z33" s="625" t="s">
        <v>105</v>
      </c>
      <c r="AA33" s="627" t="s">
        <v>105</v>
      </c>
    </row>
    <row r="34" spans="1:28" s="579" customFormat="1" ht="25.5" hidden="1">
      <c r="A34" s="578"/>
      <c r="B34" s="736">
        <v>46003</v>
      </c>
      <c r="C34" s="736">
        <v>9120</v>
      </c>
      <c r="D34" s="626"/>
      <c r="E34" s="625"/>
      <c r="F34" s="625"/>
      <c r="G34" s="625" t="s">
        <v>962</v>
      </c>
      <c r="H34" s="625" t="s">
        <v>963</v>
      </c>
      <c r="I34" s="625"/>
      <c r="J34" s="735"/>
      <c r="K34" s="735"/>
      <c r="L34" s="625" t="s">
        <v>964</v>
      </c>
      <c r="M34" s="625">
        <v>3898</v>
      </c>
      <c r="N34" s="625">
        <v>17541</v>
      </c>
      <c r="O34" s="625">
        <v>25058.571428571428</v>
      </c>
      <c r="P34" s="625">
        <v>50117.142857142862</v>
      </c>
      <c r="Q34" s="625">
        <v>0</v>
      </c>
      <c r="R34" s="625">
        <v>0</v>
      </c>
      <c r="S34" s="625">
        <v>0</v>
      </c>
      <c r="T34" s="625">
        <v>0</v>
      </c>
      <c r="U34" s="625">
        <v>0</v>
      </c>
      <c r="V34" s="625">
        <v>0</v>
      </c>
      <c r="W34" s="625">
        <v>0</v>
      </c>
      <c r="X34" s="625"/>
      <c r="Y34" s="625">
        <v>10</v>
      </c>
      <c r="Z34" s="625" t="s">
        <v>105</v>
      </c>
      <c r="AA34" s="627" t="s">
        <v>105</v>
      </c>
    </row>
    <row r="35" spans="1:28" s="561" customFormat="1" hidden="1">
      <c r="A35" s="581" t="s">
        <v>269</v>
      </c>
      <c r="B35" s="582"/>
      <c r="C35" s="582"/>
      <c r="D35" s="582"/>
      <c r="E35" s="582"/>
      <c r="F35" s="582"/>
      <c r="G35" s="582"/>
      <c r="H35" s="582"/>
      <c r="I35" s="582"/>
      <c r="J35" s="582"/>
      <c r="K35" s="582"/>
      <c r="L35" s="583"/>
      <c r="M35" s="583">
        <f>SUM(M28:M34)</f>
        <v>13987</v>
      </c>
      <c r="N35" s="583">
        <f>SUM(N28:N34)</f>
        <v>62202.75</v>
      </c>
      <c r="O35" s="583">
        <f>SUM(O28:O34)</f>
        <v>88861.071428571435</v>
      </c>
      <c r="P35" s="583">
        <f>SUM(P28:P34)</f>
        <v>149012.14285714287</v>
      </c>
      <c r="Q35" s="583">
        <f>SUM(Q28:Q34)</f>
        <v>28710.000000000004</v>
      </c>
      <c r="R35" s="583">
        <f>SUM(R28:R34)</f>
        <v>0</v>
      </c>
      <c r="S35" s="583">
        <f>SUM(S28:S34)</f>
        <v>0</v>
      </c>
      <c r="T35" s="583">
        <f>SUM(T28:T34)</f>
        <v>0</v>
      </c>
      <c r="U35" s="583">
        <f>SUM(U28:U34)</f>
        <v>0</v>
      </c>
      <c r="V35" s="583">
        <f>SUM(V28:V34)</f>
        <v>0</v>
      </c>
      <c r="W35" s="583">
        <f>SUM(W28:W34)</f>
        <v>0</v>
      </c>
      <c r="X35" s="583"/>
      <c r="Y35" s="584"/>
      <c r="Z35" s="584"/>
      <c r="AA35" s="585"/>
    </row>
    <row r="36" spans="1:28" s="561" customFormat="1">
      <c r="A36" s="581" t="s">
        <v>276</v>
      </c>
      <c r="B36" s="582"/>
      <c r="C36" s="582"/>
      <c r="D36" s="582"/>
      <c r="E36" s="582"/>
      <c r="F36" s="582"/>
      <c r="G36" s="582"/>
      <c r="H36" s="582"/>
      <c r="I36" s="582"/>
      <c r="J36" s="582"/>
      <c r="K36" s="582"/>
      <c r="L36" s="583"/>
      <c r="M36" s="583">
        <f>SUMIF($AA$28:$AA$34,"industrie",M28:M34)</f>
        <v>0</v>
      </c>
      <c r="N36" s="583">
        <f>SUMIF($AA$28:$AA$34,"industrie",N28:N34)</f>
        <v>0</v>
      </c>
      <c r="O36" s="583">
        <f>SUMIF($AA$28:$AA$34,"industrie",O28:O34)</f>
        <v>0</v>
      </c>
      <c r="P36" s="583">
        <f>SUMIF($AA$28:$AA$34,"industrie",P28:P34)</f>
        <v>0</v>
      </c>
      <c r="Q36" s="583">
        <f>SUMIF($AA$28:$AA$34,"industrie",Q28:Q34)</f>
        <v>0</v>
      </c>
      <c r="R36" s="583">
        <f>SUMIF($AA$28:$AA$34,"industrie",R28:R34)</f>
        <v>0</v>
      </c>
      <c r="S36" s="583">
        <f>SUMIF($AA$28:$AA$34,"industrie",S28:S34)</f>
        <v>0</v>
      </c>
      <c r="T36" s="583">
        <f>SUMIF($AA$28:$AA$34,"industrie",T28:T34)</f>
        <v>0</v>
      </c>
      <c r="U36" s="583">
        <f>SUMIF($AA$28:$AA$34,"industrie",U28:U34)</f>
        <v>0</v>
      </c>
      <c r="V36" s="583">
        <f>SUMIF($AA$28:$AA$34,"industrie",V28:V34)</f>
        <v>0</v>
      </c>
      <c r="W36" s="583">
        <f>SUMIF($AA$28:$AA$34,"industrie",W28:W34)</f>
        <v>0</v>
      </c>
      <c r="X36" s="583"/>
      <c r="Y36" s="584"/>
      <c r="Z36" s="584"/>
      <c r="AA36" s="585"/>
    </row>
    <row r="37" spans="1:28" s="561" customFormat="1">
      <c r="A37" s="581" t="s">
        <v>277</v>
      </c>
      <c r="B37" s="582"/>
      <c r="C37" s="582"/>
      <c r="D37" s="582"/>
      <c r="E37" s="582"/>
      <c r="F37" s="582"/>
      <c r="G37" s="582"/>
      <c r="H37" s="582"/>
      <c r="I37" s="582"/>
      <c r="J37" s="582"/>
      <c r="K37" s="582"/>
      <c r="L37" s="583"/>
      <c r="M37" s="583">
        <f ca="1">SUMIF($AA$28:AD34,"tertiair",M28:M34)</f>
        <v>197</v>
      </c>
      <c r="N37" s="583">
        <f ca="1">SUMIF($AA$28:AE34,"tertiair",N28:N34)</f>
        <v>147.75</v>
      </c>
      <c r="O37" s="583">
        <f ca="1">SUMIF($AA$28:AF34,"tertiair",O28:O34)</f>
        <v>211.07142857142858</v>
      </c>
      <c r="P37" s="583">
        <f ca="1">SUMIF($AA$28:AG34,"tertiair",P28:P34)</f>
        <v>422.14285714285717</v>
      </c>
      <c r="Q37" s="583">
        <f ca="1">SUMIF($AA$28:AH34,"tertiair",Q28:Q34)</f>
        <v>0</v>
      </c>
      <c r="R37" s="583">
        <f ca="1">SUMIF($AA$28:AI34,"tertiair",R28:R34)</f>
        <v>0</v>
      </c>
      <c r="S37" s="583">
        <f ca="1">SUMIF($AA$28:AJ34,"tertiair",S28:S34)</f>
        <v>0</v>
      </c>
      <c r="T37" s="583">
        <f ca="1">SUMIF($AA$28:AK34,"tertiair",T28:T34)</f>
        <v>0</v>
      </c>
      <c r="U37" s="583">
        <f ca="1">SUMIF($AA$28:AL34,"tertiair",U28:U34)</f>
        <v>0</v>
      </c>
      <c r="V37" s="583">
        <f ca="1">SUMIF($AA$28:AM34,"tertiair",V28:V34)</f>
        <v>0</v>
      </c>
      <c r="W37" s="583">
        <f ca="1">SUMIF($AA$28:AN34,"tertiair",W28:W34)</f>
        <v>0</v>
      </c>
      <c r="X37" s="583"/>
      <c r="Y37" s="584"/>
      <c r="Z37" s="584"/>
      <c r="AA37" s="585"/>
    </row>
    <row r="38" spans="1:28" s="561" customFormat="1" ht="15.75" thickBot="1">
      <c r="A38" s="586" t="s">
        <v>278</v>
      </c>
      <c r="B38" s="587"/>
      <c r="C38" s="587"/>
      <c r="D38" s="587"/>
      <c r="E38" s="587"/>
      <c r="F38" s="587"/>
      <c r="G38" s="587"/>
      <c r="H38" s="587"/>
      <c r="I38" s="587"/>
      <c r="J38" s="587"/>
      <c r="K38" s="587"/>
      <c r="L38" s="588"/>
      <c r="M38" s="588">
        <f>SUMIF($AA$28:$AA$34,"landbouw",M28:M34)</f>
        <v>13790</v>
      </c>
      <c r="N38" s="588">
        <f>SUMIF($AA$28:$AA$34,"landbouw",N28:N34)</f>
        <v>62055</v>
      </c>
      <c r="O38" s="588">
        <f>SUMIF($AA$28:$AA$34,"landbouw",O28:O34)</f>
        <v>88650</v>
      </c>
      <c r="P38" s="588">
        <f>SUMIF($AA$28:$AA$34,"landbouw",P28:P34)</f>
        <v>148590</v>
      </c>
      <c r="Q38" s="588">
        <f>SUMIF($AA$28:$AA$34,"landbouw",Q28:Q34)</f>
        <v>28710.000000000004</v>
      </c>
      <c r="R38" s="588">
        <f>SUMIF($AA$28:$AA$34,"landbouw",R28:R34)</f>
        <v>0</v>
      </c>
      <c r="S38" s="588">
        <f>SUMIF($AA$28:$AA$34,"landbouw",S28:S34)</f>
        <v>0</v>
      </c>
      <c r="T38" s="588">
        <f>SUMIF($AA$28:$AA$34,"landbouw",T28:T34)</f>
        <v>0</v>
      </c>
      <c r="U38" s="588">
        <f>SUMIF($AA$28:$AA$34,"landbouw",U28:U34)</f>
        <v>0</v>
      </c>
      <c r="V38" s="588">
        <f>SUMIF($AA$28:$AA$34,"landbouw",V28:V34)</f>
        <v>0</v>
      </c>
      <c r="W38" s="588">
        <f>SUMIF($AA$28:$AA$34,"landbouw",W28:W34)</f>
        <v>0</v>
      </c>
      <c r="X38" s="588"/>
      <c r="Y38" s="589"/>
      <c r="Z38" s="589"/>
      <c r="AA38" s="590"/>
    </row>
    <row r="39" spans="1:28" s="530" customFormat="1" ht="15.75" thickBot="1">
      <c r="A39" s="591"/>
      <c r="B39" s="592"/>
      <c r="C39" s="592"/>
      <c r="D39" s="592"/>
      <c r="E39" s="592"/>
      <c r="F39" s="592"/>
      <c r="G39" s="592"/>
      <c r="H39" s="592"/>
      <c r="I39" s="592"/>
      <c r="J39" s="592"/>
      <c r="K39" s="592"/>
      <c r="L39" s="575"/>
      <c r="M39" s="575"/>
      <c r="N39" s="575"/>
      <c r="O39" s="576"/>
      <c r="P39" s="576"/>
    </row>
    <row r="40" spans="1:28" s="530" customFormat="1" ht="45">
      <c r="A40" s="593" t="s">
        <v>270</v>
      </c>
      <c r="B40" s="622" t="s">
        <v>89</v>
      </c>
      <c r="C40" s="622" t="s">
        <v>90</v>
      </c>
      <c r="D40" s="622"/>
      <c r="E40" s="622"/>
      <c r="F40" s="622"/>
      <c r="G40" s="622" t="s">
        <v>91</v>
      </c>
      <c r="H40" s="622" t="s">
        <v>92</v>
      </c>
      <c r="I40" s="622"/>
      <c r="J40" s="622"/>
      <c r="K40" s="622"/>
      <c r="L40" s="622" t="s">
        <v>93</v>
      </c>
      <c r="M40" s="623" t="s">
        <v>287</v>
      </c>
      <c r="N40" s="623" t="s">
        <v>94</v>
      </c>
      <c r="O40" s="623" t="s">
        <v>95</v>
      </c>
      <c r="P40" s="623" t="s">
        <v>528</v>
      </c>
      <c r="Q40" s="623" t="s">
        <v>96</v>
      </c>
      <c r="R40" s="623" t="s">
        <v>97</v>
      </c>
      <c r="S40" s="623" t="s">
        <v>98</v>
      </c>
      <c r="T40" s="623" t="s">
        <v>99</v>
      </c>
      <c r="U40" s="623" t="s">
        <v>100</v>
      </c>
      <c r="V40" s="623" t="s">
        <v>101</v>
      </c>
      <c r="W40" s="622" t="s">
        <v>102</v>
      </c>
      <c r="X40" s="622" t="s">
        <v>961</v>
      </c>
      <c r="Y40" s="622" t="s">
        <v>288</v>
      </c>
      <c r="Z40" s="622" t="s">
        <v>103</v>
      </c>
      <c r="AA40" s="624" t="s">
        <v>289</v>
      </c>
    </row>
    <row r="41" spans="1:28" s="594" customFormat="1" ht="25.5" hidden="1">
      <c r="A41" s="580"/>
      <c r="B41" s="736">
        <v>46003</v>
      </c>
      <c r="C41" s="736">
        <v>9130</v>
      </c>
      <c r="D41" s="628"/>
      <c r="E41" s="628"/>
      <c r="F41" s="628"/>
      <c r="G41" s="628" t="s">
        <v>965</v>
      </c>
      <c r="H41" s="628" t="s">
        <v>966</v>
      </c>
      <c r="I41" s="628"/>
      <c r="J41" s="735"/>
      <c r="K41" s="735"/>
      <c r="L41" s="628" t="s">
        <v>967</v>
      </c>
      <c r="M41" s="628">
        <v>660</v>
      </c>
      <c r="N41" s="628">
        <v>2970</v>
      </c>
      <c r="O41" s="628">
        <v>0</v>
      </c>
      <c r="P41" s="628">
        <v>0</v>
      </c>
      <c r="Q41" s="628">
        <v>8485.7142857142862</v>
      </c>
      <c r="R41" s="628">
        <v>0</v>
      </c>
      <c r="S41" s="628">
        <v>0</v>
      </c>
      <c r="T41" s="628">
        <v>0</v>
      </c>
      <c r="U41" s="628">
        <v>0</v>
      </c>
      <c r="V41" s="628">
        <v>0</v>
      </c>
      <c r="W41" s="628">
        <v>0</v>
      </c>
      <c r="X41" s="628"/>
      <c r="Y41" s="628">
        <v>500</v>
      </c>
      <c r="Z41" s="628" t="s">
        <v>40</v>
      </c>
      <c r="AA41" s="629" t="s">
        <v>378</v>
      </c>
    </row>
    <row r="42" spans="1:28" s="561" customFormat="1" hidden="1">
      <c r="A42" s="581" t="s">
        <v>269</v>
      </c>
      <c r="B42" s="582"/>
      <c r="C42" s="582"/>
      <c r="D42" s="582"/>
      <c r="E42" s="582"/>
      <c r="F42" s="582"/>
      <c r="G42" s="582"/>
      <c r="H42" s="582"/>
      <c r="I42" s="582"/>
      <c r="J42" s="582"/>
      <c r="K42" s="582"/>
      <c r="L42" s="583"/>
      <c r="M42" s="583">
        <f>SUM(M41:M41)</f>
        <v>660</v>
      </c>
      <c r="N42" s="583">
        <f>SUM(N41:N41)</f>
        <v>2970</v>
      </c>
      <c r="O42" s="583">
        <f>SUM(O41:O41)</f>
        <v>0</v>
      </c>
      <c r="P42" s="583">
        <f>SUM(P41:P41)</f>
        <v>0</v>
      </c>
      <c r="Q42" s="583">
        <f>SUM(Q41:Q41)</f>
        <v>8485.7142857142862</v>
      </c>
      <c r="R42" s="583">
        <f>SUM(R41:R41)</f>
        <v>0</v>
      </c>
      <c r="S42" s="583">
        <f>SUM(S41:S41)</f>
        <v>0</v>
      </c>
      <c r="T42" s="583">
        <f>SUM(T41:T41)</f>
        <v>0</v>
      </c>
      <c r="U42" s="583">
        <f>SUM(U41:U41)</f>
        <v>0</v>
      </c>
      <c r="V42" s="583">
        <f>SUM(V41:V41)</f>
        <v>0</v>
      </c>
      <c r="W42" s="583">
        <f>SUM(W41:W41)</f>
        <v>0</v>
      </c>
      <c r="X42" s="583"/>
      <c r="Y42" s="584"/>
      <c r="Z42" s="584"/>
      <c r="AA42" s="585"/>
    </row>
    <row r="43" spans="1:28" s="561" customFormat="1">
      <c r="A43" s="581" t="s">
        <v>276</v>
      </c>
      <c r="B43" s="582"/>
      <c r="C43" s="582"/>
      <c r="D43" s="582"/>
      <c r="E43" s="582"/>
      <c r="F43" s="582"/>
      <c r="G43" s="582"/>
      <c r="H43" s="582"/>
      <c r="I43" s="582"/>
      <c r="J43" s="582"/>
      <c r="K43" s="582"/>
      <c r="L43" s="583"/>
      <c r="M43" s="583">
        <f>SUMIF($AA$41:$AA$41,"industrie",M41:M41)</f>
        <v>660</v>
      </c>
      <c r="N43" s="583">
        <f>SUMIF($AA$41:$AA$41,"industrie",N41:N41)</f>
        <v>2970</v>
      </c>
      <c r="O43" s="583">
        <f>SUMIF($AA$41:$AA$41,"industrie",O41:O41)</f>
        <v>0</v>
      </c>
      <c r="P43" s="583">
        <f>SUMIF($AA$41:$AA$41,"industrie",P41:P41)</f>
        <v>0</v>
      </c>
      <c r="Q43" s="583">
        <f>SUMIF($AA$41:$AA$41,"industrie",Q41:Q41)</f>
        <v>8485.7142857142862</v>
      </c>
      <c r="R43" s="583">
        <f>SUMIF($AA$41:$AA$41,"industrie",R41:R41)</f>
        <v>0</v>
      </c>
      <c r="S43" s="583">
        <f>SUMIF($AA$41:$AA$41,"industrie",S41:S41)</f>
        <v>0</v>
      </c>
      <c r="T43" s="583">
        <f>SUMIF($AA$41:$AA$41,"industrie",T41:T41)</f>
        <v>0</v>
      </c>
      <c r="U43" s="583">
        <f>SUMIF($AA$41:$AA$41,"industrie",U41:U41)</f>
        <v>0</v>
      </c>
      <c r="V43" s="583">
        <f>SUMIF($AA$41:$AA$41,"industrie",V41:V41)</f>
        <v>0</v>
      </c>
      <c r="W43" s="583">
        <f>SUMIF($AA$41:$AA$41,"industrie",W41:W41)</f>
        <v>0</v>
      </c>
      <c r="X43" s="583"/>
      <c r="Y43" s="584"/>
      <c r="Z43" s="584"/>
      <c r="AA43" s="585"/>
    </row>
    <row r="44" spans="1:28" s="561" customFormat="1">
      <c r="A44" s="581" t="s">
        <v>277</v>
      </c>
      <c r="B44" s="582"/>
      <c r="C44" s="582"/>
      <c r="D44" s="582"/>
      <c r="E44" s="582"/>
      <c r="F44" s="582"/>
      <c r="G44" s="582"/>
      <c r="H44" s="582"/>
      <c r="I44" s="582"/>
      <c r="J44" s="582"/>
      <c r="K44" s="582"/>
      <c r="L44" s="583"/>
      <c r="M44" s="583">
        <f>SUMIF($AA$41:$AA$42,"tertiair",M41:M42)</f>
        <v>0</v>
      </c>
      <c r="N44" s="583">
        <f>SUMIF($AA$41:$AA$42,"tertiair",N41:N42)</f>
        <v>0</v>
      </c>
      <c r="O44" s="583">
        <f>SUMIF($AA$41:$AA$42,"tertiair",O41:O42)</f>
        <v>0</v>
      </c>
      <c r="P44" s="583">
        <f>SUMIF($AA$41:$AA$42,"tertiair",P41:P42)</f>
        <v>0</v>
      </c>
      <c r="Q44" s="583">
        <f>SUMIF($AA$41:$AA$42,"tertiair",Q41:Q42)</f>
        <v>0</v>
      </c>
      <c r="R44" s="583">
        <f>SUMIF($AA$41:$AA$42,"tertiair",R41:R42)</f>
        <v>0</v>
      </c>
      <c r="S44" s="583">
        <f>SUMIF($AA$41:$AA$42,"tertiair",S41:S42)</f>
        <v>0</v>
      </c>
      <c r="T44" s="583">
        <f>SUMIF($AA$41:$AA$42,"tertiair",T41:T42)</f>
        <v>0</v>
      </c>
      <c r="U44" s="583">
        <f>SUMIF($AA$41:$AA$42,"tertiair",U41:U42)</f>
        <v>0</v>
      </c>
      <c r="V44" s="583">
        <f>SUMIF($AA$41:$AA$42,"tertiair",V41:V42)</f>
        <v>0</v>
      </c>
      <c r="W44" s="583">
        <f>SUMIF($AA$41:$AA$42,"tertiair",W41:W42)</f>
        <v>0</v>
      </c>
      <c r="X44" s="583"/>
      <c r="Y44" s="584"/>
      <c r="Z44" s="584"/>
      <c r="AA44" s="585"/>
    </row>
    <row r="45" spans="1:28" s="561" customFormat="1" ht="15.75" thickBot="1">
      <c r="A45" s="586" t="s">
        <v>278</v>
      </c>
      <c r="B45" s="587"/>
      <c r="C45" s="587"/>
      <c r="D45" s="587"/>
      <c r="E45" s="587"/>
      <c r="F45" s="587"/>
      <c r="G45" s="587"/>
      <c r="H45" s="587"/>
      <c r="I45" s="587"/>
      <c r="J45" s="587"/>
      <c r="K45" s="587"/>
      <c r="L45" s="588"/>
      <c r="M45" s="588">
        <f>SUMIF($AA$41:$AA$43,"landbouw",M41:M43)</f>
        <v>0</v>
      </c>
      <c r="N45" s="588">
        <f>SUMIF($AA$41:$AA$43,"landbouw",N41:N43)</f>
        <v>0</v>
      </c>
      <c r="O45" s="588">
        <f>SUMIF($AA$41:$AA$43,"landbouw",O41:O43)</f>
        <v>0</v>
      </c>
      <c r="P45" s="588">
        <f>SUMIF($AA$41:$AA$43,"landbouw",P41:P43)</f>
        <v>0</v>
      </c>
      <c r="Q45" s="588">
        <f>SUMIF($AA$41:$AA$43,"landbouw",Q41:Q43)</f>
        <v>0</v>
      </c>
      <c r="R45" s="588">
        <f>SUMIF($AA$41:$AA$43,"landbouw",R41:R43)</f>
        <v>0</v>
      </c>
      <c r="S45" s="588">
        <f>SUMIF($AA$41:$AA$43,"landbouw",S41:S43)</f>
        <v>0</v>
      </c>
      <c r="T45" s="588">
        <f>SUMIF($AA$41:$AA$43,"landbouw",T41:T43)</f>
        <v>0</v>
      </c>
      <c r="U45" s="588">
        <f>SUMIF($AA$41:$AA$43,"landbouw",U41:U43)</f>
        <v>0</v>
      </c>
      <c r="V45" s="588">
        <f>SUMIF($AA$41:$AA$43,"landbouw",V41:V43)</f>
        <v>0</v>
      </c>
      <c r="W45" s="588">
        <f>SUMIF($AA$41:$AA$43,"landbouw",W41:W43)</f>
        <v>0</v>
      </c>
      <c r="X45" s="588"/>
      <c r="Y45" s="589"/>
      <c r="Z45" s="589"/>
      <c r="AA45" s="590"/>
    </row>
    <row r="46" spans="1:28" s="595" customFormat="1">
      <c r="A46" s="591"/>
      <c r="B46" s="575"/>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row>
    <row r="47" spans="1:28" s="595" customFormat="1" ht="15.75" thickBot="1">
      <c r="A47" s="591"/>
      <c r="B47" s="575"/>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row>
    <row r="48" spans="1:28">
      <c r="A48" s="596" t="s">
        <v>271</v>
      </c>
      <c r="B48" s="597"/>
      <c r="C48" s="597"/>
      <c r="D48" s="597"/>
      <c r="E48" s="597"/>
      <c r="F48" s="597"/>
      <c r="G48" s="597"/>
      <c r="H48" s="597"/>
      <c r="I48" s="598"/>
      <c r="J48" s="599"/>
      <c r="K48" s="599"/>
      <c r="L48" s="600"/>
      <c r="M48" s="600"/>
      <c r="N48" s="600"/>
      <c r="O48" s="600"/>
      <c r="P48" s="600"/>
    </row>
    <row r="49" spans="1:16">
      <c r="A49" s="602"/>
      <c r="B49" s="592"/>
      <c r="C49" s="592"/>
      <c r="D49" s="592"/>
      <c r="E49" s="592"/>
      <c r="F49" s="592"/>
      <c r="G49" s="592"/>
      <c r="H49" s="592"/>
      <c r="I49" s="603"/>
      <c r="J49" s="592"/>
      <c r="K49" s="592"/>
      <c r="L49" s="600"/>
      <c r="M49" s="600"/>
      <c r="N49" s="600"/>
      <c r="O49" s="600"/>
      <c r="P49" s="600"/>
    </row>
    <row r="50" spans="1:16">
      <c r="A50" s="604"/>
      <c r="B50" s="605" t="s">
        <v>272</v>
      </c>
      <c r="C50" s="605" t="s">
        <v>273</v>
      </c>
      <c r="D50" s="605"/>
      <c r="E50" s="605"/>
      <c r="F50" s="605"/>
      <c r="G50" s="605"/>
      <c r="H50" s="605"/>
      <c r="I50" s="606"/>
      <c r="J50" s="605"/>
      <c r="K50" s="605"/>
      <c r="L50" s="605"/>
      <c r="M50" s="605"/>
      <c r="N50" s="605"/>
      <c r="O50" s="605"/>
      <c r="P50" s="600"/>
    </row>
    <row r="51" spans="1:16">
      <c r="A51" s="602" t="s">
        <v>269</v>
      </c>
      <c r="B51" s="607">
        <f>IF(ISERROR(O35/(O35+N35)),0,O35/(O35+N35))</f>
        <v>0.58823529411764708</v>
      </c>
      <c r="C51" s="608">
        <f>IF(ISERROR(N35/(O35+N35)),0,N35/(N35+O35))</f>
        <v>0.41176470588235298</v>
      </c>
      <c r="D51" s="575"/>
      <c r="E51" s="575"/>
      <c r="F51" s="575"/>
      <c r="G51" s="575"/>
      <c r="H51" s="575"/>
      <c r="I51" s="609"/>
      <c r="J51" s="575"/>
      <c r="K51" s="575"/>
      <c r="L51" s="610"/>
      <c r="M51" s="610"/>
      <c r="N51" s="610"/>
      <c r="O51" s="610"/>
      <c r="P51" s="600"/>
    </row>
    <row r="52" spans="1:16">
      <c r="A52" s="602"/>
      <c r="B52" s="611"/>
      <c r="C52" s="611"/>
      <c r="D52" s="611"/>
      <c r="E52" s="611"/>
      <c r="F52" s="611"/>
      <c r="G52" s="611"/>
      <c r="H52" s="611"/>
      <c r="I52" s="612"/>
      <c r="J52" s="611"/>
      <c r="K52" s="611"/>
      <c r="L52" s="613"/>
      <c r="M52" s="613"/>
      <c r="N52" s="613"/>
      <c r="O52" s="613"/>
      <c r="P52" s="600"/>
    </row>
    <row r="53" spans="1:16" ht="30">
      <c r="A53" s="614"/>
      <c r="B53" s="615" t="s">
        <v>528</v>
      </c>
      <c r="C53" s="615" t="s">
        <v>96</v>
      </c>
      <c r="D53" s="615" t="s">
        <v>97</v>
      </c>
      <c r="E53" s="615" t="s">
        <v>98</v>
      </c>
      <c r="F53" s="615" t="s">
        <v>99</v>
      </c>
      <c r="G53" s="615" t="s">
        <v>100</v>
      </c>
      <c r="H53" s="615" t="s">
        <v>101</v>
      </c>
      <c r="I53" s="616" t="s">
        <v>102</v>
      </c>
      <c r="J53" s="605"/>
      <c r="K53" s="605"/>
      <c r="L53" s="613"/>
      <c r="M53" s="613"/>
      <c r="N53" s="613"/>
      <c r="O53" s="600"/>
      <c r="P53" s="600"/>
    </row>
    <row r="54" spans="1:16">
      <c r="A54" s="604" t="s">
        <v>274</v>
      </c>
      <c r="B54" s="617">
        <f t="shared" ref="B54:I54" si="2">$C$51*P35</f>
        <v>61357.941176470602</v>
      </c>
      <c r="C54" s="617">
        <f t="shared" si="2"/>
        <v>11821.764705882355</v>
      </c>
      <c r="D54" s="617">
        <f t="shared" si="2"/>
        <v>0</v>
      </c>
      <c r="E54" s="617">
        <f t="shared" si="2"/>
        <v>0</v>
      </c>
      <c r="F54" s="617">
        <f t="shared" si="2"/>
        <v>0</v>
      </c>
      <c r="G54" s="617">
        <f t="shared" si="2"/>
        <v>0</v>
      </c>
      <c r="H54" s="617">
        <f t="shared" si="2"/>
        <v>0</v>
      </c>
      <c r="I54" s="618">
        <f t="shared" si="2"/>
        <v>0</v>
      </c>
      <c r="J54" s="575"/>
      <c r="K54" s="575"/>
      <c r="L54" s="613"/>
      <c r="M54" s="613"/>
      <c r="N54" s="613"/>
      <c r="O54" s="600"/>
      <c r="P54" s="600"/>
    </row>
    <row r="55" spans="1:16" ht="15.75" thickBot="1">
      <c r="A55" s="619" t="s">
        <v>275</v>
      </c>
      <c r="B55" s="620">
        <f t="shared" ref="B55:I55" si="3">$B$51*P35</f>
        <v>87654.201680672282</v>
      </c>
      <c r="C55" s="620">
        <f t="shared" si="3"/>
        <v>16888.23529411765</v>
      </c>
      <c r="D55" s="620">
        <f t="shared" si="3"/>
        <v>0</v>
      </c>
      <c r="E55" s="620">
        <f t="shared" si="3"/>
        <v>0</v>
      </c>
      <c r="F55" s="620">
        <f t="shared" si="3"/>
        <v>0</v>
      </c>
      <c r="G55" s="620">
        <f t="shared" si="3"/>
        <v>0</v>
      </c>
      <c r="H55" s="620">
        <f t="shared" si="3"/>
        <v>0</v>
      </c>
      <c r="I55" s="621">
        <f t="shared" si="3"/>
        <v>0</v>
      </c>
      <c r="J55" s="575"/>
      <c r="K55" s="575"/>
      <c r="L55" s="613"/>
      <c r="M55" s="613"/>
      <c r="N55" s="613"/>
      <c r="O55" s="600"/>
      <c r="P55" s="600"/>
    </row>
    <row r="56" spans="1:16">
      <c r="J56" s="559"/>
      <c r="K56" s="559"/>
      <c r="L56" s="559"/>
      <c r="M56" s="559"/>
      <c r="N56" s="559"/>
    </row>
    <row r="57" spans="1:16">
      <c r="J57" s="559"/>
      <c r="K57" s="559"/>
      <c r="L57" s="559"/>
      <c r="M57" s="559"/>
      <c r="N57"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135737.99411497189</v>
      </c>
      <c r="D10" s="635">
        <f ca="1">tertiair!C16</f>
        <v>211.07142857142858</v>
      </c>
      <c r="E10" s="635">
        <f ca="1">tertiair!D16</f>
        <v>62379.995957328443</v>
      </c>
      <c r="F10" s="635">
        <f>tertiair!E16</f>
        <v>3589.3635412951617</v>
      </c>
      <c r="G10" s="635">
        <f ca="1">tertiair!F16</f>
        <v>22583.252335887628</v>
      </c>
      <c r="H10" s="635">
        <f>tertiair!G16</f>
        <v>0</v>
      </c>
      <c r="I10" s="635">
        <f>tertiair!H16</f>
        <v>0</v>
      </c>
      <c r="J10" s="635">
        <f>tertiair!I16</f>
        <v>0</v>
      </c>
      <c r="K10" s="635">
        <f>tertiair!J16</f>
        <v>0</v>
      </c>
      <c r="L10" s="635">
        <f>tertiair!K16</f>
        <v>0</v>
      </c>
      <c r="M10" s="635">
        <f ca="1">tertiair!L16</f>
        <v>0</v>
      </c>
      <c r="N10" s="635">
        <f>tertiair!M16</f>
        <v>0</v>
      </c>
      <c r="O10" s="635">
        <f ca="1">tertiair!N16</f>
        <v>3245.7661568218195</v>
      </c>
      <c r="P10" s="635">
        <f>tertiair!O16</f>
        <v>1.5633333333333335</v>
      </c>
      <c r="Q10" s="636">
        <f>tertiair!P16</f>
        <v>19.066666666666666</v>
      </c>
      <c r="R10" s="638">
        <f ca="1">SUM(C10:Q10)</f>
        <v>227768.0735348764</v>
      </c>
      <c r="S10" s="67"/>
    </row>
    <row r="11" spans="1:19" s="441" customFormat="1">
      <c r="A11" s="749" t="s">
        <v>214</v>
      </c>
      <c r="B11" s="754"/>
      <c r="C11" s="635">
        <f>huishoudens!B8</f>
        <v>98756.307847321033</v>
      </c>
      <c r="D11" s="635">
        <f>huishoudens!C8</f>
        <v>0</v>
      </c>
      <c r="E11" s="635">
        <f>huishoudens!D8</f>
        <v>191203.85158326596</v>
      </c>
      <c r="F11" s="635">
        <f>huishoudens!E8</f>
        <v>3037.3565280392086</v>
      </c>
      <c r="G11" s="635">
        <f>huishoudens!F8</f>
        <v>103678.32943233193</v>
      </c>
      <c r="H11" s="635">
        <f>huishoudens!G8</f>
        <v>0</v>
      </c>
      <c r="I11" s="635">
        <f>huishoudens!H8</f>
        <v>0</v>
      </c>
      <c r="J11" s="635">
        <f>huishoudens!I8</f>
        <v>0</v>
      </c>
      <c r="K11" s="635">
        <f>huishoudens!J8</f>
        <v>2334.5731244763524</v>
      </c>
      <c r="L11" s="635">
        <f>huishoudens!K8</f>
        <v>0</v>
      </c>
      <c r="M11" s="635">
        <f>huishoudens!L8</f>
        <v>0</v>
      </c>
      <c r="N11" s="635">
        <f>huishoudens!M8</f>
        <v>0</v>
      </c>
      <c r="O11" s="635">
        <f>huishoudens!N8</f>
        <v>22418.343954444328</v>
      </c>
      <c r="P11" s="635">
        <f>huishoudens!O8</f>
        <v>492.45</v>
      </c>
      <c r="Q11" s="636">
        <f>huishoudens!P8</f>
        <v>552.93333333333339</v>
      </c>
      <c r="R11" s="638">
        <f>SUM(C11:Q11)</f>
        <v>422474.14580321219</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127957.90401412264</v>
      </c>
      <c r="D13" s="635">
        <f>industrie!C18</f>
        <v>0</v>
      </c>
      <c r="E13" s="635">
        <f>industrie!D18</f>
        <v>26907.565531344546</v>
      </c>
      <c r="F13" s="635">
        <f>industrie!E18</f>
        <v>1289.0443883375499</v>
      </c>
      <c r="G13" s="635">
        <f>industrie!F18</f>
        <v>39533.050063149625</v>
      </c>
      <c r="H13" s="635">
        <f>industrie!G18</f>
        <v>0</v>
      </c>
      <c r="I13" s="635">
        <f>industrie!H18</f>
        <v>0</v>
      </c>
      <c r="J13" s="635">
        <f>industrie!I18</f>
        <v>0</v>
      </c>
      <c r="K13" s="635">
        <f>industrie!J18</f>
        <v>472.15144129622888</v>
      </c>
      <c r="L13" s="635">
        <f>industrie!K18</f>
        <v>0</v>
      </c>
      <c r="M13" s="635">
        <f>industrie!L18</f>
        <v>0</v>
      </c>
      <c r="N13" s="635">
        <f>industrie!M18</f>
        <v>0</v>
      </c>
      <c r="O13" s="635">
        <f>industrie!N18</f>
        <v>0</v>
      </c>
      <c r="P13" s="635">
        <f>industrie!O18</f>
        <v>0</v>
      </c>
      <c r="Q13" s="636">
        <f>industrie!P18</f>
        <v>0</v>
      </c>
      <c r="R13" s="638">
        <f>SUM(C13:Q13)</f>
        <v>196159.7154382506</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362452.20597641554</v>
      </c>
      <c r="D16" s="668">
        <f t="shared" ref="D16:R16" ca="1" si="0">SUM(D9:D15)</f>
        <v>211.07142857142858</v>
      </c>
      <c r="E16" s="668">
        <f t="shared" ca="1" si="0"/>
        <v>280491.41307193897</v>
      </c>
      <c r="F16" s="668">
        <f t="shared" si="0"/>
        <v>7915.7644576719204</v>
      </c>
      <c r="G16" s="668">
        <f t="shared" ca="1" si="0"/>
        <v>165794.63183136919</v>
      </c>
      <c r="H16" s="668">
        <f t="shared" si="0"/>
        <v>0</v>
      </c>
      <c r="I16" s="668">
        <f t="shared" si="0"/>
        <v>0</v>
      </c>
      <c r="J16" s="668">
        <f t="shared" si="0"/>
        <v>0</v>
      </c>
      <c r="K16" s="668">
        <f t="shared" si="0"/>
        <v>2806.7245657725812</v>
      </c>
      <c r="L16" s="668">
        <f t="shared" si="0"/>
        <v>0</v>
      </c>
      <c r="M16" s="668">
        <f t="shared" ca="1" si="0"/>
        <v>0</v>
      </c>
      <c r="N16" s="668">
        <f t="shared" si="0"/>
        <v>0</v>
      </c>
      <c r="O16" s="668">
        <f t="shared" ca="1" si="0"/>
        <v>25664.110111266149</v>
      </c>
      <c r="P16" s="668">
        <f t="shared" si="0"/>
        <v>494.01333333333332</v>
      </c>
      <c r="Q16" s="668">
        <f t="shared" si="0"/>
        <v>572.00000000000011</v>
      </c>
      <c r="R16" s="668">
        <f t="shared" ca="1" si="0"/>
        <v>846401.9347763391</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19.609689920617342</v>
      </c>
      <c r="D19" s="635">
        <f>transport!C54</f>
        <v>0</v>
      </c>
      <c r="E19" s="635">
        <f>transport!D54</f>
        <v>0</v>
      </c>
      <c r="F19" s="635">
        <f>transport!E54</f>
        <v>0</v>
      </c>
      <c r="G19" s="635">
        <f>transport!F54</f>
        <v>0</v>
      </c>
      <c r="H19" s="635">
        <f>transport!G54</f>
        <v>4254.1253497687585</v>
      </c>
      <c r="I19" s="635">
        <f>transport!H54</f>
        <v>0</v>
      </c>
      <c r="J19" s="635">
        <f>transport!I54</f>
        <v>0</v>
      </c>
      <c r="K19" s="635">
        <f>transport!J54</f>
        <v>0</v>
      </c>
      <c r="L19" s="635">
        <f>transport!K54</f>
        <v>0</v>
      </c>
      <c r="M19" s="635">
        <f>transport!L54</f>
        <v>0</v>
      </c>
      <c r="N19" s="635">
        <f>transport!M54</f>
        <v>182.14530632223457</v>
      </c>
      <c r="O19" s="635">
        <f>transport!N54</f>
        <v>0</v>
      </c>
      <c r="P19" s="635">
        <f>transport!O54</f>
        <v>0</v>
      </c>
      <c r="Q19" s="636">
        <f>transport!P54</f>
        <v>0</v>
      </c>
      <c r="R19" s="638">
        <f>SUM(C19:Q19)</f>
        <v>4455.8803460116105</v>
      </c>
      <c r="S19" s="67"/>
    </row>
    <row r="20" spans="1:19" s="441" customFormat="1">
      <c r="A20" s="749" t="s">
        <v>296</v>
      </c>
      <c r="B20" s="754"/>
      <c r="C20" s="635">
        <f>transport!B14</f>
        <v>5.7323197343187271</v>
      </c>
      <c r="D20" s="635">
        <f>transport!C14</f>
        <v>0</v>
      </c>
      <c r="E20" s="635">
        <f>transport!D14</f>
        <v>17.614161166469312</v>
      </c>
      <c r="F20" s="635">
        <f>transport!E14</f>
        <v>2044.8831203825048</v>
      </c>
      <c r="G20" s="635">
        <f>transport!F14</f>
        <v>0</v>
      </c>
      <c r="H20" s="635">
        <f>transport!G14</f>
        <v>558090.08457009436</v>
      </c>
      <c r="I20" s="635">
        <f>transport!H14</f>
        <v>62802.615376823051</v>
      </c>
      <c r="J20" s="635">
        <f>transport!I14</f>
        <v>0</v>
      </c>
      <c r="K20" s="635">
        <f>transport!J14</f>
        <v>0</v>
      </c>
      <c r="L20" s="635">
        <f>transport!K14</f>
        <v>0</v>
      </c>
      <c r="M20" s="635">
        <f>transport!L14</f>
        <v>0</v>
      </c>
      <c r="N20" s="635">
        <f>transport!M14</f>
        <v>26932.554408124117</v>
      </c>
      <c r="O20" s="635">
        <f>transport!N14</f>
        <v>0</v>
      </c>
      <c r="P20" s="635">
        <f>transport!O14</f>
        <v>0</v>
      </c>
      <c r="Q20" s="636">
        <f>transport!P14</f>
        <v>0</v>
      </c>
      <c r="R20" s="638">
        <f>SUM(C20:Q20)</f>
        <v>649893.48395632475</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25.342009654936071</v>
      </c>
      <c r="D22" s="752">
        <f t="shared" ref="D22:R22" si="1">SUM(D18:D21)</f>
        <v>0</v>
      </c>
      <c r="E22" s="752">
        <f t="shared" si="1"/>
        <v>17.614161166469312</v>
      </c>
      <c r="F22" s="752">
        <f t="shared" si="1"/>
        <v>2044.8831203825048</v>
      </c>
      <c r="G22" s="752">
        <f t="shared" si="1"/>
        <v>0</v>
      </c>
      <c r="H22" s="752">
        <f t="shared" si="1"/>
        <v>562344.20991986315</v>
      </c>
      <c r="I22" s="752">
        <f t="shared" si="1"/>
        <v>62802.615376823051</v>
      </c>
      <c r="J22" s="752">
        <f t="shared" si="1"/>
        <v>0</v>
      </c>
      <c r="K22" s="752">
        <f t="shared" si="1"/>
        <v>0</v>
      </c>
      <c r="L22" s="752">
        <f t="shared" si="1"/>
        <v>0</v>
      </c>
      <c r="M22" s="752">
        <f t="shared" si="1"/>
        <v>0</v>
      </c>
      <c r="N22" s="752">
        <f t="shared" si="1"/>
        <v>27114.699714446353</v>
      </c>
      <c r="O22" s="752">
        <f t="shared" si="1"/>
        <v>0</v>
      </c>
      <c r="P22" s="752">
        <f t="shared" si="1"/>
        <v>0</v>
      </c>
      <c r="Q22" s="752">
        <f t="shared" si="1"/>
        <v>0</v>
      </c>
      <c r="R22" s="752">
        <f t="shared" si="1"/>
        <v>654349.36430233635</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9873.2063815045713</v>
      </c>
      <c r="D24" s="635">
        <f>+landbouw!C8</f>
        <v>88650</v>
      </c>
      <c r="E24" s="635">
        <f>+landbouw!D8</f>
        <v>0</v>
      </c>
      <c r="F24" s="635">
        <f>+landbouw!E8</f>
        <v>88.97011749206213</v>
      </c>
      <c r="G24" s="635">
        <f>+landbouw!F8</f>
        <v>36995.205434320953</v>
      </c>
      <c r="H24" s="635">
        <f>+landbouw!G8</f>
        <v>0</v>
      </c>
      <c r="I24" s="635">
        <f>+landbouw!H8</f>
        <v>0</v>
      </c>
      <c r="J24" s="635">
        <f>+landbouw!I8</f>
        <v>0</v>
      </c>
      <c r="K24" s="635">
        <f>+landbouw!J8</f>
        <v>999.12765136689961</v>
      </c>
      <c r="L24" s="635">
        <f>+landbouw!K8</f>
        <v>0</v>
      </c>
      <c r="M24" s="635">
        <f>+landbouw!L8</f>
        <v>0</v>
      </c>
      <c r="N24" s="635">
        <f>+landbouw!M8</f>
        <v>0</v>
      </c>
      <c r="O24" s="635">
        <f>+landbouw!N8</f>
        <v>0</v>
      </c>
      <c r="P24" s="635">
        <f>+landbouw!O8</f>
        <v>0</v>
      </c>
      <c r="Q24" s="636">
        <f>+landbouw!P8</f>
        <v>0</v>
      </c>
      <c r="R24" s="638">
        <f>SUM(C24:Q24)</f>
        <v>136606.50958468448</v>
      </c>
      <c r="S24" s="67"/>
    </row>
    <row r="25" spans="1:19" s="441" customFormat="1" ht="15" thickBot="1">
      <c r="A25" s="771" t="s">
        <v>864</v>
      </c>
      <c r="B25" s="923"/>
      <c r="C25" s="924">
        <f>IF(Onbekend_ele_kWh="---",0,Onbekend_ele_kWh)/1000+IF(REST_rest_ele_kWh="---",0,REST_rest_ele_kWh)/1000</f>
        <v>5061.0700253527202</v>
      </c>
      <c r="D25" s="924"/>
      <c r="E25" s="924">
        <f>IF(onbekend_gas_kWh="---",0,onbekend_gas_kWh)/1000+IF(REST_rest_gas_kWh="---",0,REST_rest_gas_kWh)/1000</f>
        <v>36163.727625013598</v>
      </c>
      <c r="F25" s="924"/>
      <c r="G25" s="924"/>
      <c r="H25" s="924"/>
      <c r="I25" s="924"/>
      <c r="J25" s="924"/>
      <c r="K25" s="924"/>
      <c r="L25" s="924"/>
      <c r="M25" s="924"/>
      <c r="N25" s="924"/>
      <c r="O25" s="924"/>
      <c r="P25" s="924"/>
      <c r="Q25" s="925"/>
      <c r="R25" s="638">
        <f>SUM(C25:Q25)</f>
        <v>41224.797650366316</v>
      </c>
      <c r="S25" s="67"/>
    </row>
    <row r="26" spans="1:19" s="441" customFormat="1" ht="15.75" thickBot="1">
      <c r="A26" s="641" t="s">
        <v>865</v>
      </c>
      <c r="B26" s="757"/>
      <c r="C26" s="752">
        <f>SUM(C24:C25)</f>
        <v>14934.276406857291</v>
      </c>
      <c r="D26" s="752">
        <f t="shared" ref="D26:R26" si="2">SUM(D24:D25)</f>
        <v>88650</v>
      </c>
      <c r="E26" s="752">
        <f t="shared" si="2"/>
        <v>36163.727625013598</v>
      </c>
      <c r="F26" s="752">
        <f t="shared" si="2"/>
        <v>88.97011749206213</v>
      </c>
      <c r="G26" s="752">
        <f t="shared" si="2"/>
        <v>36995.205434320953</v>
      </c>
      <c r="H26" s="752">
        <f t="shared" si="2"/>
        <v>0</v>
      </c>
      <c r="I26" s="752">
        <f t="shared" si="2"/>
        <v>0</v>
      </c>
      <c r="J26" s="752">
        <f t="shared" si="2"/>
        <v>0</v>
      </c>
      <c r="K26" s="752">
        <f t="shared" si="2"/>
        <v>999.12765136689961</v>
      </c>
      <c r="L26" s="752">
        <f t="shared" si="2"/>
        <v>0</v>
      </c>
      <c r="M26" s="752">
        <f t="shared" si="2"/>
        <v>0</v>
      </c>
      <c r="N26" s="752">
        <f t="shared" si="2"/>
        <v>0</v>
      </c>
      <c r="O26" s="752">
        <f t="shared" si="2"/>
        <v>0</v>
      </c>
      <c r="P26" s="752">
        <f t="shared" si="2"/>
        <v>0</v>
      </c>
      <c r="Q26" s="752">
        <f t="shared" si="2"/>
        <v>0</v>
      </c>
      <c r="R26" s="752">
        <f t="shared" si="2"/>
        <v>177831.3072350508</v>
      </c>
      <c r="S26" s="67"/>
    </row>
    <row r="27" spans="1:19" s="441" customFormat="1" ht="17.25" thickTop="1" thickBot="1">
      <c r="A27" s="642" t="s">
        <v>109</v>
      </c>
      <c r="B27" s="744"/>
      <c r="C27" s="643">
        <f ca="1">C22+C16+C26</f>
        <v>377411.82439292775</v>
      </c>
      <c r="D27" s="643">
        <f t="shared" ref="D27:R27" ca="1" si="3">D22+D16+D26</f>
        <v>88861.071428571435</v>
      </c>
      <c r="E27" s="643">
        <f t="shared" ca="1" si="3"/>
        <v>316672.75485811906</v>
      </c>
      <c r="F27" s="643">
        <f t="shared" si="3"/>
        <v>10049.617695546487</v>
      </c>
      <c r="G27" s="643">
        <f t="shared" ca="1" si="3"/>
        <v>202789.83726569015</v>
      </c>
      <c r="H27" s="643">
        <f t="shared" si="3"/>
        <v>562344.20991986315</v>
      </c>
      <c r="I27" s="643">
        <f t="shared" si="3"/>
        <v>62802.615376823051</v>
      </c>
      <c r="J27" s="643">
        <f t="shared" si="3"/>
        <v>0</v>
      </c>
      <c r="K27" s="643">
        <f t="shared" si="3"/>
        <v>3805.8522171394807</v>
      </c>
      <c r="L27" s="643">
        <f t="shared" si="3"/>
        <v>0</v>
      </c>
      <c r="M27" s="643">
        <f t="shared" ca="1" si="3"/>
        <v>0</v>
      </c>
      <c r="N27" s="643">
        <f t="shared" si="3"/>
        <v>27114.699714446353</v>
      </c>
      <c r="O27" s="643">
        <f t="shared" ca="1" si="3"/>
        <v>25664.110111266149</v>
      </c>
      <c r="P27" s="643">
        <f t="shared" si="3"/>
        <v>494.01333333333332</v>
      </c>
      <c r="Q27" s="643">
        <f t="shared" si="3"/>
        <v>572.00000000000011</v>
      </c>
      <c r="R27" s="643">
        <f t="shared" ca="1" si="3"/>
        <v>1678582.6063137262</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26272.428339383732</v>
      </c>
      <c r="D40" s="635">
        <f ca="1">tertiair!C20</f>
        <v>42.057360426355828</v>
      </c>
      <c r="E40" s="635">
        <f ca="1">tertiair!D20</f>
        <v>12600.759183380347</v>
      </c>
      <c r="F40" s="635">
        <f>tertiair!E20</f>
        <v>814.78552387400168</v>
      </c>
      <c r="G40" s="635">
        <f ca="1">tertiair!F20</f>
        <v>6029.7283736819973</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45759.75878074643</v>
      </c>
    </row>
    <row r="41" spans="1:18">
      <c r="A41" s="762" t="s">
        <v>214</v>
      </c>
      <c r="B41" s="769"/>
      <c r="C41" s="635">
        <f ca="1">huishoudens!B12</f>
        <v>19114.530444462202</v>
      </c>
      <c r="D41" s="635">
        <f ca="1">huishoudens!C12</f>
        <v>0</v>
      </c>
      <c r="E41" s="635">
        <f>huishoudens!D12</f>
        <v>38623.17801981973</v>
      </c>
      <c r="F41" s="635">
        <f>huishoudens!E12</f>
        <v>689.47993186490032</v>
      </c>
      <c r="G41" s="635">
        <f>huishoudens!F12</f>
        <v>27682.113958432627</v>
      </c>
      <c r="H41" s="635">
        <f>huishoudens!G12</f>
        <v>0</v>
      </c>
      <c r="I41" s="635">
        <f>huishoudens!H12</f>
        <v>0</v>
      </c>
      <c r="J41" s="635">
        <f>huishoudens!I12</f>
        <v>0</v>
      </c>
      <c r="K41" s="635">
        <f>huishoudens!J12</f>
        <v>826.43888606462872</v>
      </c>
      <c r="L41" s="635">
        <f>huishoudens!K12</f>
        <v>0</v>
      </c>
      <c r="M41" s="635">
        <f>huishoudens!L12</f>
        <v>0</v>
      </c>
      <c r="N41" s="635">
        <f>huishoudens!M12</f>
        <v>0</v>
      </c>
      <c r="O41" s="635">
        <f>huishoudens!N12</f>
        <v>0</v>
      </c>
      <c r="P41" s="635">
        <f>huishoudens!O12</f>
        <v>0</v>
      </c>
      <c r="Q41" s="710">
        <f>huishoudens!P12</f>
        <v>0</v>
      </c>
      <c r="R41" s="790">
        <f t="shared" ca="1" si="4"/>
        <v>86935.741240644085</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24766.572436758714</v>
      </c>
      <c r="D43" s="635">
        <f ca="1">industrie!C22</f>
        <v>0</v>
      </c>
      <c r="E43" s="635">
        <f>industrie!D22</f>
        <v>5435.3282373315988</v>
      </c>
      <c r="F43" s="635">
        <f>industrie!E22</f>
        <v>292.61307615262382</v>
      </c>
      <c r="G43" s="635">
        <f>industrie!F22</f>
        <v>10555.32436686095</v>
      </c>
      <c r="H43" s="635">
        <f>industrie!G22</f>
        <v>0</v>
      </c>
      <c r="I43" s="635">
        <f>industrie!H22</f>
        <v>0</v>
      </c>
      <c r="J43" s="635">
        <f>industrie!I22</f>
        <v>0</v>
      </c>
      <c r="K43" s="635">
        <f>industrie!J22</f>
        <v>167.14161021886503</v>
      </c>
      <c r="L43" s="635">
        <f>industrie!K22</f>
        <v>0</v>
      </c>
      <c r="M43" s="635">
        <f>industrie!L22</f>
        <v>0</v>
      </c>
      <c r="N43" s="635">
        <f>industrie!M22</f>
        <v>0</v>
      </c>
      <c r="O43" s="635">
        <f>industrie!N22</f>
        <v>0</v>
      </c>
      <c r="P43" s="635">
        <f>industrie!O22</f>
        <v>0</v>
      </c>
      <c r="Q43" s="710">
        <f>industrie!P22</f>
        <v>0</v>
      </c>
      <c r="R43" s="789">
        <f t="shared" ca="1" si="4"/>
        <v>41216.97972732276</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70153.531220604651</v>
      </c>
      <c r="D46" s="668">
        <f t="shared" ref="D46:Q46" ca="1" si="5">SUM(D39:D45)</f>
        <v>42.057360426355828</v>
      </c>
      <c r="E46" s="668">
        <f t="shared" ca="1" si="5"/>
        <v>56659.265440531672</v>
      </c>
      <c r="F46" s="668">
        <f t="shared" si="5"/>
        <v>1796.8785318915257</v>
      </c>
      <c r="G46" s="668">
        <f t="shared" ca="1" si="5"/>
        <v>44267.166698975576</v>
      </c>
      <c r="H46" s="668">
        <f t="shared" si="5"/>
        <v>0</v>
      </c>
      <c r="I46" s="668">
        <f t="shared" si="5"/>
        <v>0</v>
      </c>
      <c r="J46" s="668">
        <f t="shared" si="5"/>
        <v>0</v>
      </c>
      <c r="K46" s="668">
        <f t="shared" si="5"/>
        <v>993.58049628349374</v>
      </c>
      <c r="L46" s="668">
        <f t="shared" si="5"/>
        <v>0</v>
      </c>
      <c r="M46" s="668">
        <f t="shared" ca="1" si="5"/>
        <v>0</v>
      </c>
      <c r="N46" s="668">
        <f t="shared" si="5"/>
        <v>0</v>
      </c>
      <c r="O46" s="668">
        <f t="shared" ca="1" si="5"/>
        <v>0</v>
      </c>
      <c r="P46" s="668">
        <f t="shared" si="5"/>
        <v>0</v>
      </c>
      <c r="Q46" s="668">
        <f t="shared" si="5"/>
        <v>0</v>
      </c>
      <c r="R46" s="668">
        <f ca="1">SUM(R39:R45)</f>
        <v>173912.47974871326</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3.7955045420855287</v>
      </c>
      <c r="D49" s="635">
        <f ca="1">transport!C58</f>
        <v>0</v>
      </c>
      <c r="E49" s="635">
        <f>transport!D58</f>
        <v>0</v>
      </c>
      <c r="F49" s="635">
        <f>transport!E58</f>
        <v>0</v>
      </c>
      <c r="G49" s="635">
        <f>transport!F58</f>
        <v>0</v>
      </c>
      <c r="H49" s="635">
        <f>transport!G58</f>
        <v>1135.8514683882586</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1139.6469729303442</v>
      </c>
    </row>
    <row r="50" spans="1:18">
      <c r="A50" s="765" t="s">
        <v>296</v>
      </c>
      <c r="B50" s="775"/>
      <c r="C50" s="930">
        <f ca="1">transport!B18</f>
        <v>1.1095048252353139</v>
      </c>
      <c r="D50" s="930">
        <f>transport!C18</f>
        <v>0</v>
      </c>
      <c r="E50" s="930">
        <f>transport!D18</f>
        <v>3.5580605556268012</v>
      </c>
      <c r="F50" s="930">
        <f>transport!E18</f>
        <v>464.18846832682863</v>
      </c>
      <c r="G50" s="930">
        <f>transport!F18</f>
        <v>0</v>
      </c>
      <c r="H50" s="930">
        <f>transport!G18</f>
        <v>149010.05258021521</v>
      </c>
      <c r="I50" s="930">
        <f>transport!H18</f>
        <v>15637.85122882894</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165116.75984275184</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4.9050093673208428</v>
      </c>
      <c r="D52" s="668">
        <f t="shared" ref="D52:Q52" ca="1" si="6">SUM(D48:D51)</f>
        <v>0</v>
      </c>
      <c r="E52" s="668">
        <f t="shared" si="6"/>
        <v>3.5580605556268012</v>
      </c>
      <c r="F52" s="668">
        <f t="shared" si="6"/>
        <v>464.18846832682863</v>
      </c>
      <c r="G52" s="668">
        <f t="shared" si="6"/>
        <v>0</v>
      </c>
      <c r="H52" s="668">
        <f t="shared" si="6"/>
        <v>150145.90404860346</v>
      </c>
      <c r="I52" s="668">
        <f t="shared" si="6"/>
        <v>15637.85122882894</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166256.40681568219</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1910.9837951363536</v>
      </c>
      <c r="D54" s="930">
        <f ca="1">+landbouw!C12</f>
        <v>17664.091379069447</v>
      </c>
      <c r="E54" s="930">
        <f>+landbouw!D12</f>
        <v>0</v>
      </c>
      <c r="F54" s="930">
        <f>+landbouw!E12</f>
        <v>20.196216670698103</v>
      </c>
      <c r="G54" s="930">
        <f>+landbouw!F12</f>
        <v>9877.7198509636946</v>
      </c>
      <c r="H54" s="930">
        <f>+landbouw!G12</f>
        <v>0</v>
      </c>
      <c r="I54" s="930">
        <f>+landbouw!H12</f>
        <v>0</v>
      </c>
      <c r="J54" s="930">
        <f>+landbouw!I12</f>
        <v>0</v>
      </c>
      <c r="K54" s="930">
        <f>+landbouw!J12</f>
        <v>353.69118858388242</v>
      </c>
      <c r="L54" s="930">
        <f>+landbouw!K12</f>
        <v>0</v>
      </c>
      <c r="M54" s="930">
        <f>+landbouw!L12</f>
        <v>0</v>
      </c>
      <c r="N54" s="930">
        <f>+landbouw!M12</f>
        <v>0</v>
      </c>
      <c r="O54" s="930">
        <f>+landbouw!N12</f>
        <v>0</v>
      </c>
      <c r="P54" s="930">
        <f>+landbouw!O12</f>
        <v>0</v>
      </c>
      <c r="Q54" s="931">
        <f>+landbouw!P12</f>
        <v>0</v>
      </c>
      <c r="R54" s="667">
        <f ca="1">SUM(C54:Q54)</f>
        <v>29826.682430424076</v>
      </c>
    </row>
    <row r="55" spans="1:18" ht="15" thickBot="1">
      <c r="A55" s="765" t="s">
        <v>864</v>
      </c>
      <c r="B55" s="775"/>
      <c r="C55" s="930">
        <f ca="1">C25*'EF ele_warmte'!B12</f>
        <v>979.58276478623861</v>
      </c>
      <c r="D55" s="930"/>
      <c r="E55" s="930">
        <f>E25*EF_CO2_aardgas</f>
        <v>7305.0729802527476</v>
      </c>
      <c r="F55" s="930"/>
      <c r="G55" s="930"/>
      <c r="H55" s="930"/>
      <c r="I55" s="930"/>
      <c r="J55" s="930"/>
      <c r="K55" s="930"/>
      <c r="L55" s="930"/>
      <c r="M55" s="930"/>
      <c r="N55" s="930"/>
      <c r="O55" s="930"/>
      <c r="P55" s="930"/>
      <c r="Q55" s="931"/>
      <c r="R55" s="667">
        <f ca="1">SUM(C55:Q55)</f>
        <v>8284.6557450389864</v>
      </c>
    </row>
    <row r="56" spans="1:18" ht="15.75" thickBot="1">
      <c r="A56" s="763" t="s">
        <v>865</v>
      </c>
      <c r="B56" s="776"/>
      <c r="C56" s="668">
        <f ca="1">SUM(C54:C55)</f>
        <v>2890.5665599225922</v>
      </c>
      <c r="D56" s="668">
        <f t="shared" ref="D56:Q56" ca="1" si="7">SUM(D54:D55)</f>
        <v>17664.091379069447</v>
      </c>
      <c r="E56" s="668">
        <f t="shared" si="7"/>
        <v>7305.0729802527476</v>
      </c>
      <c r="F56" s="668">
        <f t="shared" si="7"/>
        <v>20.196216670698103</v>
      </c>
      <c r="G56" s="668">
        <f t="shared" si="7"/>
        <v>9877.7198509636946</v>
      </c>
      <c r="H56" s="668">
        <f t="shared" si="7"/>
        <v>0</v>
      </c>
      <c r="I56" s="668">
        <f t="shared" si="7"/>
        <v>0</v>
      </c>
      <c r="J56" s="668">
        <f t="shared" si="7"/>
        <v>0</v>
      </c>
      <c r="K56" s="668">
        <f t="shared" si="7"/>
        <v>353.69118858388242</v>
      </c>
      <c r="L56" s="668">
        <f t="shared" si="7"/>
        <v>0</v>
      </c>
      <c r="M56" s="668">
        <f t="shared" si="7"/>
        <v>0</v>
      </c>
      <c r="N56" s="668">
        <f t="shared" si="7"/>
        <v>0</v>
      </c>
      <c r="O56" s="668">
        <f t="shared" si="7"/>
        <v>0</v>
      </c>
      <c r="P56" s="668">
        <f t="shared" si="7"/>
        <v>0</v>
      </c>
      <c r="Q56" s="669">
        <f t="shared" si="7"/>
        <v>0</v>
      </c>
      <c r="R56" s="670">
        <f ca="1">SUM(R54:R55)</f>
        <v>38111.338175463061</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73049.002789894555</v>
      </c>
      <c r="D61" s="676">
        <f t="shared" ref="D61:Q61" ca="1" si="8">D46+D52+D56</f>
        <v>17706.148739495802</v>
      </c>
      <c r="E61" s="676">
        <f t="shared" ca="1" si="8"/>
        <v>63967.896481340045</v>
      </c>
      <c r="F61" s="676">
        <f t="shared" si="8"/>
        <v>2281.2632168890523</v>
      </c>
      <c r="G61" s="676">
        <f t="shared" ca="1" si="8"/>
        <v>54144.88654993927</v>
      </c>
      <c r="H61" s="676">
        <f t="shared" si="8"/>
        <v>150145.90404860346</v>
      </c>
      <c r="I61" s="676">
        <f t="shared" si="8"/>
        <v>15637.85122882894</v>
      </c>
      <c r="J61" s="676">
        <f t="shared" si="8"/>
        <v>0</v>
      </c>
      <c r="K61" s="676">
        <f t="shared" si="8"/>
        <v>1347.2716848673763</v>
      </c>
      <c r="L61" s="676">
        <f t="shared" si="8"/>
        <v>0</v>
      </c>
      <c r="M61" s="676">
        <f t="shared" ca="1" si="8"/>
        <v>0</v>
      </c>
      <c r="N61" s="676">
        <f t="shared" si="8"/>
        <v>0</v>
      </c>
      <c r="O61" s="676">
        <f t="shared" ca="1" si="8"/>
        <v>0</v>
      </c>
      <c r="P61" s="676">
        <f t="shared" si="8"/>
        <v>0</v>
      </c>
      <c r="Q61" s="676">
        <f t="shared" si="8"/>
        <v>0</v>
      </c>
      <c r="R61" s="676">
        <f ca="1">R46+R52+R56</f>
        <v>378280.22473985853</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0.1935525017198253</v>
      </c>
      <c r="D63" s="720">
        <f t="shared" ca="1" si="9"/>
        <v>0.19925652993874163</v>
      </c>
      <c r="E63" s="932">
        <f t="shared" ca="1" si="9"/>
        <v>0.20199999999999999</v>
      </c>
      <c r="F63" s="720">
        <f t="shared" si="9"/>
        <v>0.22699999999999998</v>
      </c>
      <c r="G63" s="720">
        <f t="shared" ca="1" si="9"/>
        <v>0.26700000000000002</v>
      </c>
      <c r="H63" s="720">
        <f t="shared" si="9"/>
        <v>0.26700000000000002</v>
      </c>
      <c r="I63" s="720">
        <f t="shared" si="9"/>
        <v>0.249</v>
      </c>
      <c r="J63" s="720">
        <f t="shared" si="9"/>
        <v>0</v>
      </c>
      <c r="K63" s="720">
        <f t="shared" si="9"/>
        <v>0.35400000000000004</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14206.070468537737</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23577.353823722642</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10048.5</v>
      </c>
      <c r="C76" s="686">
        <f>'lokale energieproductie'!B8*IFERROR(SUM(D76:H76)/SUM(D76:O76),0)</f>
        <v>52154.25</v>
      </c>
      <c r="D76" s="942">
        <f>'lokale energieproductie'!C8</f>
        <v>61357.941176470602</v>
      </c>
      <c r="E76" s="943">
        <f>'lokale energieproductie'!D8</f>
        <v>0</v>
      </c>
      <c r="F76" s="943">
        <f>'lokale energieproductie'!E8</f>
        <v>0</v>
      </c>
      <c r="G76" s="943">
        <f>'lokale energieproductie'!F8</f>
        <v>0</v>
      </c>
      <c r="H76" s="943">
        <f>'lokale energieproductie'!G8</f>
        <v>0</v>
      </c>
      <c r="I76" s="943">
        <f>'lokale energieproductie'!I8</f>
        <v>0</v>
      </c>
      <c r="J76" s="943">
        <f>'lokale energieproductie'!J8</f>
        <v>11821.764705882355</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12394.304117647062</v>
      </c>
      <c r="R76" s="792">
        <v>0</v>
      </c>
    </row>
    <row r="77" spans="1:18" ht="30.75" thickBot="1">
      <c r="A77" s="689" t="s">
        <v>340</v>
      </c>
      <c r="B77" s="686">
        <f>'lokale energieproductie'!B9*IFERROR(SUM(I77:O77)/SUM(D77:O77),0)</f>
        <v>2970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8485.7142857142862</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50801.924292260381</v>
      </c>
      <c r="C78" s="691">
        <f>SUM(C72:C77)</f>
        <v>52154.25</v>
      </c>
      <c r="D78" s="692">
        <f t="shared" ref="D78:H78" si="10">SUM(D76:D77)</f>
        <v>61357.941176470602</v>
      </c>
      <c r="E78" s="692">
        <f t="shared" si="10"/>
        <v>0</v>
      </c>
      <c r="F78" s="692">
        <f t="shared" si="10"/>
        <v>0</v>
      </c>
      <c r="G78" s="692">
        <f t="shared" si="10"/>
        <v>0</v>
      </c>
      <c r="H78" s="692">
        <f t="shared" si="10"/>
        <v>0</v>
      </c>
      <c r="I78" s="692">
        <f>SUM(I76:I77)</f>
        <v>0</v>
      </c>
      <c r="J78" s="692">
        <f>SUM(J76:J77)</f>
        <v>20307.478991596639</v>
      </c>
      <c r="K78" s="692">
        <f t="shared" ref="K78:L78" si="11">SUM(K76:K77)</f>
        <v>0</v>
      </c>
      <c r="L78" s="692">
        <f t="shared" si="11"/>
        <v>0</v>
      </c>
      <c r="M78" s="692">
        <f>SUM(M76:M77)</f>
        <v>0</v>
      </c>
      <c r="N78" s="692">
        <f>SUM(N76:N77)</f>
        <v>0</v>
      </c>
      <c r="O78" s="800">
        <f>SUM(O76:O77)</f>
        <v>0</v>
      </c>
      <c r="P78" s="693">
        <v>0</v>
      </c>
      <c r="Q78" s="693">
        <f>SUM(Q76:Q77)</f>
        <v>12394.304117647062</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14355.000000000002</v>
      </c>
      <c r="C87" s="702">
        <f>'lokale energieproductie'!B17*IFERROR(SUM(D87:H87)/SUM(D87:O87),0)</f>
        <v>74506.071428571435</v>
      </c>
      <c r="D87" s="713">
        <f>'lokale energieproductie'!C17</f>
        <v>87654.201680672282</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16888.23529411765</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17706.148739495802</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14355.000000000002</v>
      </c>
      <c r="C90" s="691">
        <f>SUM(C87:C89)</f>
        <v>74506.071428571435</v>
      </c>
      <c r="D90" s="691">
        <f t="shared" ref="D90:H90" si="12">SUM(D87:D89)</f>
        <v>87654.201680672282</v>
      </c>
      <c r="E90" s="691">
        <f t="shared" si="12"/>
        <v>0</v>
      </c>
      <c r="F90" s="691">
        <f t="shared" si="12"/>
        <v>0</v>
      </c>
      <c r="G90" s="691">
        <f t="shared" si="12"/>
        <v>0</v>
      </c>
      <c r="H90" s="691">
        <f t="shared" si="12"/>
        <v>0</v>
      </c>
      <c r="I90" s="691">
        <f>SUM(I87:I89)</f>
        <v>0</v>
      </c>
      <c r="J90" s="691">
        <f>SUM(J87:J89)</f>
        <v>16888.23529411765</v>
      </c>
      <c r="K90" s="691">
        <f t="shared" ref="K90:L90" si="13">SUM(K87:K89)</f>
        <v>0</v>
      </c>
      <c r="L90" s="691">
        <f t="shared" si="13"/>
        <v>0</v>
      </c>
      <c r="M90" s="691">
        <f>SUM(M87:M89)</f>
        <v>0</v>
      </c>
      <c r="N90" s="691">
        <f>SUM(N87:N89)</f>
        <v>0</v>
      </c>
      <c r="O90" s="691">
        <f>SUM(O87:O89)</f>
        <v>0</v>
      </c>
      <c r="P90" s="691">
        <v>0</v>
      </c>
      <c r="Q90" s="691">
        <f>SUM(Q87:Q89)</f>
        <v>17706.148739495802</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98756.307847321033</v>
      </c>
      <c r="C4" s="445">
        <f>huishoudens!C8</f>
        <v>0</v>
      </c>
      <c r="D4" s="445">
        <f>huishoudens!D8</f>
        <v>191203.85158326596</v>
      </c>
      <c r="E4" s="445">
        <f>huishoudens!E8</f>
        <v>3037.3565280392086</v>
      </c>
      <c r="F4" s="445">
        <f>huishoudens!F8</f>
        <v>103678.32943233193</v>
      </c>
      <c r="G4" s="445">
        <f>huishoudens!G8</f>
        <v>0</v>
      </c>
      <c r="H4" s="445">
        <f>huishoudens!H8</f>
        <v>0</v>
      </c>
      <c r="I4" s="445">
        <f>huishoudens!I8</f>
        <v>0</v>
      </c>
      <c r="J4" s="445">
        <f>huishoudens!J8</f>
        <v>2334.5731244763524</v>
      </c>
      <c r="K4" s="445">
        <f>huishoudens!K8</f>
        <v>0</v>
      </c>
      <c r="L4" s="445">
        <f>huishoudens!L8</f>
        <v>0</v>
      </c>
      <c r="M4" s="445">
        <f>huishoudens!M8</f>
        <v>0</v>
      </c>
      <c r="N4" s="445">
        <f>huishoudens!N8</f>
        <v>22418.343954444328</v>
      </c>
      <c r="O4" s="445">
        <f>huishoudens!O8</f>
        <v>492.45</v>
      </c>
      <c r="P4" s="446">
        <f>huishoudens!P8</f>
        <v>552.93333333333339</v>
      </c>
      <c r="Q4" s="447">
        <f>SUM(B4:P4)</f>
        <v>422474.14580321219</v>
      </c>
    </row>
    <row r="5" spans="1:17">
      <c r="A5" s="444" t="s">
        <v>149</v>
      </c>
      <c r="B5" s="445">
        <f ca="1">tertiair!B16</f>
        <v>132662.91311497189</v>
      </c>
      <c r="C5" s="445">
        <f ca="1">tertiair!C16</f>
        <v>211.07142857142858</v>
      </c>
      <c r="D5" s="445">
        <f ca="1">tertiair!D16</f>
        <v>62379.995957328443</v>
      </c>
      <c r="E5" s="445">
        <f>tertiair!E16</f>
        <v>3589.3635412951617</v>
      </c>
      <c r="F5" s="445">
        <f ca="1">tertiair!F16</f>
        <v>22583.252335887628</v>
      </c>
      <c r="G5" s="445">
        <f>tertiair!G16</f>
        <v>0</v>
      </c>
      <c r="H5" s="445">
        <f>tertiair!H16</f>
        <v>0</v>
      </c>
      <c r="I5" s="445">
        <f>tertiair!I16</f>
        <v>0</v>
      </c>
      <c r="J5" s="445">
        <f>tertiair!J16</f>
        <v>0</v>
      </c>
      <c r="K5" s="445">
        <f>tertiair!K16</f>
        <v>0</v>
      </c>
      <c r="L5" s="445">
        <f ca="1">tertiair!L16</f>
        <v>0</v>
      </c>
      <c r="M5" s="445">
        <f>tertiair!M16</f>
        <v>0</v>
      </c>
      <c r="N5" s="445">
        <f ca="1">tertiair!N16</f>
        <v>3245.7661568218195</v>
      </c>
      <c r="O5" s="445">
        <f>tertiair!O16</f>
        <v>1.5633333333333335</v>
      </c>
      <c r="P5" s="446">
        <f>tertiair!P16</f>
        <v>19.066666666666666</v>
      </c>
      <c r="Q5" s="444">
        <f t="shared" ref="Q5:Q14" ca="1" si="0">SUM(B5:P5)</f>
        <v>224692.99253487639</v>
      </c>
    </row>
    <row r="6" spans="1:17">
      <c r="A6" s="444" t="s">
        <v>187</v>
      </c>
      <c r="B6" s="445">
        <f>'openbare verlichting'!B8</f>
        <v>3075.0810000000001</v>
      </c>
      <c r="C6" s="445"/>
      <c r="D6" s="445"/>
      <c r="E6" s="445"/>
      <c r="F6" s="445"/>
      <c r="G6" s="445"/>
      <c r="H6" s="445"/>
      <c r="I6" s="445"/>
      <c r="J6" s="445"/>
      <c r="K6" s="445"/>
      <c r="L6" s="445"/>
      <c r="M6" s="445"/>
      <c r="N6" s="445"/>
      <c r="O6" s="445"/>
      <c r="P6" s="446"/>
      <c r="Q6" s="444">
        <f t="shared" si="0"/>
        <v>3075.0810000000001</v>
      </c>
    </row>
    <row r="7" spans="1:17">
      <c r="A7" s="444" t="s">
        <v>105</v>
      </c>
      <c r="B7" s="445">
        <f>landbouw!B8</f>
        <v>9873.2063815045713</v>
      </c>
      <c r="C7" s="445">
        <f>landbouw!C8</f>
        <v>88650</v>
      </c>
      <c r="D7" s="445">
        <f>landbouw!D8</f>
        <v>0</v>
      </c>
      <c r="E7" s="445">
        <f>landbouw!E8</f>
        <v>88.97011749206213</v>
      </c>
      <c r="F7" s="445">
        <f>landbouw!F8</f>
        <v>36995.205434320953</v>
      </c>
      <c r="G7" s="445">
        <f>landbouw!G8</f>
        <v>0</v>
      </c>
      <c r="H7" s="445">
        <f>landbouw!H8</f>
        <v>0</v>
      </c>
      <c r="I7" s="445">
        <f>landbouw!I8</f>
        <v>0</v>
      </c>
      <c r="J7" s="445">
        <f>landbouw!J8</f>
        <v>999.12765136689961</v>
      </c>
      <c r="K7" s="445">
        <f>landbouw!K8</f>
        <v>0</v>
      </c>
      <c r="L7" s="445">
        <f>landbouw!L8</f>
        <v>0</v>
      </c>
      <c r="M7" s="445">
        <f>landbouw!M8</f>
        <v>0</v>
      </c>
      <c r="N7" s="445">
        <f>landbouw!N8</f>
        <v>0</v>
      </c>
      <c r="O7" s="445">
        <f>landbouw!O8</f>
        <v>0</v>
      </c>
      <c r="P7" s="446">
        <f>landbouw!P8</f>
        <v>0</v>
      </c>
      <c r="Q7" s="444">
        <f t="shared" si="0"/>
        <v>136606.50958468448</v>
      </c>
    </row>
    <row r="8" spans="1:17">
      <c r="A8" s="444" t="s">
        <v>613</v>
      </c>
      <c r="B8" s="445">
        <f>industrie!B18</f>
        <v>127957.90401412264</v>
      </c>
      <c r="C8" s="445">
        <f>industrie!C18</f>
        <v>0</v>
      </c>
      <c r="D8" s="445">
        <f>industrie!D18</f>
        <v>26907.565531344546</v>
      </c>
      <c r="E8" s="445">
        <f>industrie!E18</f>
        <v>1289.0443883375499</v>
      </c>
      <c r="F8" s="445">
        <f>industrie!F18</f>
        <v>39533.050063149625</v>
      </c>
      <c r="G8" s="445">
        <f>industrie!G18</f>
        <v>0</v>
      </c>
      <c r="H8" s="445">
        <f>industrie!H18</f>
        <v>0</v>
      </c>
      <c r="I8" s="445">
        <f>industrie!I18</f>
        <v>0</v>
      </c>
      <c r="J8" s="445">
        <f>industrie!J18</f>
        <v>472.15144129622888</v>
      </c>
      <c r="K8" s="445">
        <f>industrie!K18</f>
        <v>0</v>
      </c>
      <c r="L8" s="445">
        <f>industrie!L18</f>
        <v>0</v>
      </c>
      <c r="M8" s="445">
        <f>industrie!M18</f>
        <v>0</v>
      </c>
      <c r="N8" s="445">
        <f>industrie!N18</f>
        <v>0</v>
      </c>
      <c r="O8" s="445">
        <f>industrie!O18</f>
        <v>0</v>
      </c>
      <c r="P8" s="446">
        <f>industrie!P18</f>
        <v>0</v>
      </c>
      <c r="Q8" s="444">
        <f t="shared" si="0"/>
        <v>196159.7154382506</v>
      </c>
    </row>
    <row r="9" spans="1:17" s="450" customFormat="1">
      <c r="A9" s="448" t="s">
        <v>555</v>
      </c>
      <c r="B9" s="449">
        <f>transport!B14</f>
        <v>5.7323197343187271</v>
      </c>
      <c r="C9" s="449">
        <f>transport!C14</f>
        <v>0</v>
      </c>
      <c r="D9" s="449">
        <f>transport!D14</f>
        <v>17.614161166469312</v>
      </c>
      <c r="E9" s="449">
        <f>transport!E14</f>
        <v>2044.8831203825048</v>
      </c>
      <c r="F9" s="449">
        <f>transport!F14</f>
        <v>0</v>
      </c>
      <c r="G9" s="449">
        <f>transport!G14</f>
        <v>558090.08457009436</v>
      </c>
      <c r="H9" s="449">
        <f>transport!H14</f>
        <v>62802.615376823051</v>
      </c>
      <c r="I9" s="449">
        <f>transport!I14</f>
        <v>0</v>
      </c>
      <c r="J9" s="449">
        <f>transport!J14</f>
        <v>0</v>
      </c>
      <c r="K9" s="449">
        <f>transport!K14</f>
        <v>0</v>
      </c>
      <c r="L9" s="449">
        <f>transport!L14</f>
        <v>0</v>
      </c>
      <c r="M9" s="449">
        <f>transport!M14</f>
        <v>26932.554408124117</v>
      </c>
      <c r="N9" s="449">
        <f>transport!N14</f>
        <v>0</v>
      </c>
      <c r="O9" s="449">
        <f>transport!O14</f>
        <v>0</v>
      </c>
      <c r="P9" s="449">
        <f>transport!P14</f>
        <v>0</v>
      </c>
      <c r="Q9" s="448">
        <f>SUM(B9:P9)</f>
        <v>649893.48395632475</v>
      </c>
    </row>
    <row r="10" spans="1:17">
      <c r="A10" s="444" t="s">
        <v>545</v>
      </c>
      <c r="B10" s="445">
        <f>transport!B54</f>
        <v>19.609689920617342</v>
      </c>
      <c r="C10" s="445">
        <f>transport!C54</f>
        <v>0</v>
      </c>
      <c r="D10" s="445">
        <f>transport!D54</f>
        <v>0</v>
      </c>
      <c r="E10" s="445">
        <f>transport!E54</f>
        <v>0</v>
      </c>
      <c r="F10" s="445">
        <f>transport!F54</f>
        <v>0</v>
      </c>
      <c r="G10" s="445">
        <f>transport!G54</f>
        <v>4254.1253497687585</v>
      </c>
      <c r="H10" s="445">
        <f>transport!H54</f>
        <v>0</v>
      </c>
      <c r="I10" s="445">
        <f>transport!I54</f>
        <v>0</v>
      </c>
      <c r="J10" s="445">
        <f>transport!J54</f>
        <v>0</v>
      </c>
      <c r="K10" s="445">
        <f>transport!K54</f>
        <v>0</v>
      </c>
      <c r="L10" s="445">
        <f>transport!L54</f>
        <v>0</v>
      </c>
      <c r="M10" s="445">
        <f>transport!M54</f>
        <v>182.14530632223457</v>
      </c>
      <c r="N10" s="445">
        <f>transport!N54</f>
        <v>0</v>
      </c>
      <c r="O10" s="445">
        <f>transport!O54</f>
        <v>0</v>
      </c>
      <c r="P10" s="446">
        <f>transport!P54</f>
        <v>0</v>
      </c>
      <c r="Q10" s="444">
        <f t="shared" si="0"/>
        <v>4455.8803460116105</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5061.0700253527202</v>
      </c>
      <c r="C14" s="452"/>
      <c r="D14" s="452">
        <f>'SEAP template'!E25</f>
        <v>36163.727625013598</v>
      </c>
      <c r="E14" s="452"/>
      <c r="F14" s="452"/>
      <c r="G14" s="452"/>
      <c r="H14" s="452"/>
      <c r="I14" s="452"/>
      <c r="J14" s="452"/>
      <c r="K14" s="452"/>
      <c r="L14" s="452"/>
      <c r="M14" s="452"/>
      <c r="N14" s="452"/>
      <c r="O14" s="452"/>
      <c r="P14" s="453"/>
      <c r="Q14" s="444">
        <f t="shared" si="0"/>
        <v>41224.797650366316</v>
      </c>
    </row>
    <row r="15" spans="1:17" s="457" customFormat="1">
      <c r="A15" s="454" t="s">
        <v>549</v>
      </c>
      <c r="B15" s="455">
        <f ca="1">SUM(B4:B14)</f>
        <v>377411.82439292775</v>
      </c>
      <c r="C15" s="455">
        <f t="shared" ref="C15:Q15" ca="1" si="1">SUM(C4:C14)</f>
        <v>88861.071428571435</v>
      </c>
      <c r="D15" s="455">
        <f t="shared" ca="1" si="1"/>
        <v>316672.75485811906</v>
      </c>
      <c r="E15" s="455">
        <f t="shared" si="1"/>
        <v>10049.617695546487</v>
      </c>
      <c r="F15" s="455">
        <f t="shared" ca="1" si="1"/>
        <v>202789.83726569015</v>
      </c>
      <c r="G15" s="455">
        <f t="shared" si="1"/>
        <v>562344.20991986315</v>
      </c>
      <c r="H15" s="455">
        <f t="shared" si="1"/>
        <v>62802.615376823051</v>
      </c>
      <c r="I15" s="455">
        <f t="shared" si="1"/>
        <v>0</v>
      </c>
      <c r="J15" s="455">
        <f t="shared" si="1"/>
        <v>3805.8522171394807</v>
      </c>
      <c r="K15" s="455">
        <f t="shared" si="1"/>
        <v>0</v>
      </c>
      <c r="L15" s="455">
        <f t="shared" ca="1" si="1"/>
        <v>0</v>
      </c>
      <c r="M15" s="455">
        <f t="shared" si="1"/>
        <v>27114.699714446353</v>
      </c>
      <c r="N15" s="455">
        <f t="shared" ca="1" si="1"/>
        <v>25664.110111266149</v>
      </c>
      <c r="O15" s="455">
        <f t="shared" si="1"/>
        <v>494.01333333333332</v>
      </c>
      <c r="P15" s="455">
        <f t="shared" si="1"/>
        <v>572.00000000000011</v>
      </c>
      <c r="Q15" s="455">
        <f t="shared" ca="1" si="1"/>
        <v>1678582.6063137264</v>
      </c>
    </row>
    <row r="17" spans="1:17">
      <c r="A17" s="458" t="s">
        <v>550</v>
      </c>
      <c r="B17" s="725">
        <f ca="1">huishoudens!B10</f>
        <v>0.1935525017198253</v>
      </c>
      <c r="C17" s="725">
        <f ca="1">huishoudens!C10</f>
        <v>0.19925652993874163</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19114.530444462202</v>
      </c>
      <c r="C22" s="445">
        <f t="shared" ref="C22:C32" ca="1" si="3">C4*$C$17</f>
        <v>0</v>
      </c>
      <c r="D22" s="445">
        <f t="shared" ref="D22:D32" si="4">D4*$D$17</f>
        <v>38623.17801981973</v>
      </c>
      <c r="E22" s="445">
        <f t="shared" ref="E22:E32" si="5">E4*$E$17</f>
        <v>689.47993186490032</v>
      </c>
      <c r="F22" s="445">
        <f t="shared" ref="F22:F32" si="6">F4*$F$17</f>
        <v>27682.113958432627</v>
      </c>
      <c r="G22" s="445">
        <f t="shared" ref="G22:G32" si="7">G4*$G$17</f>
        <v>0</v>
      </c>
      <c r="H22" s="445">
        <f t="shared" ref="H22:H32" si="8">H4*$H$17</f>
        <v>0</v>
      </c>
      <c r="I22" s="445">
        <f t="shared" ref="I22:I32" si="9">I4*$I$17</f>
        <v>0</v>
      </c>
      <c r="J22" s="445">
        <f t="shared" ref="J22:J32" si="10">J4*$J$17</f>
        <v>826.43888606462872</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86935.741240644085</v>
      </c>
    </row>
    <row r="23" spans="1:17">
      <c r="A23" s="444" t="s">
        <v>149</v>
      </c>
      <c r="B23" s="445">
        <f t="shared" ca="1" si="2"/>
        <v>25677.238718842629</v>
      </c>
      <c r="C23" s="445">
        <f t="shared" ca="1" si="3"/>
        <v>42.057360426355828</v>
      </c>
      <c r="D23" s="445">
        <f t="shared" ca="1" si="4"/>
        <v>12600.759183380347</v>
      </c>
      <c r="E23" s="445">
        <f t="shared" si="5"/>
        <v>814.78552387400168</v>
      </c>
      <c r="F23" s="445">
        <f t="shared" ca="1" si="6"/>
        <v>6029.7283736819973</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45164.569160205327</v>
      </c>
    </row>
    <row r="24" spans="1:17">
      <c r="A24" s="444" t="s">
        <v>187</v>
      </c>
      <c r="B24" s="445">
        <f t="shared" ca="1" si="2"/>
        <v>595.18962054110216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595.18962054110216</v>
      </c>
    </row>
    <row r="25" spans="1:17">
      <c r="A25" s="444" t="s">
        <v>105</v>
      </c>
      <c r="B25" s="445">
        <f t="shared" ca="1" si="2"/>
        <v>1910.9837951363536</v>
      </c>
      <c r="C25" s="445">
        <f t="shared" ca="1" si="3"/>
        <v>17664.091379069447</v>
      </c>
      <c r="D25" s="445">
        <f t="shared" si="4"/>
        <v>0</v>
      </c>
      <c r="E25" s="445">
        <f t="shared" si="5"/>
        <v>20.196216670698103</v>
      </c>
      <c r="F25" s="445">
        <f t="shared" si="6"/>
        <v>9877.7198509636946</v>
      </c>
      <c r="G25" s="445">
        <f t="shared" si="7"/>
        <v>0</v>
      </c>
      <c r="H25" s="445">
        <f t="shared" si="8"/>
        <v>0</v>
      </c>
      <c r="I25" s="445">
        <f t="shared" si="9"/>
        <v>0</v>
      </c>
      <c r="J25" s="445">
        <f t="shared" si="10"/>
        <v>353.69118858388242</v>
      </c>
      <c r="K25" s="445">
        <f t="shared" si="11"/>
        <v>0</v>
      </c>
      <c r="L25" s="445">
        <f t="shared" si="12"/>
        <v>0</v>
      </c>
      <c r="M25" s="445">
        <f t="shared" si="13"/>
        <v>0</v>
      </c>
      <c r="N25" s="445">
        <f t="shared" si="14"/>
        <v>0</v>
      </c>
      <c r="O25" s="445">
        <f t="shared" si="15"/>
        <v>0</v>
      </c>
      <c r="P25" s="446">
        <f t="shared" si="16"/>
        <v>0</v>
      </c>
      <c r="Q25" s="444">
        <f t="shared" ca="1" si="17"/>
        <v>29826.682430424076</v>
      </c>
    </row>
    <row r="26" spans="1:17">
      <c r="A26" s="444" t="s">
        <v>613</v>
      </c>
      <c r="B26" s="445">
        <f t="shared" ca="1" si="2"/>
        <v>24766.572436758714</v>
      </c>
      <c r="C26" s="445">
        <f t="shared" ca="1" si="3"/>
        <v>0</v>
      </c>
      <c r="D26" s="445">
        <f t="shared" si="4"/>
        <v>5435.3282373315988</v>
      </c>
      <c r="E26" s="445">
        <f t="shared" si="5"/>
        <v>292.61307615262382</v>
      </c>
      <c r="F26" s="445">
        <f t="shared" si="6"/>
        <v>10555.32436686095</v>
      </c>
      <c r="G26" s="445">
        <f t="shared" si="7"/>
        <v>0</v>
      </c>
      <c r="H26" s="445">
        <f t="shared" si="8"/>
        <v>0</v>
      </c>
      <c r="I26" s="445">
        <f t="shared" si="9"/>
        <v>0</v>
      </c>
      <c r="J26" s="445">
        <f t="shared" si="10"/>
        <v>167.14161021886503</v>
      </c>
      <c r="K26" s="445">
        <f t="shared" si="11"/>
        <v>0</v>
      </c>
      <c r="L26" s="445">
        <f t="shared" si="12"/>
        <v>0</v>
      </c>
      <c r="M26" s="445">
        <f t="shared" si="13"/>
        <v>0</v>
      </c>
      <c r="N26" s="445">
        <f t="shared" si="14"/>
        <v>0</v>
      </c>
      <c r="O26" s="445">
        <f t="shared" si="15"/>
        <v>0</v>
      </c>
      <c r="P26" s="446">
        <f t="shared" si="16"/>
        <v>0</v>
      </c>
      <c r="Q26" s="444">
        <f t="shared" ca="1" si="17"/>
        <v>41216.97972732276</v>
      </c>
    </row>
    <row r="27" spans="1:17" s="450" customFormat="1">
      <c r="A27" s="448" t="s">
        <v>555</v>
      </c>
      <c r="B27" s="719">
        <f t="shared" ca="1" si="2"/>
        <v>1.1095048252353139</v>
      </c>
      <c r="C27" s="449">
        <f t="shared" ca="1" si="3"/>
        <v>0</v>
      </c>
      <c r="D27" s="449">
        <f t="shared" si="4"/>
        <v>3.5580605556268012</v>
      </c>
      <c r="E27" s="449">
        <f t="shared" si="5"/>
        <v>464.18846832682863</v>
      </c>
      <c r="F27" s="449">
        <f t="shared" si="6"/>
        <v>0</v>
      </c>
      <c r="G27" s="449">
        <f t="shared" si="7"/>
        <v>149010.05258021521</v>
      </c>
      <c r="H27" s="449">
        <f t="shared" si="8"/>
        <v>15637.85122882894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165116.75984275184</v>
      </c>
    </row>
    <row r="28" spans="1:17">
      <c r="A28" s="444" t="s">
        <v>545</v>
      </c>
      <c r="B28" s="445">
        <f t="shared" ca="1" si="2"/>
        <v>3.7955045420855287</v>
      </c>
      <c r="C28" s="445">
        <f t="shared" ca="1" si="3"/>
        <v>0</v>
      </c>
      <c r="D28" s="445">
        <f t="shared" si="4"/>
        <v>0</v>
      </c>
      <c r="E28" s="445">
        <f t="shared" si="5"/>
        <v>0</v>
      </c>
      <c r="F28" s="445">
        <f t="shared" si="6"/>
        <v>0</v>
      </c>
      <c r="G28" s="445">
        <f t="shared" si="7"/>
        <v>1135.8514683882586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1139.6469729303442</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979.58276478623861</v>
      </c>
      <c r="C32" s="445">
        <f t="shared" ca="1" si="3"/>
        <v>0</v>
      </c>
      <c r="D32" s="445">
        <f t="shared" si="4"/>
        <v>7305.0729802527476</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8284.6557450389864</v>
      </c>
    </row>
    <row r="33" spans="1:17" s="457" customFormat="1">
      <c r="A33" s="454" t="s">
        <v>549</v>
      </c>
      <c r="B33" s="455">
        <f ca="1">SUM(B22:B32)</f>
        <v>73049.002789894541</v>
      </c>
      <c r="C33" s="455">
        <f t="shared" ref="C33:Q33" ca="1" si="19">SUM(C22:C32)</f>
        <v>17706.148739495802</v>
      </c>
      <c r="D33" s="455">
        <f t="shared" ca="1" si="19"/>
        <v>63967.896481340045</v>
      </c>
      <c r="E33" s="455">
        <f t="shared" si="19"/>
        <v>2281.2632168890523</v>
      </c>
      <c r="F33" s="455">
        <f t="shared" ca="1" si="19"/>
        <v>54144.88654993927</v>
      </c>
      <c r="G33" s="455">
        <f t="shared" si="19"/>
        <v>150145.90404860346</v>
      </c>
      <c r="H33" s="455">
        <f t="shared" si="19"/>
        <v>15637.85122882894</v>
      </c>
      <c r="I33" s="455">
        <f t="shared" si="19"/>
        <v>0</v>
      </c>
      <c r="J33" s="455">
        <f t="shared" si="19"/>
        <v>1347.2716848673763</v>
      </c>
      <c r="K33" s="455">
        <f t="shared" si="19"/>
        <v>0</v>
      </c>
      <c r="L33" s="455">
        <f t="shared" ca="1" si="19"/>
        <v>0</v>
      </c>
      <c r="M33" s="455">
        <f t="shared" si="19"/>
        <v>0</v>
      </c>
      <c r="N33" s="455">
        <f t="shared" ca="1" si="19"/>
        <v>0</v>
      </c>
      <c r="O33" s="455">
        <f t="shared" si="19"/>
        <v>0</v>
      </c>
      <c r="P33" s="455">
        <f t="shared" si="19"/>
        <v>0</v>
      </c>
      <c r="Q33" s="455">
        <f t="shared" ca="1" si="19"/>
        <v>378280.22473985853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14206.070468537737</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23577.353823722642</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10048.5</v>
      </c>
      <c r="C8" s="963">
        <f>'SEAP template'!C76</f>
        <v>52154.25</v>
      </c>
      <c r="D8" s="963">
        <f>'SEAP template'!D76</f>
        <v>61357.941176470602</v>
      </c>
      <c r="E8" s="963">
        <f>'SEAP template'!E76</f>
        <v>0</v>
      </c>
      <c r="F8" s="963">
        <f>'SEAP template'!F76</f>
        <v>0</v>
      </c>
      <c r="G8" s="963">
        <f>'SEAP template'!G76</f>
        <v>0</v>
      </c>
      <c r="H8" s="963">
        <f>'SEAP template'!H76</f>
        <v>0</v>
      </c>
      <c r="I8" s="963">
        <f>'SEAP template'!I76</f>
        <v>0</v>
      </c>
      <c r="J8" s="963">
        <f>'SEAP template'!J76</f>
        <v>11821.764705882355</v>
      </c>
      <c r="K8" s="963">
        <f>'SEAP template'!K76</f>
        <v>0</v>
      </c>
      <c r="L8" s="963">
        <f>'SEAP template'!L76</f>
        <v>0</v>
      </c>
      <c r="M8" s="963">
        <f>'SEAP template'!M76</f>
        <v>0</v>
      </c>
      <c r="N8" s="963">
        <f>'SEAP template'!N76</f>
        <v>0</v>
      </c>
      <c r="O8" s="963">
        <f>'SEAP template'!O76</f>
        <v>0</v>
      </c>
      <c r="P8" s="964">
        <f>'SEAP template'!Q76</f>
        <v>12394.304117647062</v>
      </c>
    </row>
    <row r="9" spans="1:16">
      <c r="A9" s="966" t="s">
        <v>877</v>
      </c>
      <c r="B9" s="963">
        <f>'SEAP template'!B77</f>
        <v>2970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8485.7142857142862</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50801.924292260381</v>
      </c>
      <c r="C10" s="967">
        <f>SUM(C4:C9)</f>
        <v>52154.25</v>
      </c>
      <c r="D10" s="967">
        <f t="shared" ref="D10:H10" si="0">SUM(D8:D9)</f>
        <v>61357.941176470602</v>
      </c>
      <c r="E10" s="967">
        <f t="shared" si="0"/>
        <v>0</v>
      </c>
      <c r="F10" s="967">
        <f t="shared" si="0"/>
        <v>0</v>
      </c>
      <c r="G10" s="967">
        <f t="shared" si="0"/>
        <v>0</v>
      </c>
      <c r="H10" s="967">
        <f t="shared" si="0"/>
        <v>0</v>
      </c>
      <c r="I10" s="967">
        <f>SUM(I8:I9)</f>
        <v>0</v>
      </c>
      <c r="J10" s="967">
        <f>SUM(J8:J9)</f>
        <v>20307.478991596639</v>
      </c>
      <c r="K10" s="967">
        <f t="shared" ref="K10:L10" si="1">SUM(K8:K9)</f>
        <v>0</v>
      </c>
      <c r="L10" s="967">
        <f t="shared" si="1"/>
        <v>0</v>
      </c>
      <c r="M10" s="967">
        <f>SUM(M8:M9)</f>
        <v>0</v>
      </c>
      <c r="N10" s="967">
        <f>SUM(N8:N9)</f>
        <v>0</v>
      </c>
      <c r="O10" s="967">
        <f>SUM(O8:O9)</f>
        <v>0</v>
      </c>
      <c r="P10" s="967">
        <f>SUM(P8:P9)</f>
        <v>12394.304117647062</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0.1935525017198253</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14355.000000000002</v>
      </c>
      <c r="C17" s="970">
        <f>'SEAP template'!C87</f>
        <v>74506.071428571435</v>
      </c>
      <c r="D17" s="964">
        <f>'SEAP template'!D87</f>
        <v>87654.201680672282</v>
      </c>
      <c r="E17" s="964">
        <f>'SEAP template'!E87</f>
        <v>0</v>
      </c>
      <c r="F17" s="964">
        <f>'SEAP template'!F87</f>
        <v>0</v>
      </c>
      <c r="G17" s="964">
        <f>'SEAP template'!G87</f>
        <v>0</v>
      </c>
      <c r="H17" s="964">
        <f>'SEAP template'!H87</f>
        <v>0</v>
      </c>
      <c r="I17" s="964">
        <f>'SEAP template'!I87</f>
        <v>0</v>
      </c>
      <c r="J17" s="964">
        <f>'SEAP template'!J87</f>
        <v>16888.23529411765</v>
      </c>
      <c r="K17" s="964">
        <f>'SEAP template'!K87</f>
        <v>0</v>
      </c>
      <c r="L17" s="964">
        <f>'SEAP template'!L87</f>
        <v>0</v>
      </c>
      <c r="M17" s="964">
        <f>'SEAP template'!M87</f>
        <v>0</v>
      </c>
      <c r="N17" s="964">
        <f>'SEAP template'!N87</f>
        <v>0</v>
      </c>
      <c r="O17" s="964">
        <f>'SEAP template'!O87</f>
        <v>0</v>
      </c>
      <c r="P17" s="964">
        <f>'SEAP template'!Q87</f>
        <v>17706.148739495802</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14355.000000000002</v>
      </c>
      <c r="C20" s="967">
        <f>SUM(C17:C19)</f>
        <v>74506.071428571435</v>
      </c>
      <c r="D20" s="967">
        <f t="shared" ref="D20:H20" si="2">SUM(D17:D19)</f>
        <v>87654.201680672282</v>
      </c>
      <c r="E20" s="967">
        <f t="shared" si="2"/>
        <v>0</v>
      </c>
      <c r="F20" s="967">
        <f t="shared" si="2"/>
        <v>0</v>
      </c>
      <c r="G20" s="967">
        <f t="shared" si="2"/>
        <v>0</v>
      </c>
      <c r="H20" s="967">
        <f t="shared" si="2"/>
        <v>0</v>
      </c>
      <c r="I20" s="967">
        <f>SUM(I17:I19)</f>
        <v>0</v>
      </c>
      <c r="J20" s="967">
        <f>SUM(J17:J19)</f>
        <v>16888.23529411765</v>
      </c>
      <c r="K20" s="967">
        <f t="shared" ref="K20:L20" si="3">SUM(K17:K19)</f>
        <v>0</v>
      </c>
      <c r="L20" s="967">
        <f t="shared" si="3"/>
        <v>0</v>
      </c>
      <c r="M20" s="967">
        <f>SUM(M17:M19)</f>
        <v>0</v>
      </c>
      <c r="N20" s="967">
        <f>SUM(N17:N19)</f>
        <v>0</v>
      </c>
      <c r="O20" s="967">
        <f>SUM(O17:O19)</f>
        <v>0</v>
      </c>
      <c r="P20" s="967">
        <f>SUM(P17:P19)</f>
        <v>17706.148739495802</v>
      </c>
    </row>
    <row r="22" spans="1:16">
      <c r="A22" s="458" t="s">
        <v>885</v>
      </c>
      <c r="B22" s="725" t="s">
        <v>879</v>
      </c>
      <c r="C22" s="725">
        <f ca="1">'EF ele_warmte'!B22</f>
        <v>0.19925652993874163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0.1935525017198253</v>
      </c>
      <c r="C17" s="494">
        <f ca="1">'EF ele_warmte'!B22</f>
        <v>0.19925652993874163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2022-07-26T13:04:04Z</dcterms:modified>
</cp:coreProperties>
</file>