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ADAF1E0-8CB8-459D-A596-2A2A5744805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<sst xmlns="http://schemas.openxmlformats.org/spreadsheetml/2006/main" count="2518" uniqueCount="965">
  <si>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</si>
  <si>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</si>
  <si>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</si>
  <si>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</si>
  <si>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</si>
  <si>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</si>
  <si>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</si>
  <si>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</si>
  <si>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</si>
  <si>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</si>
  <si>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</si>
  <si>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</si>
  <si>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</si>
  <si>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</si>
  <si>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</si>
  <si>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</si>
  <si>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</si>
  <si>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</si>
  <si>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</si>
  <si>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</si>
  <si>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</si>
  <si>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</si>
  <si>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</si>
  <si>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</si>
  <si>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</si>
  <si>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</si>
  <si>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</si>
  <si>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</si>
  <si>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</si>
  <si>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</si>
  <si>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</si>
  <si>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</si>
  <si>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</si>
  <si>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</si>
  <si>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</si>
  <si>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</si>
  <si>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</si>
  <si>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</si>
  <si>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</si>
  <si>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</si>
  <si>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</si>
  <si>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</si>
  <si>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</si>
  <si>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</si>
  <si>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</si>
  <si>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</si>
  <si>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</si>
  <si>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</si>
  <si>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</si>
  <si>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</si>
  <si>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</si>
  <si>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</si>
  <si>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</si>
  <si>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</si>
  <si>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</si>
  <si>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</si>
  <si>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</si>
  <si>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</si>
  <si>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</si>
  <si>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</si>
  <si>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</si>
  <si>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</si>
  <si>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</si>
  <si>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</si>
  <si>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</si>
  <si>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</si>
  <si>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</si>
  <si>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</si>
  <si>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</si>
  <si>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</si>
  <si>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</si>
  <si>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</si>
  <si>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</si>
  <si>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</si>
  <si>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</si>
  <si>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</si>
  <si>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</si>
  <si>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</si>
  <si>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</si>
  <si>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</si>
  <si>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</si>
  <si>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</si>
  <si>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</si>
  <si>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</si>
  <si>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</si>
  <si>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</si>
  <si>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</si>
  <si>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</si>
  <si>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</si>
  <si>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</si>
  <si>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</si>
  <si>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</si>
  <si>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</si>
  <si>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</si>
  <si>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</si>
  <si>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</si>
  <si>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</si>
  <si>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</si>
  <si>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</si>
  <si>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</si>
  <si>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</si>
  <si>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</si>
  <si>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</si>
  <si>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</si>
  <si>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</si>
  <si>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</si>
  <si>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</si>
  <si>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</si>
  <si>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</si>
  <si>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</si>
  <si>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</si>
  <si>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</si>
  <si>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</si>
  <si>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</si>
  <si>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</si>
  <si>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</si>
  <si>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</si>
  <si>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</si>
  <si>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</si>
  <si>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</si>
  <si>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</si>
  <si>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</si>
  <si>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</si>
  <si>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</si>
  <si>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</si>
  <si>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</si>
  <si>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</si>
  <si>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</si>
  <si>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</si>
  <si>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</si>
  <si>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</si>
  <si>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</si>
  <si>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</si>
  <si>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</si>
  <si>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</si>
  <si>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</si>
  <si>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</si>
  <si>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</si>
  <si>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</si>
  <si>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</si>
  <si>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</si>
  <si>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</si>
  <si>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</si>
  <si>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</si>
  <si>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</si>
  <si>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</si>
  <si>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</si>
  <si>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</si>
  <si>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</si>
  <si>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</si>
  <si>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</si>
  <si>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</si>
  <si>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</si>
  <si>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</si>
  <si>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</si>
  <si>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</si>
  <si>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</si>
  <si>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</si>
  <si>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</si>
  <si>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</si>
  <si>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</si>
  <si>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</si>
  <si>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</si>
  <si>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</si>
  <si>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</si>
  <si>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</si>
  <si>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</si>
  <si>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</si>
  <si>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</si>
  <si>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</si>
  <si>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</si>
  <si>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</si>
  <si>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</si>
  <si>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</si>
  <si>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</si>
  <si>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</si>
  <si>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</si>
  <si>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</si>
  <si>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</si>
  <si>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</si>
  <si>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</si>
  <si>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</si>
  <si>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</si>
  <si>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</si>
  <si>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</si>
  <si>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</si>
  <si>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</si>
  <si>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</si>
  <si>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</si>
  <si>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</si>
  <si>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</si>
  <si>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</si>
  <si>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</si>
  <si>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</si>
  <si>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</si>
  <si>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</si>
  <si>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</si>
  <si>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</si>
  <si>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</si>
  <si>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</si>
  <si>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</si>
  <si>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</si>
  <si>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</si>
  <si>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</si>
  <si>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</si>
  <si>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</si>
  <si>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</si>
  <si>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</si>
  <si>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</si>
  <si>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</si>
  <si>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</si>
  <si>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</si>
  <si>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</si>
  <si>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</si>
  <si>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</si>
  <si>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</si>
  <si>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</si>
  <si>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</si>
  <si>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</si>
  <si>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</si>
  <si>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</si>
  <si>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</si>
  <si>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</si>
  <si>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</si>
  <si>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</si>
  <si>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</si>
  <si>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</si>
  <si>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</si>
  <si>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</si>
  <si>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</si>
  <si>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</si>
  <si>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</si>
  <si>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</si>
  <si>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</si>
  <si>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</si>
  <si>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</si>
  <si>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</si>
  <si>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</si>
  <si>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</si>
  <si>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</si>
  <si>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</si>
  <si>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</si>
  <si>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</si>
  <si>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</si>
  <si>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</si>
  <si>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</si>
  <si>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</si>
  <si>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</si>
  <si>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</si>
  <si>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</si>
  <si>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</si>
  <si>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</si>
  <si>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</si>
  <si>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</si>
  <si>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</si>
  <si>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</si>
  <si>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</si>
  <si>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</si>
  <si>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</si>
  <si>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</si>
  <si>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</si>
  <si>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</si>
  <si>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</si>
  <si>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</si>
  <si>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</si>
  <si>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</si>
  <si>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</si>
  <si>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</si>
  <si>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</si>
  <si>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</si>
  <si>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</si>
  <si>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</si>
  <si>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</si>
  <si>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</si>
  <si>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</si>
  <si>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</si>
  <si>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</si>
  <si>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</si>
  <si>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</si>
  <si>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</si>
  <si>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</si>
  <si>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</si>
  <si>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</si>
  <si>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</si>
  <si>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</si>
  <si>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</si>
  <si>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</si>
  <si>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</si>
  <si>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</si>
  <si>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</si>
  <si>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</si>
  <si>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</si>
  <si>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</si>
  <si>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</si>
  <si>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</si>
  <si>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</si>
  <si>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</si>
  <si>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</si>
  <si>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</si>
  <si>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</si>
  <si>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</si>
  <si>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</si>
  <si>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</si>
  <si>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</si>
  <si>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</si>
  <si>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</si>
  <si>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</si>
  <si>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</si>
  <si>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</si>
  <si>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</si>
  <si>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</si>
  <si>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</si>
  <si>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</si>
  <si>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</si>
  <si>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</si>
  <si>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</si>
  <si>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</si>
  <si>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</si>
  <si>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</si>
  <si>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</si>
  <si>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</si>
  <si>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</si>
  <si>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</si>
  <si>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</si>
  <si>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</si>
  <si>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</si>
  <si>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</si>
  <si>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</si>
  <si>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</si>
  <si>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</si>
  <si>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</si>
  <si>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</si>
  <si>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</si>
  <si>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</si>
  <si>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</si>
  <si>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</si>
  <si>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</si>
  <si>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</si>
  <si>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</si>
  <si>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</si>
  <si>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</si>
  <si>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</si>
  <si>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</si>
  <si>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</si>
  <si>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</si>
  <si>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</si>
  <si>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</si>
  <si>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</si>
  <si>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</si>
  <si>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</si>
  <si>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</si>
  <si>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</si>
  <si>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</si>
  <si>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</si>
  <si>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</si>
  <si>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</si>
  <si>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</si>
  <si>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</si>
  <si>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</si>
  <si>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</si>
  <si>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</si>
  <si>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</si>
  <si>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</si>
  <si>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</si>
  <si>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</si>
  <si>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</si>
  <si>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</si>
  <si>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</si>
  <si>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</si>
  <si>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</si>
  <si>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</si>
  <si>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</si>
  <si>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</si>
  <si>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</si>
  <si>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</si>
  <si>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</si>
  <si>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</si>
  <si>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</si>
  <si>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</si>
  <si>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</si>
  <si>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</si>
  <si>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</si>
  <si>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</si>
  <si>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</si>
  <si>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</si>
  <si>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</si>
  <si>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</si>
  <si>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</si>
  <si>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</si>
  <si>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</si>
  <si>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</si>
  <si>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</si>
  <si>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</si>
  <si>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</si>
  <si>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</si>
  <si>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</si>
  <si>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</si>
  <si>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</si>
  <si>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</si>
  <si>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</si>
  <si>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</si>
  <si>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</si>
  <si>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</si>
  <si>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</si>
  <si>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</si>
  <si>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</si>
  <si>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</si>
  <si>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</si>
  <si>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</si>
  <si>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</si>
  <si>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</si>
  <si>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</si>
  <si>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</si>
  <si>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</si>
  <si>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</si>
  <si>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</si>
  <si>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</si>
  <si>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</si>
  <si>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</si>
  <si>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</si>
  <si>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</si>
  <si>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</si>
  <si>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</si>
  <si>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</si>
  <si>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</si>
  <si>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</si>
  <si>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</si>
  <si>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</si>
  <si>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</si>
  <si>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</si>
  <si>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</si>
  <si>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</si>
  <si>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</si>
  <si>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</si>
  <si>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</si>
  <si>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</si>
  <si>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</si>
  <si>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</si>
  <si>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</si>
  <si>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</si>
  <si>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</si>
  <si>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</si>
  <si>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</si>
  <si>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</si>
  <si>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</si>
  <si>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</si>
  <si>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</si>
  <si>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</si>
  <si>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</si>
  <si>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</si>
  <si>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</si>
  <si>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</si>
  <si>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</si>
  <si>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</si>
  <si>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</si>
  <si>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</si>
  <si>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</si>
  <si>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</si>
  <si>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</si>
  <si>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</si>
  <si>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</si>
  <si>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</si>
  <si>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</si>
  <si>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</si>
  <si>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</si>
  <si>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</si>
  <si>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</si>
  <si>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</si>
  <si>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</si>
  <si>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</si>
  <si>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</si>
  <si>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</si>
  <si>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</si>
  <si>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</si>
  <si>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</si>
  <si>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</si>
  <si>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</si>
  <si>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</si>
  <si>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</si>
  <si>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</si>
  <si>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</si>
  <si>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</si>
  <si>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</si>
  <si>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</si>
  <si>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</si>
  <si>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</si>
  <si>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</si>
  <si>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</si>
  <si>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</si>
  <si>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</si>
  <si>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</si>
  <si>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</si>
  <si>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</si>
  <si>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</si>
  <si>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</si>
  <si>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</si>
  <si>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</si>
  <si>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</si>
  <si>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</si>
  <si>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</si>
  <si>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</si>
  <si>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</si>
  <si>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</si>
  <si>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</si>
  <si>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</si>
  <si>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</si>
  <si>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</si>
  <si>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</si>
  <si>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</si>
  <si>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</si>
  <si>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</si>
  <si>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</si>
  <si>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</si>
  <si>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</si>
  <si>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</si>
  <si>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</si>
  <si>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</si>
  <si>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</si>
  <si>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</si>
  <si>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</si>
  <si>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</si>
  <si>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</si>
  <si>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</si>
  <si>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</si>
  <si>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</si>
  <si>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</si>
  <si>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</si>
  <si>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</si>
  <si>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</si>
  <si>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</si>
  <si>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</si>
  <si>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</si>
  <si>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</si>
  <si>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</si>
  <si>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</si>
  <si>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</si>
  <si>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</si>
  <si>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</si>
  <si>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</si>
  <si>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</si>
  <si>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</si>
  <si>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</si>
  <si>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</si>
  <si>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</si>
  <si>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</si>
  <si>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</si>
  <si>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</si>
  <si>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</si>
  <si>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</si>
  <si>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</si>
  <si>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</si>
  <si>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</si>
  <si>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</si>
  <si>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</si>
  <si>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</si>
  <si>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</si>
  <si>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</si>
  <si>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</si>
  <si>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</si>
  <si>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</si>
  <si>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</si>
  <si>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</si>
  <si>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</si>
  <si>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</si>
  <si>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</si>
  <si>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</si>
  <si>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</si>
  <si>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</si>
  <si>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</si>
  <si>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</si>
  <si>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</si>
  <si>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</si>
  <si>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</si>
  <si>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</si>
  <si>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</si>
  <si>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</si>
  <si>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</si>
  <si>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</si>
  <si>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</si>
  <si>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</si>
  <si>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</si>
  <si>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</si>
  <si>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</si>
  <si>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</si>
  <si>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</si>
  <si>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</si>
  <si>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</si>
  <si>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</si>
  <si>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</si>
  <si>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</si>
  <si>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</si>
  <si>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</si>
  <si>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</si>
  <si>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</si>
  <si>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</si>
  <si>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</si>
  <si>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</si>
  <si>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</si>
  <si>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</si>
  <si>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</si>
  <si>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</si>
  <si>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</si>
  <si>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</si>
  <si>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</si>
  <si>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</si>
  <si>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</si>
  <si>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</si>
  <si>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</si>
  <si>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</si>
  <si>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</si>
  <si>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</si>
  <si>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</si>
  <si>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</si>
  <si>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</si>
  <si>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</si>
  <si>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</si>
  <si>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</si>
  <si>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</si>
  <si>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</si>
  <si>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</si>
  <si>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</si>
  <si>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</si>
  <si>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</si>
  <si>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</si>
  <si>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</si>
  <si>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</si>
  <si>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</si>
  <si>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</si>
  <si>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</si>
  <si>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</si>
  <si>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</si>
  <si>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</si>
  <si>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</si>
  <si>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</si>
  <si>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</si>
  <si>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</si>
  <si>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</si>
  <si>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</si>
  <si>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</si>
  <si>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</si>
  <si>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</si>
  <si>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</si>
  <si>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</si>
  <si>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</si>
  <si>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</si>
  <si>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</si>
  <si>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</si>
  <si>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</si>
  <si>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</si>
  <si>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</si>
  <si>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</si>
  <si>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</si>
  <si>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</si>
  <si>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</si>
  <si>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</si>
  <si>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</si>
  <si>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</si>
  <si>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</si>
  <si>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</si>
  <si>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</si>
  <si>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</si>
  <si>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</si>
  <si>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</si>
  <si>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</si>
  <si>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</si>
  <si>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</si>
  <si>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</si>
  <si>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</si>
  <si>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</si>
  <si>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</si>
  <si>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</si>
  <si>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</si>
  <si>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</si>
  <si>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</si>
  <si>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</si>
  <si>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</si>
  <si>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</si>
  <si>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</si>
  <si>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</si>
  <si>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</si>
  <si>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</si>
  <si>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</si>
  <si>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</si>
  <si>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</si>
  <si>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</si>
  <si>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</si>
  <si>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</si>
  <si>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</si>
  <si>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</si>
  <si>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</si>
  <si>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</si>
  <si>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</si>
  <si>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</si>
  <si>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</si>
  <si>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</si>
  <si>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</si>
  <si>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</si>
  <si>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</si>
  <si>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</si>
  <si>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</si>
  <si>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</si>
  <si>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</si>
  <si>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</si>
  <si>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</si>
  <si>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</si>
  <si>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</si>
  <si>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</si>
  <si>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</si>
  <si>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</si>
  <si>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</si>
  <si>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</si>
  <si>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</si>
  <si>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</si>
  <si>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</si>
  <si>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</si>
  <si>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</si>
  <si>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</si>
  <si>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</si>
  <si>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</si>
  <si>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</si>
  <si>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</si>
  <si>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</si>
  <si>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</si>
  <si>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</si>
  <si>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</si>
  <si>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</si>
  <si>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</si>
  <si>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</si>
  <si>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</si>
  <si>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</si>
  <si>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</si>
  <si>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</si>
  <si>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</si>
  <si>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</si>
  <si>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</si>
  <si>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</si>
  <si>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</si>
  <si>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</si>
  <si>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</si>
  <si>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</si>
  <si>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</si>
  <si>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</si>
  <si>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</si>
  <si>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</si>
  <si>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</si>
  <si>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</si>
  <si>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</si>
  <si>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</si>
  <si>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</si>
  <si>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</si>
  <si>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</si>
  <si>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</si>
  <si>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</si>
  <si>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</si>
  <si>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</si>
  <si>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</si>
  <si>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</si>
  <si>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</si>
  <si>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</si>
  <si>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</si>
  <si>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</si>
  <si>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</si>
  <si>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</si>
  <si>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</si>
  <si>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</si>
  <si>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</si>
  <si>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</si>
  <si>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</si>
  <si>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</si>
  <si>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</si>
  <si>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</si>
  <si>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</si>
  <si>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</si>
  <si>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</si>
  <si>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</si>
  <si>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</si>
  <si>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</si>
  <si>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</si>
  <si>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</si>
  <si>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</si>
  <si>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</si>
  <si>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</si>
  <si>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</si>
  <si>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</si>
  <si>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</si>
  <si>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</si>
  <si>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</si>
  <si>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</si>
  <si>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</si>
  <si>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</si>
  <si>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</si>
  <si>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</si>
  <si>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</si>
  <si>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</si>
  <si>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</si>
  <si>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</si>
  <si>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</si>
  <si>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</si>
  <si>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</si>
  <si>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</si>
  <si>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</si>
  <si>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</si>
  <si>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</si>
  <si>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</si>
  <si>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</si>
  <si>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</si>
  <si>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</si>
  <si>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</si>
  <si>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</si>
  <si>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</si>
  <si>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</si>
  <si>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</si>
  <si>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</si>
  <si>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</si>
  <si>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</si>
  <si>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</si>
  <si>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</si>
  <si>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</si>
  <si>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</si>
  <si>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</si>
  <si>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</si>
  <si>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</si>
  <si>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</si>
  <si>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</si>
  <si>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</si>
  <si>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</si>
  <si>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</si>
  <si>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</si>
  <si>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</si>
  <si>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</si>
  <si>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</si>
  <si>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</si>
  <si>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</si>
  <si>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</si>
  <si>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</si>
  <si>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</si>
  <si>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</si>
  <si>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</si>
  <si>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</si>
  <si>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</si>
  <si>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</si>
  <si>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</si>
  <si>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</si>
  <si>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</si>
  <si>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</si>
  <si>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</si>
  <si>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</si>
  <si>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</si>
  <si>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</si>
  <si>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</si>
  <si>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</si>
  <si>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</si>
  <si>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</si>
  <si>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</si>
  <si>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</si>
  <si>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</si>
  <si>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</si>
  <si>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</si>
  <si>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</si>
  <si>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</si>
  <si>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</si>
  <si>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</si>
  <si>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</si>
  <si>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</si>
  <si>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</si>
  <si>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</si>
  <si>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</si>
  <si>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</si>
  <si>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</si>
  <si>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</si>
  <si>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</si>
  <si>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</si>
  <si>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</si>
  <si>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</si>
  <si>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</si>
  <si>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</si>
  <si>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</si>
  <si>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</si>
  <si>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</si>
  <si>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</si>
  <si>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</si>
  <si>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</si>
  <si>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</si>
  <si>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</si>
  <si>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</si>
  <si>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</si>
  <si>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</si>
  <si>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</si>
  <si>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</si>
  <si>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</si>
  <si>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</si>
  <si>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</si>
  <si>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</si>
  <si>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</si>
  <si>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</si>
  <si>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</si>
  <si>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</si>
  <si>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</si>
  <si>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</si>
  <si>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</si>
  <si>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</si>
  <si>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</si>
  <si>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</si>
  <si>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</si>
  <si>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</si>
  <si>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</si>
  <si>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</si>
  <si>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</si>
  <si>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</si>
  <si>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</si>
  <si>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</si>
  <si>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</si>
  <si>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</si>
  <si>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</si>
  <si>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</si>
  <si>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</si>
  <si>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</si>
  <si>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</si>
  <si>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</si>
  <si>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</si>
  <si>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</si>
  <si>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</si>
  <si>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</si>
  <si>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</si>
  <si>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</si>
  <si>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</si>
  <si>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</si>
  <si>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</si>
  <si>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</si>
  <si>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</si>
  <si>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</si>
  <si>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</si>
  <si>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</si>
  <si>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</si>
  <si>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</si>
  <si>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</si>
  <si>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</si>
  <si>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</si>
  <si>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</si>
  <si>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</si>
  <si>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</si>
  <si>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</si>
  <si>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</si>
  <si>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</si>
  <si>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</si>
  <si>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</si>
  <si>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</si>
  <si>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</si>
  <si>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</si>
  <si>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</si>
  <si>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</si>
  <si>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</si>
  <si>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</si>
  <si>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</si>
  <si>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</si>
  <si>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</si>
  <si>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</si>
  <si>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45065</t>
  </si>
  <si>
    <t>ZWALM</t>
  </si>
  <si>
    <t>Paarden&amp;pony's 200 - 600 kg</t>
  </si>
  <si>
    <t>Paarden&amp;pony's &lt; 200 kg</t>
  </si>
  <si>
    <t>vloeibaar gas (MWh)</t>
  </si>
  <si>
    <t>biogas - RWZI</t>
  </si>
  <si>
    <t>niet WKK interne verbrandingsmotor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</si>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</sst>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9CF1CC3-D3A2-4D34-9872-F7610220659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45065</v>
      </c>
      <c r="B6" s="382"/>
      <c r="C6" s="383"/>
    </row>
    <row r="7" spans="1:7" s="380" customFormat="1" ht="15.75" customHeight="1">
      <c r="A7" s="384" t="str">
        <f>txtMunicipality</f>
        <v>ZWALM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0.2125419978108819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0.2125419978108819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3190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2071</v>
      </c>
      <c r="C14" s="324"/>
      <c r="D14" s="324"/>
      <c r="E14" s="324"/>
      <c r="F14" s="324"/>
    </row>
    <row r="15" spans="1:6">
      <c r="A15" s="1235" t="s">
        <v>177</v>
      </c>
      <c r="B15" s="1236">
        <v>13</v>
      </c>
      <c r="C15" s="324"/>
      <c r="D15" s="324"/>
      <c r="E15" s="324"/>
      <c r="F15" s="324"/>
    </row>
    <row r="16" spans="1:6">
      <c r="A16" s="1235" t="s">
        <v>6</v>
      </c>
      <c r="B16" s="1236">
        <v>452</v>
      </c>
      <c r="C16" s="324"/>
      <c r="D16" s="324"/>
      <c r="E16" s="324"/>
      <c r="F16" s="324"/>
    </row>
    <row r="17" spans="1:6">
      <c r="A17" s="1235" t="s">
        <v>7</v>
      </c>
      <c r="B17" s="1236">
        <v>350</v>
      </c>
      <c r="C17" s="324"/>
      <c r="D17" s="324"/>
      <c r="E17" s="324"/>
      <c r="F17" s="324"/>
    </row>
    <row r="18" spans="1:6">
      <c r="A18" s="1235" t="s">
        <v>8</v>
      </c>
      <c r="B18" s="1236">
        <v>560</v>
      </c>
      <c r="C18" s="324"/>
      <c r="D18" s="324"/>
      <c r="E18" s="324"/>
      <c r="F18" s="324"/>
    </row>
    <row r="19" spans="1:6">
      <c r="A19" s="1235" t="s">
        <v>9</v>
      </c>
      <c r="B19" s="1236">
        <v>555</v>
      </c>
      <c r="C19" s="324"/>
      <c r="D19" s="324"/>
      <c r="E19" s="324"/>
      <c r="F19" s="324"/>
    </row>
    <row r="20" spans="1:6">
      <c r="A20" s="1235" t="s">
        <v>10</v>
      </c>
      <c r="B20" s="1236">
        <v>433</v>
      </c>
      <c r="C20" s="324"/>
      <c r="D20" s="324"/>
      <c r="E20" s="324"/>
      <c r="F20" s="324"/>
    </row>
    <row r="21" spans="1:6">
      <c r="A21" s="1235" t="s">
        <v>11</v>
      </c>
      <c r="B21" s="1236">
        <v>882</v>
      </c>
      <c r="C21" s="324"/>
      <c r="D21" s="324"/>
      <c r="E21" s="324"/>
      <c r="F21" s="324"/>
    </row>
    <row r="22" spans="1:6">
      <c r="A22" s="1235" t="s">
        <v>12</v>
      </c>
      <c r="B22" s="1236">
        <v>2726</v>
      </c>
      <c r="C22" s="324"/>
      <c r="D22" s="324"/>
      <c r="E22" s="324"/>
      <c r="F22" s="324"/>
    </row>
    <row r="23" spans="1:6">
      <c r="A23" s="1235" t="s">
        <v>13</v>
      </c>
      <c r="B23" s="1236">
        <v>68</v>
      </c>
      <c r="C23" s="324"/>
      <c r="D23" s="324"/>
      <c r="E23" s="324"/>
      <c r="F23" s="324"/>
    </row>
    <row r="24" spans="1:6">
      <c r="A24" s="1235" t="s">
        <v>14</v>
      </c>
      <c r="B24" s="1236">
        <v>4</v>
      </c>
      <c r="C24" s="324"/>
      <c r="D24" s="324"/>
      <c r="E24" s="324"/>
      <c r="F24" s="324"/>
    </row>
    <row r="25" spans="1:6">
      <c r="A25" s="1235" t="s">
        <v>15</v>
      </c>
      <c r="B25" s="1236">
        <v>296</v>
      </c>
      <c r="C25" s="324"/>
      <c r="D25" s="324"/>
      <c r="E25" s="324"/>
      <c r="F25" s="324"/>
    </row>
    <row r="26" spans="1:6">
      <c r="A26" s="1235" t="s">
        <v>16</v>
      </c>
      <c r="B26" s="1236">
        <v>168</v>
      </c>
      <c r="C26" s="324"/>
      <c r="D26" s="324"/>
      <c r="E26" s="324"/>
      <c r="F26" s="324"/>
    </row>
    <row r="27" spans="1:6">
      <c r="A27" s="1235" t="s">
        <v>17</v>
      </c>
      <c r="B27" s="1236">
        <v>0</v>
      </c>
      <c r="C27" s="324"/>
      <c r="D27" s="324"/>
      <c r="E27" s="324"/>
      <c r="F27" s="324"/>
    </row>
    <row r="28" spans="1:6">
      <c r="A28" s="1235" t="s">
        <v>18</v>
      </c>
      <c r="B28" s="1237">
        <v>53529</v>
      </c>
      <c r="C28" s="324"/>
      <c r="D28" s="324"/>
      <c r="E28" s="324"/>
      <c r="F28" s="324"/>
    </row>
    <row r="29" spans="1:6">
      <c r="A29" s="1235" t="s">
        <v>959</v>
      </c>
      <c r="B29" s="1237">
        <v>27</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1264.9399603688</v>
      </c>
    </row>
    <row r="39" spans="1:6">
      <c r="A39" s="1235" t="s">
        <v>29</v>
      </c>
      <c r="B39" s="1235" t="s">
        <v>30</v>
      </c>
      <c r="C39" s="1236">
        <v>809</v>
      </c>
      <c r="D39" s="1236">
        <v>12143107.8450354</v>
      </c>
      <c r="E39" s="1236">
        <v>3027</v>
      </c>
      <c r="F39" s="1236">
        <v>15579469.104981201</v>
      </c>
    </row>
    <row r="40" spans="1:6">
      <c r="A40" s="1235" t="s">
        <v>29</v>
      </c>
      <c r="B40" s="1235" t="s">
        <v>28</v>
      </c>
      <c r="C40" s="1236">
        <v>0</v>
      </c>
      <c r="D40" s="1236">
        <v>0</v>
      </c>
      <c r="E40" s="1236">
        <v>0</v>
      </c>
      <c r="F40" s="1236">
        <v>0</v>
      </c>
    </row>
    <row r="41" spans="1:6">
      <c r="A41" s="1235" t="s">
        <v>31</v>
      </c>
      <c r="B41" s="1235" t="s">
        <v>32</v>
      </c>
      <c r="C41" s="1236">
        <v>3</v>
      </c>
      <c r="D41" s="1236">
        <v>40161.418371993401</v>
      </c>
      <c r="E41" s="1236">
        <v>54</v>
      </c>
      <c r="F41" s="1236">
        <v>423805.446352367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8</v>
      </c>
      <c r="D48" s="1236">
        <v>189310.24231366301</v>
      </c>
      <c r="E48" s="1236">
        <v>25</v>
      </c>
      <c r="F48" s="1236">
        <v>688044.08037360501</v>
      </c>
    </row>
    <row r="49" spans="1:6">
      <c r="A49" s="1235" t="s">
        <v>31</v>
      </c>
      <c r="B49" s="1235" t="s">
        <v>39</v>
      </c>
      <c r="C49" s="1236">
        <v>0</v>
      </c>
      <c r="D49" s="1236">
        <v>0</v>
      </c>
      <c r="E49" s="1236">
        <v>0</v>
      </c>
      <c r="F49" s="1236">
        <v>0</v>
      </c>
    </row>
    <row r="50" spans="1:6">
      <c r="A50" s="1235" t="s">
        <v>31</v>
      </c>
      <c r="B50" s="1235" t="s">
        <v>40</v>
      </c>
      <c r="C50" s="1236">
        <v>0</v>
      </c>
      <c r="D50" s="1236">
        <v>0</v>
      </c>
      <c r="E50" s="1236">
        <v>6</v>
      </c>
      <c r="F50" s="1236">
        <v>79091.561515424197</v>
      </c>
    </row>
    <row r="51" spans="1:6">
      <c r="A51" s="1235" t="s">
        <v>41</v>
      </c>
      <c r="B51" s="1235" t="s">
        <v>42</v>
      </c>
      <c r="C51" s="1236">
        <v>0</v>
      </c>
      <c r="D51" s="1236">
        <v>0</v>
      </c>
      <c r="E51" s="1236">
        <v>67</v>
      </c>
      <c r="F51" s="1236">
        <v>892064.46648742096</v>
      </c>
    </row>
    <row r="52" spans="1:6">
      <c r="A52" s="1235" t="s">
        <v>41</v>
      </c>
      <c r="B52" s="1235" t="s">
        <v>28</v>
      </c>
      <c r="C52" s="1236">
        <v>2</v>
      </c>
      <c r="D52" s="1236">
        <v>69666.730992211204</v>
      </c>
      <c r="E52" s="1236">
        <v>7</v>
      </c>
      <c r="F52" s="1236">
        <v>104148.77850733799</v>
      </c>
    </row>
    <row r="53" spans="1:6">
      <c r="A53" s="1235" t="s">
        <v>43</v>
      </c>
      <c r="B53" s="1235" t="s">
        <v>44</v>
      </c>
      <c r="C53" s="1236">
        <v>27</v>
      </c>
      <c r="D53" s="1236">
        <v>554434.41036388197</v>
      </c>
      <c r="E53" s="1236">
        <v>108</v>
      </c>
      <c r="F53" s="1236">
        <v>574468.26637194795</v>
      </c>
    </row>
    <row r="54" spans="1:6">
      <c r="A54" s="1235" t="s">
        <v>45</v>
      </c>
      <c r="B54" s="1235" t="s">
        <v>46</v>
      </c>
      <c r="C54" s="1236">
        <v>0</v>
      </c>
      <c r="D54" s="1236">
        <v>0</v>
      </c>
      <c r="E54" s="1236">
        <v>1</v>
      </c>
      <c r="F54" s="1236">
        <v>728451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9</v>
      </c>
      <c r="D57" s="1236">
        <v>148247.76542254101</v>
      </c>
      <c r="E57" s="1236">
        <v>25</v>
      </c>
      <c r="F57" s="1236">
        <v>181426.873320065</v>
      </c>
    </row>
    <row r="58" spans="1:6">
      <c r="A58" s="1235" t="s">
        <v>48</v>
      </c>
      <c r="B58" s="1235" t="s">
        <v>50</v>
      </c>
      <c r="C58" s="1236">
        <v>0</v>
      </c>
      <c r="D58" s="1236">
        <v>0</v>
      </c>
      <c r="E58" s="1236">
        <v>0</v>
      </c>
      <c r="F58" s="1236">
        <v>0</v>
      </c>
    </row>
    <row r="59" spans="1:6">
      <c r="A59" s="1235" t="s">
        <v>48</v>
      </c>
      <c r="B59" s="1235" t="s">
        <v>51</v>
      </c>
      <c r="C59" s="1236">
        <v>0</v>
      </c>
      <c r="D59" s="1236">
        <v>0</v>
      </c>
      <c r="E59" s="1236">
        <v>42</v>
      </c>
      <c r="F59" s="1236">
        <v>669725.08816746797</v>
      </c>
    </row>
    <row r="60" spans="1:6">
      <c r="A60" s="1235" t="s">
        <v>48</v>
      </c>
      <c r="B60" s="1235" t="s">
        <v>52</v>
      </c>
      <c r="C60" s="1236">
        <v>14</v>
      </c>
      <c r="D60" s="1236">
        <v>482376.89142076002</v>
      </c>
      <c r="E60" s="1236">
        <v>46</v>
      </c>
      <c r="F60" s="1236">
        <v>924685.44498180598</v>
      </c>
    </row>
    <row r="61" spans="1:6">
      <c r="A61" s="1235" t="s">
        <v>48</v>
      </c>
      <c r="B61" s="1235" t="s">
        <v>53</v>
      </c>
      <c r="C61" s="1236">
        <v>6</v>
      </c>
      <c r="D61" s="1236">
        <v>539218.72560485394</v>
      </c>
      <c r="E61" s="1236">
        <v>72</v>
      </c>
      <c r="F61" s="1236">
        <v>743062.08086927701</v>
      </c>
    </row>
    <row r="62" spans="1:6">
      <c r="A62" s="1235" t="s">
        <v>48</v>
      </c>
      <c r="B62" s="1235" t="s">
        <v>54</v>
      </c>
      <c r="C62" s="1236">
        <v>3</v>
      </c>
      <c r="D62" s="1236">
        <v>175805.022821919</v>
      </c>
      <c r="E62" s="1236">
        <v>10</v>
      </c>
      <c r="F62" s="1236">
        <v>112791.91870542199</v>
      </c>
    </row>
    <row r="63" spans="1:6">
      <c r="A63" s="1235" t="s">
        <v>48</v>
      </c>
      <c r="B63" s="1235" t="s">
        <v>28</v>
      </c>
      <c r="C63" s="1236">
        <v>49</v>
      </c>
      <c r="D63" s="1236">
        <v>2266133.3703410001</v>
      </c>
      <c r="E63" s="1236">
        <v>132</v>
      </c>
      <c r="F63" s="1236">
        <v>3673875.5543608698</v>
      </c>
    </row>
    <row r="64" spans="1:6">
      <c r="A64" s="1235" t="s">
        <v>55</v>
      </c>
      <c r="B64" s="1235" t="s">
        <v>56</v>
      </c>
      <c r="C64" s="1236">
        <v>0</v>
      </c>
      <c r="D64" s="1236">
        <v>0</v>
      </c>
      <c r="E64" s="1236">
        <v>0</v>
      </c>
      <c r="F64" s="1236">
        <v>0</v>
      </c>
    </row>
    <row r="65" spans="1:6">
      <c r="A65" s="1235" t="s">
        <v>55</v>
      </c>
      <c r="B65" s="1235" t="s">
        <v>28</v>
      </c>
      <c r="C65" s="1236">
        <v>1</v>
      </c>
      <c r="D65" s="1236">
        <v>15877.588341597801</v>
      </c>
      <c r="E65" s="1236">
        <v>5</v>
      </c>
      <c r="F65" s="1236">
        <v>16609.203482145898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49855532</v>
      </c>
      <c r="E73" s="443"/>
      <c r="F73" s="324"/>
    </row>
    <row r="74" spans="1:6">
      <c r="A74" s="1235" t="s">
        <v>63</v>
      </c>
      <c r="B74" s="1235" t="s">
        <v>730</v>
      </c>
      <c r="C74" s="1248" t="s">
        <v>731</v>
      </c>
      <c r="D74" s="1236">
        <v>4100946.1564936456</v>
      </c>
      <c r="E74" s="443"/>
      <c r="F74" s="324"/>
    </row>
    <row r="75" spans="1:6">
      <c r="A75" s="1235" t="s">
        <v>64</v>
      </c>
      <c r="B75" s="1235" t="s">
        <v>728</v>
      </c>
      <c r="C75" s="1248" t="s">
        <v>732</v>
      </c>
      <c r="D75" s="1236">
        <v>13747058</v>
      </c>
      <c r="E75" s="443"/>
      <c r="F75" s="324"/>
    </row>
    <row r="76" spans="1:6">
      <c r="A76" s="1235" t="s">
        <v>64</v>
      </c>
      <c r="B76" s="1235" t="s">
        <v>730</v>
      </c>
      <c r="C76" s="1248" t="s">
        <v>733</v>
      </c>
      <c r="D76" s="1236">
        <v>244328.15649364551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229117.68701270898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871.0303852192344</v>
      </c>
      <c r="C91" s="324"/>
      <c r="D91" s="324"/>
      <c r="E91" s="324"/>
      <c r="F91" s="324"/>
    </row>
    <row r="92" spans="1:6">
      <c r="A92" s="1230" t="s">
        <v>68</v>
      </c>
      <c r="B92" s="1231">
        <v>50.232843177275363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72</v>
      </c>
      <c r="C97" s="324"/>
      <c r="D97" s="324"/>
      <c r="E97" s="324"/>
      <c r="F97" s="324"/>
    </row>
    <row r="98" spans="1:6">
      <c r="A98" s="1235" t="s">
        <v>71</v>
      </c>
      <c r="B98" s="1236">
        <v>1</v>
      </c>
      <c r="C98" s="324"/>
      <c r="D98" s="324"/>
      <c r="E98" s="324"/>
      <c r="F98" s="324"/>
    </row>
    <row r="99" spans="1:6">
      <c r="A99" s="1235" t="s">
        <v>72</v>
      </c>
      <c r="B99" s="1236">
        <v>102</v>
      </c>
      <c r="C99" s="324"/>
      <c r="D99" s="324"/>
      <c r="E99" s="324"/>
      <c r="F99" s="324"/>
    </row>
    <row r="100" spans="1:6">
      <c r="A100" s="1235" t="s">
        <v>73</v>
      </c>
      <c r="B100" s="1236">
        <v>331</v>
      </c>
      <c r="C100" s="324"/>
      <c r="D100" s="324"/>
      <c r="E100" s="324"/>
      <c r="F100" s="324"/>
    </row>
    <row r="101" spans="1:6">
      <c r="A101" s="1235" t="s">
        <v>74</v>
      </c>
      <c r="B101" s="1236">
        <v>77</v>
      </c>
      <c r="C101" s="324"/>
      <c r="D101" s="324"/>
      <c r="E101" s="324"/>
      <c r="F101" s="324"/>
    </row>
    <row r="102" spans="1:6">
      <c r="A102" s="1235" t="s">
        <v>75</v>
      </c>
      <c r="B102" s="1236">
        <v>48</v>
      </c>
      <c r="C102" s="324"/>
      <c r="D102" s="324"/>
      <c r="E102" s="324"/>
      <c r="F102" s="324"/>
    </row>
    <row r="103" spans="1:6">
      <c r="A103" s="1235" t="s">
        <v>76</v>
      </c>
      <c r="B103" s="1236">
        <v>263</v>
      </c>
      <c r="C103" s="324"/>
      <c r="D103" s="324"/>
      <c r="E103" s="324"/>
      <c r="F103" s="324"/>
    </row>
    <row r="104" spans="1:6">
      <c r="A104" s="1235" t="s">
        <v>77</v>
      </c>
      <c r="B104" s="1236">
        <v>1972</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11</v>
      </c>
      <c r="C123" s="1236">
        <v>2</v>
      </c>
      <c r="D123" s="324"/>
      <c r="E123" s="324"/>
      <c r="F123" s="324"/>
    </row>
    <row r="124" spans="1:6">
      <c r="A124" s="1235" t="s">
        <v>88</v>
      </c>
      <c r="B124" s="1236">
        <v>1</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28</v>
      </c>
      <c r="C129" s="324"/>
      <c r="D129" s="324"/>
      <c r="E129" s="324"/>
      <c r="F129" s="324"/>
    </row>
    <row r="130" spans="1:6">
      <c r="A130" s="1235" t="s">
        <v>284</v>
      </c>
      <c r="B130" s="1236">
        <v>3</v>
      </c>
      <c r="C130" s="324"/>
      <c r="D130" s="324"/>
      <c r="E130" s="324"/>
      <c r="F130" s="324"/>
    </row>
    <row r="131" spans="1:6">
      <c r="A131" s="1235" t="s">
        <v>285</v>
      </c>
      <c r="B131" s="1236">
        <v>0</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26520.687226480157</v>
      </c>
      <c r="C3" s="43" t="s">
        <v>163</v>
      </c>
      <c r="D3" s="43"/>
      <c r="E3" s="155"/>
      <c r="F3" s="43"/>
      <c r="G3" s="43"/>
      <c r="H3" s="43"/>
      <c r="I3" s="43"/>
      <c r="J3" s="43"/>
      <c r="K3" s="96"/>
    </row>
    <row r="4" spans="1:11">
      <c r="A4" s="350" t="s">
        <v>164</v>
      </c>
      <c r="B4" s="49">
        <f>IF(ISERROR('SEAP template'!B78+'SEAP template'!C78),0,'SEAP template'!B78+'SEAP template'!C78)</f>
        <v>1191.2632283965099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38.957142857142863</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0.2125419978108819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728.45100000000002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728.45100000000002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0.2125419978108819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154.82643084733473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15579.469104981201</v>
      </c>
      <c r="C5" s="17">
        <f>IF(ISERROR('Eigen informatie GS &amp; warmtenet'!B57),0,'Eigen informatie GS &amp; warmtenet'!B57)</f>
        <v>0</v>
      </c>
      <c r="D5" s="30">
        <f>(SUM(HH_hh_gas_kWh,HH_rest_gas_kWh)/1000)*0.902</f>
        <v>10953.083276221931</v>
      </c>
      <c r="E5" s="17">
        <f>B32*B41</f>
        <v>1159.6222880325138</v>
      </c>
      <c r="F5" s="17">
        <f>B36*B45</f>
        <v>39583.005974383741</v>
      </c>
      <c r="G5" s="18"/>
      <c r="H5" s="17"/>
      <c r="I5" s="17"/>
      <c r="J5" s="17">
        <f>B35*B44+C35*C44</f>
        <v>891.30894025541113</v>
      </c>
      <c r="K5" s="17"/>
      <c r="L5" s="17"/>
      <c r="M5" s="17"/>
      <c r="N5" s="17">
        <f>B34*B43+C34*C43</f>
        <v>4228.3954361980113</v>
      </c>
      <c r="O5" s="17">
        <f>B52*B53*B54</f>
        <v>48.463333333333338</v>
      </c>
      <c r="P5" s="17">
        <f>B60*B61*B62/1000-B60*B61*B62/1000/B63</f>
        <v>362.26666666666665</v>
      </c>
    </row>
    <row r="6" spans="1:16">
      <c r="A6" s="16" t="s">
        <v>591</v>
      </c>
      <c r="B6" s="727">
        <f>kWh_PV_kleiner_dan_10kW</f>
        <v>871.0303852192344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16450.499490200436</v>
      </c>
      <c r="C8" s="21">
        <f>C5</f>
        <v>0</v>
      </c>
      <c r="D8" s="21">
        <f>D5</f>
        <v>10953.083276221931</v>
      </c>
      <c r="E8" s="21">
        <f>E5</f>
        <v>1159.6222880325138</v>
      </c>
      <c r="F8" s="21">
        <f>F5</f>
        <v>39583.005974383741</v>
      </c>
      <c r="G8" s="21"/>
      <c r="H8" s="21"/>
      <c r="I8" s="21"/>
      <c r="J8" s="21">
        <f>J5</f>
        <v>891.30894025541113</v>
      </c>
      <c r="K8" s="21"/>
      <c r="L8" s="21">
        <f>L5</f>
        <v>0</v>
      </c>
      <c r="M8" s="21">
        <f>M5</f>
        <v>0</v>
      </c>
      <c r="N8" s="21">
        <f>N5</f>
        <v>4228.3954361980113</v>
      </c>
      <c r="O8" s="21">
        <f>O5</f>
        <v>48.463333333333338</v>
      </c>
      <c r="P8" s="21">
        <f>P5</f>
        <v>362.26666666666665</v>
      </c>
    </row>
    <row r="9" spans="1:16">
      <c r="B9" s="19"/>
      <c r="C9" s="19"/>
      <c r="D9" s="255"/>
      <c r="E9" s="19"/>
      <c r="F9" s="19"/>
      <c r="G9" s="19"/>
      <c r="H9" s="19"/>
      <c r="I9" s="19"/>
      <c r="J9" s="19"/>
      <c r="K9" s="19"/>
      <c r="L9" s="19"/>
      <c r="M9" s="19"/>
      <c r="N9" s="19"/>
      <c r="O9" s="19"/>
      <c r="P9" s="19"/>
    </row>
    <row r="10" spans="1:16">
      <c r="A10" s="24" t="s">
        <v>207</v>
      </c>
      <c r="B10" s="25">
        <f ca="1">'EF ele_warmte'!B12</f>
        <v>0.2125419978108819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3496.4220266340949</v>
      </c>
      <c r="C12" s="23">
        <f ca="1">C10*C8</f>
        <v>0</v>
      </c>
      <c r="D12" s="23">
        <f>D8*D10</f>
        <v>2212.5228217968302</v>
      </c>
      <c r="E12" s="23">
        <f>E10*E8</f>
        <v>263.23425938338062</v>
      </c>
      <c r="F12" s="23">
        <f>F10*F8</f>
        <v>10568.66259516046</v>
      </c>
      <c r="G12" s="23"/>
      <c r="H12" s="23"/>
      <c r="I12" s="23"/>
      <c r="J12" s="23">
        <f>J10*J8</f>
        <v>315.52336485041553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3190</v>
      </c>
      <c r="C26" s="36"/>
      <c r="D26" s="225"/>
    </row>
    <row r="27" spans="1:5" s="15" customFormat="1">
      <c r="A27" s="227" t="s">
        <v>671</v>
      </c>
      <c r="B27" s="37">
        <f>SUM(HH_hh_gas_aantal,HH_rest_gas_aantal)</f>
        <v>809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768.55</v>
      </c>
      <c r="C31" s="34" t="s">
        <v>104</v>
      </c>
      <c r="D31" s="171"/>
    </row>
    <row r="32" spans="1:5">
      <c r="A32" s="168" t="s">
        <v>72</v>
      </c>
      <c r="B32" s="33">
        <f>IF((B21*($B$26-($B$27-0.05*$B$27)-$B$60))&lt;0,0,B21*($B$26-($B$27-0.05*$B$27)-$B$60))</f>
        <v>17.032334206358602</v>
      </c>
      <c r="C32" s="34" t="s">
        <v>104</v>
      </c>
      <c r="D32" s="171"/>
    </row>
    <row r="33" spans="1:6">
      <c r="A33" s="168" t="s">
        <v>73</v>
      </c>
      <c r="B33" s="33">
        <f>IF((B22*($B$26-($B$27-0.05*$B$27)-$B$60))&lt;0,0,B22*($B$26-($B$27-0.05*$B$27)-$B$60))</f>
        <v>488.14438102985582</v>
      </c>
      <c r="C33" s="34" t="s">
        <v>104</v>
      </c>
      <c r="D33" s="171"/>
    </row>
    <row r="34" spans="1:6">
      <c r="A34" s="168" t="s">
        <v>74</v>
      </c>
      <c r="B34" s="33">
        <f>IF((B24*($B$26-($B$27-0.05*$B$27)-$B$60))&lt;0,0,B24*($B$26-($B$27-0.05*$B$27)-$B$60))</f>
        <v>97.34114844294082</v>
      </c>
      <c r="C34" s="33">
        <f>B26*C24</f>
        <v>652.2835909886976</v>
      </c>
      <c r="D34" s="230"/>
    </row>
    <row r="35" spans="1:6">
      <c r="A35" s="168" t="s">
        <v>76</v>
      </c>
      <c r="B35" s="33">
        <f>IF((B19*($B$26-($B$27-0.05*$B$27)-$B$60))&lt;0,0,B19*($B$26-($B$27-0.05*$B$27)-$B$60))</f>
        <v>50.691470852257751</v>
      </c>
      <c r="C35" s="33">
        <f>B35/2</f>
        <v>25.345735426128876</v>
      </c>
      <c r="D35" s="230"/>
    </row>
    <row r="36" spans="1:6">
      <c r="A36" s="168" t="s">
        <v>77</v>
      </c>
      <c r="B36" s="33">
        <f>IF((B18*($B$26-($B$27-0.05*$B$27)-$B$60))&lt;0,0,B18*($B$26-($B$27-0.05*$B$27)-$B$60))</f>
        <v>1749.2406654685867</v>
      </c>
      <c r="C36" s="34" t="s">
        <v>104</v>
      </c>
      <c r="D36" s="171"/>
    </row>
    <row r="37" spans="1:6">
      <c r="A37" s="168" t="s">
        <v>78</v>
      </c>
      <c r="B37" s="33">
        <f>B60</f>
        <v>19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6305.566960404909</v>
      </c>
      <c r="C5" s="17">
        <f>IF(ISERROR('Eigen informatie GS &amp; warmtenet'!B58),0,'Eigen informatie GS &amp; warmtenet'!B58)</f>
        <v>0</v>
      </c>
      <c r="D5" s="30">
        <f>SUM(D6:D12)</f>
        <v>3257.8271616011889</v>
      </c>
      <c r="E5" s="17">
        <f>SUM(E6:E12)</f>
        <v>159.72842465297913</v>
      </c>
      <c r="F5" s="17">
        <f>SUM(F6:F12)</f>
        <v>1279.2852769578822</v>
      </c>
      <c r="G5" s="18"/>
      <c r="H5" s="17"/>
      <c r="I5" s="17"/>
      <c r="J5" s="17">
        <f>SUM(J6:J12)</f>
        <v>0</v>
      </c>
      <c r="K5" s="17"/>
      <c r="L5" s="17"/>
      <c r="M5" s="17"/>
      <c r="N5" s="17">
        <f>SUM(N6:N12)</f>
        <v>157.06315587425695</v>
      </c>
      <c r="O5" s="17">
        <f>B38*B39*B40</f>
        <v>4.6900000000000004</v>
      </c>
      <c r="P5" s="17">
        <f>B46*B47*B48/1000-B46*B47*B48/1000/B49</f>
        <v>0</v>
      </c>
      <c r="R5" s="32"/>
    </row>
    <row r="6" spans="1:18">
      <c r="A6" s="32" t="s">
        <v>53</v>
      </c>
      <c r="B6" s="37">
        <f>B26</f>
        <v>743.062080869277</v>
      </c>
      <c r="C6" s="33"/>
      <c r="D6" s="37">
        <f>IF(ISERROR(TER_kantoor_gas_kWh/1000),0,TER_kantoor_gas_kWh/1000)*0.902</f>
        <v>486.37529049557827</v>
      </c>
      <c r="E6" s="33">
        <f>$C$26*'E Balans VL '!I12/100/3.6*1000000</f>
        <v>25.704011636973288</v>
      </c>
      <c r="F6" s="33">
        <f>$C$26*('E Balans VL '!L12+'E Balans VL '!N12)/100/3.6*1000000</f>
        <v>113.43631681937291</v>
      </c>
      <c r="G6" s="34"/>
      <c r="H6" s="33"/>
      <c r="I6" s="33"/>
      <c r="J6" s="33">
        <f>$C$26*('E Balans VL '!D12+'E Balans VL '!E12)/100/3.6*1000000</f>
        <v>0</v>
      </c>
      <c r="K6" s="33"/>
      <c r="L6" s="33"/>
      <c r="M6" s="33"/>
      <c r="N6" s="33">
        <f>$C$26*'E Balans VL '!Y12/100/3.6*1000000</f>
        <v>11.454655203750418</v>
      </c>
      <c r="O6" s="33"/>
      <c r="P6" s="33"/>
      <c r="R6" s="32"/>
    </row>
    <row r="7" spans="1:18">
      <c r="A7" s="32" t="s">
        <v>52</v>
      </c>
      <c r="B7" s="37">
        <f t="shared" ref="B7:B12" si="0">B27</f>
        <v>924.68544498180597</v>
      </c>
      <c r="C7" s="33"/>
      <c r="D7" s="37">
        <f>IF(ISERROR(TER_horeca_gas_kWh/1000),0,TER_horeca_gas_kWh/1000)*0.902</f>
        <v>435.10395606152554</v>
      </c>
      <c r="E7" s="33">
        <f>$C$27*'E Balans VL '!I9/100/3.6*1000000</f>
        <v>50.675700696052537</v>
      </c>
      <c r="F7" s="33">
        <f>$C$27*('E Balans VL '!L9+'E Balans VL '!N9)/100/3.6*1000000</f>
        <v>156.48770787981655</v>
      </c>
      <c r="G7" s="34"/>
      <c r="H7" s="33"/>
      <c r="I7" s="33"/>
      <c r="J7" s="33">
        <f>$C$27*('E Balans VL '!D9+'E Balans VL '!E9)/100/3.6*1000000</f>
        <v>0</v>
      </c>
      <c r="K7" s="33"/>
      <c r="L7" s="33"/>
      <c r="M7" s="33"/>
      <c r="N7" s="33">
        <f>$C$27*'E Balans VL '!Y9/100/3.6*1000000</f>
        <v>0</v>
      </c>
      <c r="O7" s="33"/>
      <c r="P7" s="33"/>
      <c r="R7" s="32"/>
    </row>
    <row r="8" spans="1:18">
      <c r="A8" s="6" t="s">
        <v>51</v>
      </c>
      <c r="B8" s="37">
        <f t="shared" si="0"/>
        <v>669.72508816746802</v>
      </c>
      <c r="C8" s="33"/>
      <c r="D8" s="37">
        <f>IF(ISERROR(TER_handel_gas_kWh/1000),0,TER_handel_gas_kWh/1000)*0.902</f>
        <v>0</v>
      </c>
      <c r="E8" s="33">
        <f>$C$28*'E Balans VL '!I13/100/3.6*1000000</f>
        <v>3.3882535762258188</v>
      </c>
      <c r="F8" s="33">
        <f>$C$28*('E Balans VL '!L13+'E Balans VL '!N13)/100/3.6*1000000</f>
        <v>101.75948907883669</v>
      </c>
      <c r="G8" s="34"/>
      <c r="H8" s="33"/>
      <c r="I8" s="33"/>
      <c r="J8" s="33">
        <f>$C$28*('E Balans VL '!D13+'E Balans VL '!E13)/100/3.6*1000000</f>
        <v>0</v>
      </c>
      <c r="K8" s="33"/>
      <c r="L8" s="33"/>
      <c r="M8" s="33"/>
      <c r="N8" s="33">
        <f>$C$28*'E Balans VL '!Y13/100/3.6*1000000</f>
        <v>0.3131813792870109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181.426873320065</v>
      </c>
      <c r="C10" s="33"/>
      <c r="D10" s="37">
        <f>IF(ISERROR(TER_ander_gas_kWh/1000),0,TER_ander_gas_kWh/1000)*0.902</f>
        <v>133.71948441113202</v>
      </c>
      <c r="E10" s="33">
        <f>$C$30*'E Balans VL '!I14/100/3.6*1000000</f>
        <v>1.1044630733329794</v>
      </c>
      <c r="F10" s="33">
        <f>$C$30*('E Balans VL '!L14+'E Balans VL '!N14)/100/3.6*1000000</f>
        <v>48.032660763215823</v>
      </c>
      <c r="G10" s="34"/>
      <c r="H10" s="33"/>
      <c r="I10" s="33"/>
      <c r="J10" s="33">
        <f>$C$30*('E Balans VL '!D14+'E Balans VL '!E14)/100/3.6*1000000</f>
        <v>0</v>
      </c>
      <c r="K10" s="33"/>
      <c r="L10" s="33"/>
      <c r="M10" s="33"/>
      <c r="N10" s="33">
        <f>$C$30*'E Balans VL '!Y14/100/3.6*1000000</f>
        <v>37.786512635444453</v>
      </c>
      <c r="O10" s="33"/>
      <c r="P10" s="33"/>
      <c r="R10" s="32"/>
    </row>
    <row r="11" spans="1:18">
      <c r="A11" s="32" t="s">
        <v>54</v>
      </c>
      <c r="B11" s="37">
        <f t="shared" si="0"/>
        <v>112.79191870542199</v>
      </c>
      <c r="C11" s="33"/>
      <c r="D11" s="37">
        <f>IF(ISERROR(TER_onderwijs_gas_kWh/1000),0,TER_onderwijs_gas_kWh/1000)*0.902</f>
        <v>158.57613058537095</v>
      </c>
      <c r="E11" s="33">
        <f>$C$31*'E Balans VL '!I11/100/3.6*1000000</f>
        <v>0.13998453663435795</v>
      </c>
      <c r="F11" s="33">
        <f>$C$31*('E Balans VL '!L11+'E Balans VL '!N11)/100/3.6*1000000</f>
        <v>132.93118160193183</v>
      </c>
      <c r="G11" s="34"/>
      <c r="H11" s="33"/>
      <c r="I11" s="33"/>
      <c r="J11" s="33">
        <f>$C$31*('E Balans VL '!D11+'E Balans VL '!E11)/100/3.6*1000000</f>
        <v>0</v>
      </c>
      <c r="K11" s="33"/>
      <c r="L11" s="33"/>
      <c r="M11" s="33"/>
      <c r="N11" s="33">
        <f>$C$31*'E Balans VL '!Y11/100/3.6*1000000</f>
        <v>0.54139067538818708</v>
      </c>
      <c r="O11" s="33"/>
      <c r="P11" s="33"/>
      <c r="R11" s="32"/>
    </row>
    <row r="12" spans="1:18">
      <c r="A12" s="32" t="s">
        <v>249</v>
      </c>
      <c r="B12" s="37">
        <f t="shared" si="0"/>
        <v>3673.87555436087</v>
      </c>
      <c r="C12" s="33"/>
      <c r="D12" s="37">
        <f>IF(ISERROR(TER_rest_gas_kWh/1000),0,TER_rest_gas_kWh/1000)*0.902</f>
        <v>2044.0523000475821</v>
      </c>
      <c r="E12" s="33">
        <f>$C$32*'E Balans VL '!I8/100/3.6*1000000</f>
        <v>78.716011133760148</v>
      </c>
      <c r="F12" s="33">
        <f>$C$32*('E Balans VL '!L8+'E Balans VL '!N8)/100/3.6*1000000</f>
        <v>726.63792081470842</v>
      </c>
      <c r="G12" s="34"/>
      <c r="H12" s="33"/>
      <c r="I12" s="33"/>
      <c r="J12" s="33">
        <f>$C$32*('E Balans VL '!D8+'E Balans VL '!E8)/100/3.6*1000000</f>
        <v>0</v>
      </c>
      <c r="K12" s="33"/>
      <c r="L12" s="33"/>
      <c r="M12" s="33"/>
      <c r="N12" s="33">
        <f>$C$32*'E Balans VL '!Y8/100/3.6*1000000</f>
        <v>106.96741598038689</v>
      </c>
      <c r="O12" s="33"/>
      <c r="P12" s="33"/>
      <c r="R12" s="32"/>
    </row>
    <row r="13" spans="1:18">
      <c r="A13" s="16" t="s">
        <v>483</v>
      </c>
      <c r="B13" s="243">
        <f ca="1">'lokale energieproductie'!N38+'lokale energieproductie'!N31</f>
        <v>270</v>
      </c>
      <c r="C13" s="243">
        <f ca="1">'lokale energieproductie'!O38+'lokale energieproductie'!O31</f>
        <v>0</v>
      </c>
      <c r="D13" s="302">
        <f ca="1">('lokale energieproductie'!P31+'lokale energieproductie'!P38)*(-1)</f>
        <v>-192.85714285714286</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-578.57142857142856</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6575.566960404909</v>
      </c>
      <c r="C16" s="21">
        <f ca="1">C5+C13+C14</f>
        <v>0</v>
      </c>
      <c r="D16" s="21">
        <f t="shared" ref="D16:N16" ca="1" si="1">MAX((D5+D13+D14),0)</f>
        <v>3064.9700187440462</v>
      </c>
      <c r="E16" s="21">
        <f t="shared" si="1"/>
        <v>159.72842465297913</v>
      </c>
      <c r="F16" s="21">
        <f t="shared" ca="1" si="1"/>
        <v>1279.2852769578822</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0.2125419978108819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1397.5841385036874</v>
      </c>
      <c r="C20" s="23">
        <f t="shared" ref="C20:P20" ca="1" si="2">C16*C18</f>
        <v>0</v>
      </c>
      <c r="D20" s="23">
        <f t="shared" ca="1" si="2"/>
        <v>619.12394378629733</v>
      </c>
      <c r="E20" s="23">
        <f t="shared" si="2"/>
        <v>36.258352396226265</v>
      </c>
      <c r="F20" s="23">
        <f t="shared" ca="1" si="2"/>
        <v>341.56916894775458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743.062080869277</v>
      </c>
      <c r="C26" s="39">
        <f>IF(ISERROR(B26*3.6/1000000/'E Balans VL '!Z12*100),0,B26*3.6/1000000/'E Balans VL '!Z12*100)</f>
        <v>1.5452500336692192E-2</v>
      </c>
      <c r="D26" s="233" t="s">
        <v>676</v>
      </c>
      <c r="F26" s="6"/>
    </row>
    <row r="27" spans="1:18">
      <c r="A27" s="228" t="s">
        <v>52</v>
      </c>
      <c r="B27" s="33">
        <f>IF(ISERROR(TER_horeca_ele_kWh/1000),0,TER_horeca_ele_kWh/1000)</f>
        <v>924.68544498180597</v>
      </c>
      <c r="C27" s="39">
        <f>IF(ISERROR(B27*3.6/1000000/'E Balans VL '!Z9*100),0,B27*3.6/1000000/'E Balans VL '!Z9*100)</f>
        <v>7.6056034052685226E-2</v>
      </c>
      <c r="D27" s="233" t="s">
        <v>676</v>
      </c>
      <c r="F27" s="6"/>
    </row>
    <row r="28" spans="1:18">
      <c r="A28" s="168" t="s">
        <v>51</v>
      </c>
      <c r="B28" s="33">
        <f>IF(ISERROR(TER_handel_ele_kWh/1000),0,TER_handel_ele_kWh/1000)</f>
        <v>669.72508816746802</v>
      </c>
      <c r="C28" s="39">
        <f>IF(ISERROR(B28*3.6/1000000/'E Balans VL '!Z13*100),0,B28*3.6/1000000/'E Balans VL '!Z13*100)</f>
        <v>1.8537859512731385E-2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181.426873320065</v>
      </c>
      <c r="C30" s="39">
        <f>IF(ISERROR(B30*3.6/1000000/'E Balans VL '!Z14*100),0,B30*3.6/1000000/'E Balans VL '!Z14*100)</f>
        <v>1.404293212001549E-2</v>
      </c>
      <c r="D30" s="233" t="s">
        <v>676</v>
      </c>
      <c r="F30" s="6"/>
    </row>
    <row r="31" spans="1:18">
      <c r="A31" s="228" t="s">
        <v>54</v>
      </c>
      <c r="B31" s="33">
        <f>IF(ISERROR(TER_onderwijs_ele_kWh/1000),0,TER_onderwijs_ele_kWh/1000)</f>
        <v>112.79191870542199</v>
      </c>
      <c r="C31" s="39">
        <f>IF(ISERROR(B31*3.6/1000000/'E Balans VL '!Z11*100),0,B31*3.6/1000000/'E Balans VL '!Z11*100)</f>
        <v>3.5143828327697961E-2</v>
      </c>
      <c r="D31" s="233" t="s">
        <v>676</v>
      </c>
    </row>
    <row r="32" spans="1:18">
      <c r="A32" s="228" t="s">
        <v>249</v>
      </c>
      <c r="B32" s="33">
        <f>IF(ISERROR(TER_rest_ele_kWh/1000),0,TER_rest_ele_kWh/1000)</f>
        <v>3673.87555436087</v>
      </c>
      <c r="C32" s="39">
        <f>IF(ISERROR(B32*3.6/1000000/'E Balans VL '!Z8*100),0,B32*3.6/1000000/'E Balans VL '!Z8*100)</f>
        <v>3.0295070630381678E-2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3</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1190.9410882413961</v>
      </c>
      <c r="C5" s="17">
        <f>IF(ISERROR('Eigen informatie GS &amp; warmtenet'!B59),0,'Eigen informatie GS &amp; warmtenet'!B59)</f>
        <v>0</v>
      </c>
      <c r="D5" s="30">
        <f>SUM(D6:D15)</f>
        <v>206.98343793846206</v>
      </c>
      <c r="E5" s="17">
        <f>SUM(E6:E15)</f>
        <v>14.049365294941277</v>
      </c>
      <c r="F5" s="17">
        <f>SUM(F6:F15)</f>
        <v>481.61243907177288</v>
      </c>
      <c r="G5" s="18"/>
      <c r="H5" s="17"/>
      <c r="I5" s="17"/>
      <c r="J5" s="17">
        <f>SUM(J6:J15)</f>
        <v>4.9968175534596639</v>
      </c>
      <c r="K5" s="17"/>
      <c r="L5" s="17"/>
      <c r="M5" s="17"/>
      <c r="N5" s="17">
        <f>SUM(N6:N15)</f>
        <v>44.949772943295073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423.80544635236697</v>
      </c>
      <c r="C9" s="33"/>
      <c r="D9" s="37">
        <f>IF( ISERROR(IND_andere_gas_kWh/1000),0,IND_andere_gas_kWh/1000)*0.902</f>
        <v>36.225599371538046</v>
      </c>
      <c r="E9" s="33">
        <f>C31*'E Balans VL '!I19/100/3.6*1000000</f>
        <v>7.1183316497362235</v>
      </c>
      <c r="F9" s="33">
        <f>C31*'E Balans VL '!L19/100/3.6*1000000+C31*'E Balans VL '!N19/100/3.6*1000000</f>
        <v>331.30695980239386</v>
      </c>
      <c r="G9" s="34"/>
      <c r="H9" s="33"/>
      <c r="I9" s="33"/>
      <c r="J9" s="40">
        <f>C31*'E Balans VL '!D19/100/3.6*1000000+C31*'E Balans VL '!E19/100/3.6*1000000</f>
        <v>3.8223510167180022E-2</v>
      </c>
      <c r="K9" s="33"/>
      <c r="L9" s="33"/>
      <c r="M9" s="33"/>
      <c r="N9" s="33">
        <f>C31*'E Balans VL '!Y19/100/3.6*1000000</f>
        <v>31.410782934500055</v>
      </c>
      <c r="O9" s="33"/>
      <c r="P9" s="33"/>
      <c r="R9" s="32"/>
    </row>
    <row r="10" spans="1:18">
      <c r="A10" s="6" t="s">
        <v>40</v>
      </c>
      <c r="B10" s="37">
        <f t="shared" si="0"/>
        <v>79.091561515424203</v>
      </c>
      <c r="C10" s="33"/>
      <c r="D10" s="37">
        <f>IF( ISERROR(IND_voed_gas_kWh/1000),0,IND_voed_gas_kWh/1000)*0.902</f>
        <v>0</v>
      </c>
      <c r="E10" s="33">
        <f>C32*'E Balans VL '!I20/100/3.6*1000000</f>
        <v>0.72159854076992269</v>
      </c>
      <c r="F10" s="33">
        <f>C32*'E Balans VL '!L20/100/3.6*1000000+C32*'E Balans VL '!N20/100/3.6*1000000</f>
        <v>12.759942711708014</v>
      </c>
      <c r="G10" s="34"/>
      <c r="H10" s="33"/>
      <c r="I10" s="33"/>
      <c r="J10" s="40">
        <f>C32*'E Balans VL '!D20/100/3.6*1000000+C32*'E Balans VL '!E20/100/3.6*1000000</f>
        <v>0.32575090525828881</v>
      </c>
      <c r="K10" s="33"/>
      <c r="L10" s="33"/>
      <c r="M10" s="33"/>
      <c r="N10" s="33">
        <f>C32*'E Balans VL '!Y20/100/3.6*1000000</f>
        <v>1.157047179524048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688.04408037360497</v>
      </c>
      <c r="C15" s="33"/>
      <c r="D15" s="37">
        <f>IF( ISERROR(IND_rest_gas_kWh/1000),0,IND_rest_gas_kWh/1000)*0.902</f>
        <v>170.75783856692402</v>
      </c>
      <c r="E15" s="33">
        <f>C37*'E Balans VL '!I15/100/3.6*1000000</f>
        <v>6.2094351044351308</v>
      </c>
      <c r="F15" s="33">
        <f>C37*'E Balans VL '!L15/100/3.6*1000000+C37*'E Balans VL '!N15/100/3.6*1000000</f>
        <v>137.545536557671</v>
      </c>
      <c r="G15" s="34"/>
      <c r="H15" s="33"/>
      <c r="I15" s="33"/>
      <c r="J15" s="40">
        <f>C37*'E Balans VL '!D15/100/3.6*1000000+C37*'E Balans VL '!E15/100/3.6*1000000</f>
        <v>4.632843138034195</v>
      </c>
      <c r="K15" s="33"/>
      <c r="L15" s="33"/>
      <c r="M15" s="33"/>
      <c r="N15" s="33">
        <f>C37*'E Balans VL '!Y15/100/3.6*1000000</f>
        <v>12.381942829270969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1190.9410882413961</v>
      </c>
      <c r="C18" s="21">
        <f>C5+C16</f>
        <v>0</v>
      </c>
      <c r="D18" s="21">
        <f>MAX((D5+D16),0)</f>
        <v>206.98343793846206</v>
      </c>
      <c r="E18" s="21">
        <f>MAX((E5+E16),0)</f>
        <v>14.049365294941277</v>
      </c>
      <c r="F18" s="21">
        <f>MAX((F5+F16),0)</f>
        <v>481.61243907177288</v>
      </c>
      <c r="G18" s="21"/>
      <c r="H18" s="21"/>
      <c r="I18" s="21"/>
      <c r="J18" s="21">
        <f>MAX((J5+J16),0)</f>
        <v>4.9968175534596639</v>
      </c>
      <c r="K18" s="21"/>
      <c r="L18" s="21">
        <f>MAX((L5+L16),0)</f>
        <v>0</v>
      </c>
      <c r="M18" s="21"/>
      <c r="N18" s="21">
        <f>MAX((N5+N16),0)</f>
        <v>44.949772943295073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0.2125419978108819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253.12499816989211</v>
      </c>
      <c r="C22" s="23">
        <f ca="1">C18*C20</f>
        <v>0</v>
      </c>
      <c r="D22" s="23">
        <f>D18*D20</f>
        <v>41.810654463569335</v>
      </c>
      <c r="E22" s="23">
        <f>E18*E20</f>
        <v>3.18920592195167</v>
      </c>
      <c r="F22" s="23">
        <f>F18*F20</f>
        <v>128.59052123216335</v>
      </c>
      <c r="G22" s="23"/>
      <c r="H22" s="23"/>
      <c r="I22" s="23"/>
      <c r="J22" s="23">
        <f>J18*J20</f>
        <v>1.7688734139247209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423.80544635236697</v>
      </c>
      <c r="C31" s="39">
        <f>IF(ISERROR(B31*3.6/1000000/'E Balans VL '!Z19*100),0,B31*3.6/1000000/'E Balans VL '!Z19*100)</f>
        <v>1.8785615918341034E-2</v>
      </c>
      <c r="D31" s="233" t="s">
        <v>676</v>
      </c>
    </row>
    <row r="32" spans="1:18">
      <c r="A32" s="168" t="s">
        <v>40</v>
      </c>
      <c r="B32" s="37">
        <f>IF( ISERROR(IND_voed_ele_kWh/1000),0,IND_voed_ele_kWh/1000)</f>
        <v>79.091561515424203</v>
      </c>
      <c r="C32" s="39">
        <f>IF(ISERROR(B32*3.6/1000000/'E Balans VL '!Z20*100),0,B32*3.6/1000000/'E Balans VL '!Z20*100)</f>
        <v>2.6418850389405856E-3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688.04408037360497</v>
      </c>
      <c r="C37" s="39">
        <f>IF(ISERROR(B37*3.6/1000000/'E Balans VL '!Z15*100),0,B37*3.6/1000000/'E Balans VL '!Z15*100)</f>
        <v>5.1179270382900694E-3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996.21324499475895</v>
      </c>
      <c r="C5" s="17">
        <f>'Eigen informatie GS &amp; warmtenet'!B60</f>
        <v>0</v>
      </c>
      <c r="D5" s="30">
        <f>IF(ISERROR(SUM(LB_lb_gas_kWh,LB_rest_gas_kWh)/1000),0,SUM(LB_lb_gas_kWh,LB_rest_gas_kWh)/1000)*0.902</f>
        <v>62.839391354974502</v>
      </c>
      <c r="E5" s="17">
        <f>B17*'E Balans VL '!I25/3.6*1000000/100</f>
        <v>8.9771454205969334</v>
      </c>
      <c r="F5" s="17">
        <f>B17*('E Balans VL '!L25/3.6*1000000+'E Balans VL '!N25/3.6*1000000)/100</f>
        <v>3732.8414124932224</v>
      </c>
      <c r="G5" s="18"/>
      <c r="H5" s="17"/>
      <c r="I5" s="17"/>
      <c r="J5" s="17">
        <f>('E Balans VL '!D25+'E Balans VL '!E25)/3.6*1000000*landbouw!B17/100</f>
        <v>100.81266017053838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996.21324499475895</v>
      </c>
      <c r="C8" s="21">
        <f>C5+C6</f>
        <v>0</v>
      </c>
      <c r="D8" s="21">
        <f>MAX((D5+D6),0)</f>
        <v>62.839391354974502</v>
      </c>
      <c r="E8" s="21">
        <f>MAX((E5+E6),0)</f>
        <v>8.9771454205969334</v>
      </c>
      <c r="F8" s="21">
        <f>MAX((F5+F6),0)</f>
        <v>3732.8414124932224</v>
      </c>
      <c r="G8" s="21"/>
      <c r="H8" s="21"/>
      <c r="I8" s="21"/>
      <c r="J8" s="21">
        <f>MAX((J5+J6),0)</f>
        <v>100.81266017053838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0.2125419978108819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211.7371533368476</v>
      </c>
      <c r="C12" s="23">
        <f ca="1">C8*C10</f>
        <v>0</v>
      </c>
      <c r="D12" s="23">
        <f>D8*D10</f>
        <v>12.693557053704851</v>
      </c>
      <c r="E12" s="23">
        <f>E8*E10</f>
        <v>2.0378120104755038</v>
      </c>
      <c r="F12" s="23">
        <f>F8*F10</f>
        <v>996.66865713569041</v>
      </c>
      <c r="G12" s="23"/>
      <c r="H12" s="23"/>
      <c r="I12" s="23"/>
      <c r="J12" s="23">
        <f>J8*J10</f>
        <v>35.687681700370582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0.15333644887408249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150.06898283478239</v>
      </c>
      <c r="C26" s="243">
        <f>B26*'GWP N2O_CH4'!B5</f>
        <v>3151.4486395304302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39.341205269778868</v>
      </c>
      <c r="C27" s="243">
        <f>B27*'GWP N2O_CH4'!B5</f>
        <v>826.16531066535617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2.3444050826439344</v>
      </c>
      <c r="C28" s="243">
        <f>B28*'GWP N2O_CH4'!B4</f>
        <v>726.76557561961965</v>
      </c>
      <c r="D28" s="50"/>
    </row>
    <row r="29" spans="1:4">
      <c r="A29" s="41" t="s">
        <v>266</v>
      </c>
      <c r="B29" s="243">
        <f>B34*'ha_N2O bodem landbouw'!B4</f>
        <v>11.86042479104391</v>
      </c>
      <c r="C29" s="243">
        <f>B29*'GWP N2O_CH4'!B4</f>
        <v>3676.7316852236117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3.0793341144423891E-3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2.507356203842021E-6</v>
      </c>
      <c r="C5" s="431" t="s">
        <v>204</v>
      </c>
      <c r="D5" s="416">
        <f>SUM(D6:D11)</f>
        <v>8.7770053570131348E-6</v>
      </c>
      <c r="E5" s="416">
        <f>SUM(E6:E11)</f>
        <v>8.9448258013756911E-4</v>
      </c>
      <c r="F5" s="429" t="s">
        <v>204</v>
      </c>
      <c r="G5" s="416">
        <f>SUM(G6:G11)</f>
        <v>0.15923534760274402</v>
      </c>
      <c r="H5" s="416">
        <f>SUM(H6:H11)</f>
        <v>3.0020653562448884E-2</v>
      </c>
      <c r="I5" s="431" t="s">
        <v>204</v>
      </c>
      <c r="J5" s="431" t="s">
        <v>204</v>
      </c>
      <c r="K5" s="431" t="s">
        <v>204</v>
      </c>
      <c r="L5" s="431" t="s">
        <v>204</v>
      </c>
      <c r="M5" s="416">
        <f>SUM(M6:M11)</f>
        <v>8.2414302834946142E-3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1.8945849677259265E-6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5.9802136195089138E-6</v>
      </c>
      <c r="E6" s="419">
        <f>vkm_GW_PW*SUMIFS(TableVerdeelsleutelVkm[LPG],TableVerdeelsleutelVkm[Voertuigtype],"Lichte voertuigen")*SUMIFS(TableECFTransport[EnergieConsumptieFactor (PJ per km)],TableECFTransport[Index],CONCATENATE($A6,"_LPG_LPG"))</f>
        <v>6.2109579179920173E-4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8.2905414455994808E-2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2.082226743337616E-2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4.5298434558257846E-3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8.5281478972553351E-8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3.8442803715714104E-2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1.1311546457329096E-6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1.6561361268691813E-3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5.2240881588138381E-7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2.7967917375042205E-6</v>
      </c>
      <c r="E8" s="419">
        <f>vkm_NGW_PW*SUMIFS(TableVerdeelsleutelVkm[LPG],TableVerdeelsleutelVkm[Voertuigtype],"Lichte voertuigen")*SUMIFS(TableECFTransport[EnergieConsumptieFactor (PJ per km)],TableECFTransport[Index],CONCATENATE($A8,"_LPG_LPG"))</f>
        <v>2.7338678833836743E-4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3.4714615620257419E-2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9.1971736299856794E-3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1.918777696054651E-3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5.0809412621576901E-9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3.1725138107776703E-3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8.1344441310365275E-8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1.3667300474499717E-4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0.69648783440056139</v>
      </c>
      <c r="C14" s="21"/>
      <c r="D14" s="21">
        <f t="shared" ref="D14:M14" si="0">((D5)*10^9/3600)+D12</f>
        <v>2.4380570436147595</v>
      </c>
      <c r="E14" s="21">
        <f t="shared" si="0"/>
        <v>248.46738337154699</v>
      </c>
      <c r="F14" s="21"/>
      <c r="G14" s="21">
        <f t="shared" si="0"/>
        <v>44232.041000762227</v>
      </c>
      <c r="H14" s="21">
        <f t="shared" si="0"/>
        <v>8339.0704340135799</v>
      </c>
      <c r="I14" s="21"/>
      <c r="J14" s="21"/>
      <c r="K14" s="21"/>
      <c r="L14" s="21"/>
      <c r="M14" s="21">
        <f t="shared" si="0"/>
        <v>2289.2861898596152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0.2125419978108819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0.14803291577447</v>
      </c>
      <c r="C18" s="23"/>
      <c r="D18" s="23">
        <f t="shared" ref="D18:M18" si="1">D14*D16</f>
        <v>0.49248752281018143</v>
      </c>
      <c r="E18" s="23">
        <f t="shared" si="1"/>
        <v>56.402096025341166</v>
      </c>
      <c r="F18" s="23"/>
      <c r="G18" s="23">
        <f t="shared" si="1"/>
        <v>11809.954947203516</v>
      </c>
      <c r="H18" s="23">
        <f t="shared" si="1"/>
        <v>2076.4285380693814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1.3862478356308266E-5</v>
      </c>
      <c r="C50" s="313">
        <f t="shared" ref="C50:P50" si="2">SUM(C51:C52)</f>
        <v>0</v>
      </c>
      <c r="D50" s="313">
        <f t="shared" si="2"/>
        <v>0</v>
      </c>
      <c r="E50" s="313">
        <f t="shared" si="2"/>
        <v>0</v>
      </c>
      <c r="F50" s="313">
        <f t="shared" si="2"/>
        <v>0</v>
      </c>
      <c r="G50" s="313">
        <f t="shared" si="2"/>
        <v>3.0073255020819419E-3</v>
      </c>
      <c r="H50" s="313">
        <f t="shared" si="2"/>
        <v>0</v>
      </c>
      <c r="I50" s="313">
        <f t="shared" si="2"/>
        <v>0</v>
      </c>
      <c r="J50" s="313">
        <f t="shared" si="2"/>
        <v>0</v>
      </c>
      <c r="K50" s="313">
        <f t="shared" si="2"/>
        <v>0</v>
      </c>
      <c r="L50" s="313">
        <f t="shared" si="2"/>
        <v>0</v>
      </c>
      <c r="M50" s="313">
        <f t="shared" si="2"/>
        <v>1.2876212611298779E-4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1.3862478356308266E-5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3.0073255020819419E-3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1.2876212611298779E-4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3.8506884323078516</v>
      </c>
      <c r="C54" s="21">
        <f t="shared" ref="C54:P54" si="3">(C50)*10^9/3600</f>
        <v>0</v>
      </c>
      <c r="D54" s="21">
        <f t="shared" si="3"/>
        <v>0</v>
      </c>
      <c r="E54" s="21">
        <f t="shared" si="3"/>
        <v>0</v>
      </c>
      <c r="F54" s="21">
        <f t="shared" si="3"/>
        <v>0</v>
      </c>
      <c r="G54" s="21">
        <f t="shared" si="3"/>
        <v>835.3681950227616</v>
      </c>
      <c r="H54" s="21">
        <f t="shared" si="3"/>
        <v>0</v>
      </c>
      <c r="I54" s="21">
        <f t="shared" si="3"/>
        <v>0</v>
      </c>
      <c r="J54" s="21">
        <f t="shared" si="3"/>
        <v>0</v>
      </c>
      <c r="K54" s="21">
        <f t="shared" si="3"/>
        <v>0</v>
      </c>
      <c r="L54" s="21">
        <f t="shared" si="3"/>
        <v>0</v>
      </c>
      <c r="M54" s="21">
        <f t="shared" si="3"/>
        <v>35.767257253607724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0.2125419978108819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0.81843301234996368</v>
      </c>
      <c r="C58" s="23">
        <f t="shared" ref="C58:P58" ca="1" si="4">C54*C56</f>
        <v>0</v>
      </c>
      <c r="D58" s="23">
        <f t="shared" si="4"/>
        <v>0</v>
      </c>
      <c r="E58" s="23">
        <f t="shared" si="4"/>
        <v>0</v>
      </c>
      <c r="F58" s="23">
        <f t="shared" si="4"/>
        <v>0</v>
      </c>
      <c r="G58" s="23">
        <f t="shared" si="4"/>
        <v>223.04330807107735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921.26322839650982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270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192.85714285714286</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578.57142857142856</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38.957142857142863</v>
      </c>
      <c r="P9" s="1183"/>
      <c r="Q9" s="1184"/>
      <c r="R9" s="551"/>
      <c r="S9" s="953"/>
      <c r="T9" s="1169"/>
      <c r="U9" s="1169"/>
    </row>
    <row r="10" spans="1:21" s="530" customFormat="1" ht="16.5" thickTop="1" thickBot="1">
      <c r="A10" s="552" t="s">
        <v>109</v>
      </c>
      <c r="B10" s="553">
        <f>SUM(B4:B9)</f>
        <v>1191.2632283965099</v>
      </c>
      <c r="C10" s="554">
        <f t="shared" ref="C10:L10" si="0">SUM(C8:C9)</f>
        <v>192.85714285714286</v>
      </c>
      <c r="D10" s="554">
        <f t="shared" si="0"/>
        <v>0</v>
      </c>
      <c r="E10" s="554">
        <f t="shared" si="0"/>
        <v>0</v>
      </c>
      <c r="F10" s="554">
        <f t="shared" si="0"/>
        <v>0</v>
      </c>
      <c r="G10" s="554">
        <f t="shared" si="0"/>
        <v>0</v>
      </c>
      <c r="H10" s="554">
        <f t="shared" si="0"/>
        <v>0</v>
      </c>
      <c r="I10" s="554">
        <f t="shared" si="0"/>
        <v>0</v>
      </c>
      <c r="J10" s="554">
        <f t="shared" si="0"/>
        <v>578.57142857142856</v>
      </c>
      <c r="K10" s="554">
        <f t="shared" si="0"/>
        <v>0</v>
      </c>
      <c r="L10" s="554">
        <f t="shared" si="0"/>
        <v>0</v>
      </c>
      <c r="M10" s="915"/>
      <c r="N10" s="915"/>
      <c r="O10" s="555">
        <f>SUM(O4:O9)</f>
        <v>38.957142857142863</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45065</v>
      </c>
      <c r="C35" s="736">
        <v>9630</v>
      </c>
      <c r="D35" s="628"/>
      <c r="E35" s="628"/>
      <c r="F35" s="628"/>
      <c r="G35" s="628" t="s">
        <v>962</v>
      </c>
      <c r="H35" s="628" t="s">
        <v>963</v>
      </c>
      <c r="I35" s="628"/>
      <c r="J35" s="735"/>
      <c r="K35" s="735"/>
      <c r="L35" s="628" t="s">
        <v>964</v>
      </c>
      <c r="M35" s="628">
        <v>60</v>
      </c>
      <c r="N35" s="628">
        <v>270</v>
      </c>
      <c r="O35" s="628">
        <v>0</v>
      </c>
      <c r="P35" s="628">
        <v>192.85714285714286</v>
      </c>
      <c r="Q35" s="628">
        <v>578.57142857142856</v>
      </c>
      <c r="R35" s="628">
        <v>0</v>
      </c>
      <c r="S35" s="628">
        <v>0</v>
      </c>
      <c r="T35" s="628">
        <v>0</v>
      </c>
      <c r="U35" s="628">
        <v>0</v>
      </c>
      <c r="V35" s="628">
        <v>0</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60</v>
      </c>
      <c r="N36" s="583">
        <f>SUM(N35:N35)</f>
        <v>270</v>
      </c>
      <c r="O36" s="583">
        <f>SUM(O35:O35)</f>
        <v>0</v>
      </c>
      <c r="P36" s="583">
        <f>SUM(P35:P35)</f>
        <v>192.85714285714286</v>
      </c>
      <c r="Q36" s="583">
        <f>SUM(Q35:Q35)</f>
        <v>578.57142857142856</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60</v>
      </c>
      <c r="N38" s="583">
        <f>SUMIF($AA$35:$AA$36,"tertiair",N35:N36)</f>
        <v>270</v>
      </c>
      <c r="O38" s="583">
        <f>SUMIF($AA$35:$AA$36,"tertiair",O35:O36)</f>
        <v>0</v>
      </c>
      <c r="P38" s="583">
        <f>SUMIF($AA$35:$AA$36,"tertiair",P35:P36)</f>
        <v>192.85714285714286</v>
      </c>
      <c r="Q38" s="583">
        <f>SUMIF($AA$35:$AA$36,"tertiair",Q35:Q36)</f>
        <v>578.57142857142856</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7304.017960404909</v>
      </c>
      <c r="D10" s="635">
        <f ca="1">tertiair!C16</f>
        <v>0</v>
      </c>
      <c r="E10" s="635">
        <f ca="1">tertiair!D16</f>
        <v>3064.9700187440462</v>
      </c>
      <c r="F10" s="635">
        <f>tertiair!E16</f>
        <v>159.72842465297913</v>
      </c>
      <c r="G10" s="635">
        <f ca="1">tertiair!F16</f>
        <v>1279.2852769578822</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4.6900000000000004</v>
      </c>
      <c r="Q10" s="636">
        <f>tertiair!P16</f>
        <v>0</v>
      </c>
      <c r="R10" s="638">
        <f ca="1">SUM(C10:Q10)</f>
        <v>11812.691680759817</v>
      </c>
      <c r="S10" s="67"/>
    </row>
    <row r="11" spans="1:19" s="441" customFormat="1">
      <c r="A11" s="749" t="s">
        <v>214</v>
      </c>
      <c r="B11" s="754"/>
      <c r="C11" s="635">
        <f>huishoudens!B8</f>
        <v>16450.499490200436</v>
      </c>
      <c r="D11" s="635">
        <f>huishoudens!C8</f>
        <v>0</v>
      </c>
      <c r="E11" s="635">
        <f>huishoudens!D8</f>
        <v>10953.083276221931</v>
      </c>
      <c r="F11" s="635">
        <f>huishoudens!E8</f>
        <v>1159.6222880325138</v>
      </c>
      <c r="G11" s="635">
        <f>huishoudens!F8</f>
        <v>39583.005974383741</v>
      </c>
      <c r="H11" s="635">
        <f>huishoudens!G8</f>
        <v>0</v>
      </c>
      <c r="I11" s="635">
        <f>huishoudens!H8</f>
        <v>0</v>
      </c>
      <c r="J11" s="635">
        <f>huishoudens!I8</f>
        <v>0</v>
      </c>
      <c r="K11" s="635">
        <f>huishoudens!J8</f>
        <v>891.30894025541113</v>
      </c>
      <c r="L11" s="635">
        <f>huishoudens!K8</f>
        <v>0</v>
      </c>
      <c r="M11" s="635">
        <f>huishoudens!L8</f>
        <v>0</v>
      </c>
      <c r="N11" s="635">
        <f>huishoudens!M8</f>
        <v>0</v>
      </c>
      <c r="O11" s="635">
        <f>huishoudens!N8</f>
        <v>4228.3954361980113</v>
      </c>
      <c r="P11" s="635">
        <f>huishoudens!O8</f>
        <v>48.463333333333338</v>
      </c>
      <c r="Q11" s="636">
        <f>huishoudens!P8</f>
        <v>362.26666666666665</v>
      </c>
      <c r="R11" s="638">
        <f>SUM(C11:Q11)</f>
        <v>73676.645405292045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1190.9410882413961</v>
      </c>
      <c r="D13" s="635">
        <f>industrie!C18</f>
        <v>0</v>
      </c>
      <c r="E13" s="635">
        <f>industrie!D18</f>
        <v>206.98343793846206</v>
      </c>
      <c r="F13" s="635">
        <f>industrie!E18</f>
        <v>14.049365294941277</v>
      </c>
      <c r="G13" s="635">
        <f>industrie!F18</f>
        <v>481.61243907177288</v>
      </c>
      <c r="H13" s="635">
        <f>industrie!G18</f>
        <v>0</v>
      </c>
      <c r="I13" s="635">
        <f>industrie!H18</f>
        <v>0</v>
      </c>
      <c r="J13" s="635">
        <f>industrie!I18</f>
        <v>0</v>
      </c>
      <c r="K13" s="635">
        <f>industrie!J18</f>
        <v>4.9968175534596639</v>
      </c>
      <c r="L13" s="635">
        <f>industrie!K18</f>
        <v>0</v>
      </c>
      <c r="M13" s="635">
        <f>industrie!L18</f>
        <v>0</v>
      </c>
      <c r="N13" s="635">
        <f>industrie!M18</f>
        <v>0</v>
      </c>
      <c r="O13" s="635">
        <f>industrie!N18</f>
        <v>44.949772943295073</v>
      </c>
      <c r="P13" s="635">
        <f>industrie!O18</f>
        <v>0</v>
      </c>
      <c r="Q13" s="636">
        <f>industrie!P18</f>
        <v>0</v>
      </c>
      <c r="R13" s="638">
        <f>SUM(C13:Q13)</f>
        <v>1943.532921043327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24945.458538846742</v>
      </c>
      <c r="D16" s="668">
        <f t="shared" ref="D16:R16" ca="1" si="0">SUM(D9:D15)</f>
        <v>0</v>
      </c>
      <c r="E16" s="668">
        <f t="shared" ca="1" si="0"/>
        <v>14225.03673290444</v>
      </c>
      <c r="F16" s="668">
        <f t="shared" si="0"/>
        <v>1333.4000779804342</v>
      </c>
      <c r="G16" s="668">
        <f t="shared" ca="1" si="0"/>
        <v>41343.903690413397</v>
      </c>
      <c r="H16" s="668">
        <f t="shared" si="0"/>
        <v>0</v>
      </c>
      <c r="I16" s="668">
        <f t="shared" si="0"/>
        <v>0</v>
      </c>
      <c r="J16" s="668">
        <f t="shared" si="0"/>
        <v>0</v>
      </c>
      <c r="K16" s="668">
        <f t="shared" si="0"/>
        <v>896.30575780887079</v>
      </c>
      <c r="L16" s="668">
        <f t="shared" si="0"/>
        <v>0</v>
      </c>
      <c r="M16" s="668">
        <f t="shared" ca="1" si="0"/>
        <v>0</v>
      </c>
      <c r="N16" s="668">
        <f t="shared" si="0"/>
        <v>0</v>
      </c>
      <c r="O16" s="668">
        <f t="shared" ca="1" si="0"/>
        <v>4273.3452091413064</v>
      </c>
      <c r="P16" s="668">
        <f t="shared" si="0"/>
        <v>53.153333333333336</v>
      </c>
      <c r="Q16" s="668">
        <f t="shared" si="0"/>
        <v>362.26666666666665</v>
      </c>
      <c r="R16" s="668">
        <f t="shared" ca="1" si="0"/>
        <v>87432.870007095189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3.8506884323078516</v>
      </c>
      <c r="D19" s="635">
        <f>transport!C54</f>
        <v>0</v>
      </c>
      <c r="E19" s="635">
        <f>transport!D54</f>
        <v>0</v>
      </c>
      <c r="F19" s="635">
        <f>transport!E54</f>
        <v>0</v>
      </c>
      <c r="G19" s="635">
        <f>transport!F54</f>
        <v>0</v>
      </c>
      <c r="H19" s="635">
        <f>transport!G54</f>
        <v>835.3681950227616</v>
      </c>
      <c r="I19" s="635">
        <f>transport!H54</f>
        <v>0</v>
      </c>
      <c r="J19" s="635">
        <f>transport!I54</f>
        <v>0</v>
      </c>
      <c r="K19" s="635">
        <f>transport!J54</f>
        <v>0</v>
      </c>
      <c r="L19" s="635">
        <f>transport!K54</f>
        <v>0</v>
      </c>
      <c r="M19" s="635">
        <f>transport!L54</f>
        <v>0</v>
      </c>
      <c r="N19" s="635">
        <f>transport!M54</f>
        <v>35.767257253607724</v>
      </c>
      <c r="O19" s="635">
        <f>transport!N54</f>
        <v>0</v>
      </c>
      <c r="P19" s="635">
        <f>transport!O54</f>
        <v>0</v>
      </c>
      <c r="Q19" s="636">
        <f>transport!P54</f>
        <v>0</v>
      </c>
      <c r="R19" s="638">
        <f>SUM(C19:Q19)</f>
        <v>874.98614070867711</v>
      </c>
      <c r="S19" s="67"/>
    </row>
    <row r="20" spans="1:19" s="441" customFormat="1">
      <c r="A20" s="749" t="s">
        <v>296</v>
      </c>
      <c r="B20" s="754"/>
      <c r="C20" s="635">
        <f>transport!B14</f>
        <v>0.69648783440056139</v>
      </c>
      <c r="D20" s="635">
        <f>transport!C14</f>
        <v>0</v>
      </c>
      <c r="E20" s="635">
        <f>transport!D14</f>
        <v>2.4380570436147595</v>
      </c>
      <c r="F20" s="635">
        <f>transport!E14</f>
        <v>248.46738337154699</v>
      </c>
      <c r="G20" s="635">
        <f>transport!F14</f>
        <v>0</v>
      </c>
      <c r="H20" s="635">
        <f>transport!G14</f>
        <v>44232.041000762227</v>
      </c>
      <c r="I20" s="635">
        <f>transport!H14</f>
        <v>8339.0704340135799</v>
      </c>
      <c r="J20" s="635">
        <f>transport!I14</f>
        <v>0</v>
      </c>
      <c r="K20" s="635">
        <f>transport!J14</f>
        <v>0</v>
      </c>
      <c r="L20" s="635">
        <f>transport!K14</f>
        <v>0</v>
      </c>
      <c r="M20" s="635">
        <f>transport!L14</f>
        <v>0</v>
      </c>
      <c r="N20" s="635">
        <f>transport!M14</f>
        <v>2289.2861898596152</v>
      </c>
      <c r="O20" s="635">
        <f>transport!N14</f>
        <v>0</v>
      </c>
      <c r="P20" s="635">
        <f>transport!O14</f>
        <v>0</v>
      </c>
      <c r="Q20" s="636">
        <f>transport!P14</f>
        <v>0</v>
      </c>
      <c r="R20" s="638">
        <f>SUM(C20:Q20)</f>
        <v>55111.999552884983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4.547176266708413</v>
      </c>
      <c r="D22" s="752">
        <f t="shared" ref="D22:R22" si="1">SUM(D18:D21)</f>
        <v>0</v>
      </c>
      <c r="E22" s="752">
        <f t="shared" si="1"/>
        <v>2.4380570436147595</v>
      </c>
      <c r="F22" s="752">
        <f t="shared" si="1"/>
        <v>248.46738337154699</v>
      </c>
      <c r="G22" s="752">
        <f t="shared" si="1"/>
        <v>0</v>
      </c>
      <c r="H22" s="752">
        <f t="shared" si="1"/>
        <v>45067.409195784989</v>
      </c>
      <c r="I22" s="752">
        <f t="shared" si="1"/>
        <v>8339.0704340135799</v>
      </c>
      <c r="J22" s="752">
        <f t="shared" si="1"/>
        <v>0</v>
      </c>
      <c r="K22" s="752">
        <f t="shared" si="1"/>
        <v>0</v>
      </c>
      <c r="L22" s="752">
        <f t="shared" si="1"/>
        <v>0</v>
      </c>
      <c r="M22" s="752">
        <f t="shared" si="1"/>
        <v>0</v>
      </c>
      <c r="N22" s="752">
        <f t="shared" si="1"/>
        <v>2325.0534471132228</v>
      </c>
      <c r="O22" s="752">
        <f t="shared" si="1"/>
        <v>0</v>
      </c>
      <c r="P22" s="752">
        <f t="shared" si="1"/>
        <v>0</v>
      </c>
      <c r="Q22" s="752">
        <f t="shared" si="1"/>
        <v>0</v>
      </c>
      <c r="R22" s="752">
        <f t="shared" si="1"/>
        <v>55986.985693593662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996.21324499475895</v>
      </c>
      <c r="D24" s="635">
        <f>+landbouw!C8</f>
        <v>0</v>
      </c>
      <c r="E24" s="635">
        <f>+landbouw!D8</f>
        <v>62.839391354974502</v>
      </c>
      <c r="F24" s="635">
        <f>+landbouw!E8</f>
        <v>8.9771454205969334</v>
      </c>
      <c r="G24" s="635">
        <f>+landbouw!F8</f>
        <v>3732.8414124932224</v>
      </c>
      <c r="H24" s="635">
        <f>+landbouw!G8</f>
        <v>0</v>
      </c>
      <c r="I24" s="635">
        <f>+landbouw!H8</f>
        <v>0</v>
      </c>
      <c r="J24" s="635">
        <f>+landbouw!I8</f>
        <v>0</v>
      </c>
      <c r="K24" s="635">
        <f>+landbouw!J8</f>
        <v>100.81266017053838</v>
      </c>
      <c r="L24" s="635">
        <f>+landbouw!K8</f>
        <v>0</v>
      </c>
      <c r="M24" s="635">
        <f>+landbouw!L8</f>
        <v>0</v>
      </c>
      <c r="N24" s="635">
        <f>+landbouw!M8</f>
        <v>0</v>
      </c>
      <c r="O24" s="635">
        <f>+landbouw!N8</f>
        <v>0</v>
      </c>
      <c r="P24" s="635">
        <f>+landbouw!O8</f>
        <v>0</v>
      </c>
      <c r="Q24" s="636">
        <f>+landbouw!P8</f>
        <v>0</v>
      </c>
      <c r="R24" s="638">
        <f>SUM(C24:Q24)</f>
        <v>4901.6838544340908</v>
      </c>
      <c r="S24" s="67"/>
    </row>
    <row r="25" spans="1:19" s="441" customFormat="1" ht="15" thickBot="1">
      <c r="A25" s="771" t="s">
        <v>864</v>
      </c>
      <c r="B25" s="923"/>
      <c r="C25" s="924">
        <f>IF(Onbekend_ele_kWh="---",0,Onbekend_ele_kWh)/1000+IF(REST_rest_ele_kWh="---",0,REST_rest_ele_kWh)/1000</f>
        <v>574.46826637194795</v>
      </c>
      <c r="D25" s="924"/>
      <c r="E25" s="924">
        <f>IF(onbekend_gas_kWh="---",0,onbekend_gas_kWh)/1000+IF(REST_rest_gas_kWh="---",0,REST_rest_gas_kWh)/1000</f>
        <v>554.43441036388197</v>
      </c>
      <c r="F25" s="924"/>
      <c r="G25" s="924"/>
      <c r="H25" s="924"/>
      <c r="I25" s="924"/>
      <c r="J25" s="924"/>
      <c r="K25" s="924"/>
      <c r="L25" s="924"/>
      <c r="M25" s="924"/>
      <c r="N25" s="924"/>
      <c r="O25" s="924"/>
      <c r="P25" s="924"/>
      <c r="Q25" s="925"/>
      <c r="R25" s="638">
        <f>SUM(C25:Q25)</f>
        <v>1128.90267673583</v>
      </c>
      <c r="S25" s="67"/>
    </row>
    <row r="26" spans="1:19" s="441" customFormat="1" ht="15.75" thickBot="1">
      <c r="A26" s="641" t="s">
        <v>865</v>
      </c>
      <c r="B26" s="757"/>
      <c r="C26" s="752">
        <f>SUM(C24:C25)</f>
        <v>1570.6815113667069</v>
      </c>
      <c r="D26" s="752">
        <f t="shared" ref="D26:R26" si="2">SUM(D24:D25)</f>
        <v>0</v>
      </c>
      <c r="E26" s="752">
        <f t="shared" si="2"/>
        <v>617.27380171885648</v>
      </c>
      <c r="F26" s="752">
        <f t="shared" si="2"/>
        <v>8.9771454205969334</v>
      </c>
      <c r="G26" s="752">
        <f t="shared" si="2"/>
        <v>3732.8414124932224</v>
      </c>
      <c r="H26" s="752">
        <f t="shared" si="2"/>
        <v>0</v>
      </c>
      <c r="I26" s="752">
        <f t="shared" si="2"/>
        <v>0</v>
      </c>
      <c r="J26" s="752">
        <f t="shared" si="2"/>
        <v>0</v>
      </c>
      <c r="K26" s="752">
        <f t="shared" si="2"/>
        <v>100.81266017053838</v>
      </c>
      <c r="L26" s="752">
        <f t="shared" si="2"/>
        <v>0</v>
      </c>
      <c r="M26" s="752">
        <f t="shared" si="2"/>
        <v>0</v>
      </c>
      <c r="N26" s="752">
        <f t="shared" si="2"/>
        <v>0</v>
      </c>
      <c r="O26" s="752">
        <f t="shared" si="2"/>
        <v>0</v>
      </c>
      <c r="P26" s="752">
        <f t="shared" si="2"/>
        <v>0</v>
      </c>
      <c r="Q26" s="752">
        <f t="shared" si="2"/>
        <v>0</v>
      </c>
      <c r="R26" s="752">
        <f t="shared" si="2"/>
        <v>6030.5865311699208</v>
      </c>
      <c r="S26" s="67"/>
    </row>
    <row r="27" spans="1:19" s="441" customFormat="1" ht="17.25" thickTop="1" thickBot="1">
      <c r="A27" s="642" t="s">
        <v>109</v>
      </c>
      <c r="B27" s="744"/>
      <c r="C27" s="643">
        <f ca="1">C22+C16+C26</f>
        <v>26520.687226480157</v>
      </c>
      <c r="D27" s="643">
        <f t="shared" ref="D27:R27" ca="1" si="3">D22+D16+D26</f>
        <v>0</v>
      </c>
      <c r="E27" s="643">
        <f t="shared" ca="1" si="3"/>
        <v>14844.748591666912</v>
      </c>
      <c r="F27" s="643">
        <f t="shared" si="3"/>
        <v>1590.8446067725781</v>
      </c>
      <c r="G27" s="643">
        <f t="shared" ca="1" si="3"/>
        <v>45076.745102906621</v>
      </c>
      <c r="H27" s="643">
        <f t="shared" si="3"/>
        <v>45067.409195784989</v>
      </c>
      <c r="I27" s="643">
        <f t="shared" si="3"/>
        <v>8339.0704340135799</v>
      </c>
      <c r="J27" s="643">
        <f t="shared" si="3"/>
        <v>0</v>
      </c>
      <c r="K27" s="643">
        <f t="shared" si="3"/>
        <v>997.11841797940917</v>
      </c>
      <c r="L27" s="643">
        <f t="shared" si="3"/>
        <v>0</v>
      </c>
      <c r="M27" s="643">
        <f t="shared" ca="1" si="3"/>
        <v>0</v>
      </c>
      <c r="N27" s="643">
        <f t="shared" si="3"/>
        <v>2325.0534471132228</v>
      </c>
      <c r="O27" s="643">
        <f t="shared" ca="1" si="3"/>
        <v>4273.3452091413064</v>
      </c>
      <c r="P27" s="643">
        <f t="shared" si="3"/>
        <v>53.153333333333336</v>
      </c>
      <c r="Q27" s="643">
        <f t="shared" si="3"/>
        <v>362.26666666666665</v>
      </c>
      <c r="R27" s="643">
        <f t="shared" ca="1" si="3"/>
        <v>149450.44223185876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1552.4105693510221</v>
      </c>
      <c r="D40" s="635">
        <f ca="1">tertiair!C20</f>
        <v>0</v>
      </c>
      <c r="E40" s="635">
        <f ca="1">tertiair!D20</f>
        <v>619.12394378629733</v>
      </c>
      <c r="F40" s="635">
        <f>tertiair!E20</f>
        <v>36.258352396226265</v>
      </c>
      <c r="G40" s="635">
        <f ca="1">tertiair!F20</f>
        <v>341.56916894775458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2549.3620344813003</v>
      </c>
    </row>
    <row r="41" spans="1:18">
      <c r="A41" s="762" t="s">
        <v>214</v>
      </c>
      <c r="B41" s="769"/>
      <c r="C41" s="635">
        <f ca="1">huishoudens!B12</f>
        <v>3496.4220266340949</v>
      </c>
      <c r="D41" s="635">
        <f ca="1">huishoudens!C12</f>
        <v>0</v>
      </c>
      <c r="E41" s="635">
        <f>huishoudens!D12</f>
        <v>2212.5228217968302</v>
      </c>
      <c r="F41" s="635">
        <f>huishoudens!E12</f>
        <v>263.23425938338062</v>
      </c>
      <c r="G41" s="635">
        <f>huishoudens!F12</f>
        <v>10568.66259516046</v>
      </c>
      <c r="H41" s="635">
        <f>huishoudens!G12</f>
        <v>0</v>
      </c>
      <c r="I41" s="635">
        <f>huishoudens!H12</f>
        <v>0</v>
      </c>
      <c r="J41" s="635">
        <f>huishoudens!I12</f>
        <v>0</v>
      </c>
      <c r="K41" s="635">
        <f>huishoudens!J12</f>
        <v>315.52336485041553</v>
      </c>
      <c r="L41" s="635">
        <f>huishoudens!K12</f>
        <v>0</v>
      </c>
      <c r="M41" s="635">
        <f>huishoudens!L12</f>
        <v>0</v>
      </c>
      <c r="N41" s="635">
        <f>huishoudens!M12</f>
        <v>0</v>
      </c>
      <c r="O41" s="635">
        <f>huishoudens!N12</f>
        <v>0</v>
      </c>
      <c r="P41" s="635">
        <f>huishoudens!O12</f>
        <v>0</v>
      </c>
      <c r="Q41" s="710">
        <f>huishoudens!P12</f>
        <v>0</v>
      </c>
      <c r="R41" s="790">
        <f t="shared" ca="1" si="4"/>
        <v>16856.36506782518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253.12499816989211</v>
      </c>
      <c r="D43" s="635">
        <f ca="1">industrie!C22</f>
        <v>0</v>
      </c>
      <c r="E43" s="635">
        <f>industrie!D22</f>
        <v>41.810654463569335</v>
      </c>
      <c r="F43" s="635">
        <f>industrie!E22</f>
        <v>3.18920592195167</v>
      </c>
      <c r="G43" s="635">
        <f>industrie!F22</f>
        <v>128.59052123216335</v>
      </c>
      <c r="H43" s="635">
        <f>industrie!G22</f>
        <v>0</v>
      </c>
      <c r="I43" s="635">
        <f>industrie!H22</f>
        <v>0</v>
      </c>
      <c r="J43" s="635">
        <f>industrie!I22</f>
        <v>0</v>
      </c>
      <c r="K43" s="635">
        <f>industrie!J22</f>
        <v>1.7688734139247209</v>
      </c>
      <c r="L43" s="635">
        <f>industrie!K22</f>
        <v>0</v>
      </c>
      <c r="M43" s="635">
        <f>industrie!L22</f>
        <v>0</v>
      </c>
      <c r="N43" s="635">
        <f>industrie!M22</f>
        <v>0</v>
      </c>
      <c r="O43" s="635">
        <f>industrie!N22</f>
        <v>0</v>
      </c>
      <c r="P43" s="635">
        <f>industrie!O22</f>
        <v>0</v>
      </c>
      <c r="Q43" s="710">
        <f>industrie!P22</f>
        <v>0</v>
      </c>
      <c r="R43" s="789">
        <f t="shared" ca="1" si="4"/>
        <v>428.48425320150119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5301.9575941550092</v>
      </c>
      <c r="D46" s="668">
        <f t="shared" ref="D46:Q46" ca="1" si="5">SUM(D39:D45)</f>
        <v>0</v>
      </c>
      <c r="E46" s="668">
        <f t="shared" ca="1" si="5"/>
        <v>2873.4574200466968</v>
      </c>
      <c r="F46" s="668">
        <f t="shared" si="5"/>
        <v>302.68181770155854</v>
      </c>
      <c r="G46" s="668">
        <f t="shared" ca="1" si="5"/>
        <v>11038.822285340379</v>
      </c>
      <c r="H46" s="668">
        <f t="shared" si="5"/>
        <v>0</v>
      </c>
      <c r="I46" s="668">
        <f t="shared" si="5"/>
        <v>0</v>
      </c>
      <c r="J46" s="668">
        <f t="shared" si="5"/>
        <v>0</v>
      </c>
      <c r="K46" s="668">
        <f t="shared" si="5"/>
        <v>317.29223826434026</v>
      </c>
      <c r="L46" s="668">
        <f t="shared" si="5"/>
        <v>0</v>
      </c>
      <c r="M46" s="668">
        <f t="shared" ca="1" si="5"/>
        <v>0</v>
      </c>
      <c r="N46" s="668">
        <f t="shared" si="5"/>
        <v>0</v>
      </c>
      <c r="O46" s="668">
        <f t="shared" ca="1" si="5"/>
        <v>0</v>
      </c>
      <c r="P46" s="668">
        <f t="shared" si="5"/>
        <v>0</v>
      </c>
      <c r="Q46" s="668">
        <f t="shared" si="5"/>
        <v>0</v>
      </c>
      <c r="R46" s="668">
        <f ca="1">SUM(R39:R45)</f>
        <v>19834.211355507981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0.81843301234996368</v>
      </c>
      <c r="D49" s="635">
        <f ca="1">transport!C58</f>
        <v>0</v>
      </c>
      <c r="E49" s="635">
        <f>transport!D58</f>
        <v>0</v>
      </c>
      <c r="F49" s="635">
        <f>transport!E58</f>
        <v>0</v>
      </c>
      <c r="G49" s="635">
        <f>transport!F58</f>
        <v>0</v>
      </c>
      <c r="H49" s="635">
        <f>transport!G58</f>
        <v>223.04330807107735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223.86174108342732</v>
      </c>
    </row>
    <row r="50" spans="1:18">
      <c r="A50" s="765" t="s">
        <v>296</v>
      </c>
      <c r="B50" s="775"/>
      <c r="C50" s="930">
        <f ca="1">transport!B18</f>
        <v>0.14803291577447</v>
      </c>
      <c r="D50" s="930">
        <f>transport!C18</f>
        <v>0</v>
      </c>
      <c r="E50" s="930">
        <f>transport!D18</f>
        <v>0.49248752281018143</v>
      </c>
      <c r="F50" s="930">
        <f>transport!E18</f>
        <v>56.402096025341166</v>
      </c>
      <c r="G50" s="930">
        <f>transport!F18</f>
        <v>0</v>
      </c>
      <c r="H50" s="930">
        <f>transport!G18</f>
        <v>11809.954947203516</v>
      </c>
      <c r="I50" s="930">
        <f>transport!H18</f>
        <v>2076.4285380693814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13943.426101736824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0.96646592812443366</v>
      </c>
      <c r="D52" s="668">
        <f t="shared" ref="D52:Q52" ca="1" si="6">SUM(D48:D51)</f>
        <v>0</v>
      </c>
      <c r="E52" s="668">
        <f t="shared" si="6"/>
        <v>0.49248752281018143</v>
      </c>
      <c r="F52" s="668">
        <f t="shared" si="6"/>
        <v>56.402096025341166</v>
      </c>
      <c r="G52" s="668">
        <f t="shared" si="6"/>
        <v>0</v>
      </c>
      <c r="H52" s="668">
        <f t="shared" si="6"/>
        <v>12032.998255274593</v>
      </c>
      <c r="I52" s="668">
        <f t="shared" si="6"/>
        <v>2076.4285380693814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14167.287842820251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211.7371533368476</v>
      </c>
      <c r="D54" s="930">
        <f ca="1">+landbouw!C12</f>
        <v>0</v>
      </c>
      <c r="E54" s="930">
        <f>+landbouw!D12</f>
        <v>12.693557053704851</v>
      </c>
      <c r="F54" s="930">
        <f>+landbouw!E12</f>
        <v>2.0378120104755038</v>
      </c>
      <c r="G54" s="930">
        <f>+landbouw!F12</f>
        <v>996.66865713569041</v>
      </c>
      <c r="H54" s="930">
        <f>+landbouw!G12</f>
        <v>0</v>
      </c>
      <c r="I54" s="930">
        <f>+landbouw!H12</f>
        <v>0</v>
      </c>
      <c r="J54" s="930">
        <f>+landbouw!I12</f>
        <v>0</v>
      </c>
      <c r="K54" s="930">
        <f>+landbouw!J12</f>
        <v>35.687681700370582</v>
      </c>
      <c r="L54" s="930">
        <f>+landbouw!K12</f>
        <v>0</v>
      </c>
      <c r="M54" s="930">
        <f>+landbouw!L12</f>
        <v>0</v>
      </c>
      <c r="N54" s="930">
        <f>+landbouw!M12</f>
        <v>0</v>
      </c>
      <c r="O54" s="930">
        <f>+landbouw!N12</f>
        <v>0</v>
      </c>
      <c r="P54" s="930">
        <f>+landbouw!O12</f>
        <v>0</v>
      </c>
      <c r="Q54" s="931">
        <f>+landbouw!P12</f>
        <v>0</v>
      </c>
      <c r="R54" s="667">
        <f ca="1">SUM(C54:Q54)</f>
        <v>1258.824861237089</v>
      </c>
    </row>
    <row r="55" spans="1:18" ht="15" thickBot="1">
      <c r="A55" s="765" t="s">
        <v>864</v>
      </c>
      <c r="B55" s="775"/>
      <c r="C55" s="930">
        <f ca="1">C25*'EF ele_warmte'!B12</f>
        <v>122.09863301364769</v>
      </c>
      <c r="D55" s="930"/>
      <c r="E55" s="930">
        <f>E25*EF_CO2_aardgas</f>
        <v>111.99575089350417</v>
      </c>
      <c r="F55" s="930"/>
      <c r="G55" s="930"/>
      <c r="H55" s="930"/>
      <c r="I55" s="930"/>
      <c r="J55" s="930"/>
      <c r="K55" s="930"/>
      <c r="L55" s="930"/>
      <c r="M55" s="930"/>
      <c r="N55" s="930"/>
      <c r="O55" s="930"/>
      <c r="P55" s="930"/>
      <c r="Q55" s="931"/>
      <c r="R55" s="667">
        <f ca="1">SUM(C55:Q55)</f>
        <v>234.09438390715184</v>
      </c>
    </row>
    <row r="56" spans="1:18" ht="15.75" thickBot="1">
      <c r="A56" s="763" t="s">
        <v>865</v>
      </c>
      <c r="B56" s="776"/>
      <c r="C56" s="668">
        <f ca="1">SUM(C54:C55)</f>
        <v>333.83578635049525</v>
      </c>
      <c r="D56" s="668">
        <f t="shared" ref="D56:Q56" ca="1" si="7">SUM(D54:D55)</f>
        <v>0</v>
      </c>
      <c r="E56" s="668">
        <f t="shared" si="7"/>
        <v>124.68930794720902</v>
      </c>
      <c r="F56" s="668">
        <f t="shared" si="7"/>
        <v>2.0378120104755038</v>
      </c>
      <c r="G56" s="668">
        <f t="shared" si="7"/>
        <v>996.66865713569041</v>
      </c>
      <c r="H56" s="668">
        <f t="shared" si="7"/>
        <v>0</v>
      </c>
      <c r="I56" s="668">
        <f t="shared" si="7"/>
        <v>0</v>
      </c>
      <c r="J56" s="668">
        <f t="shared" si="7"/>
        <v>0</v>
      </c>
      <c r="K56" s="668">
        <f t="shared" si="7"/>
        <v>35.687681700370582</v>
      </c>
      <c r="L56" s="668">
        <f t="shared" si="7"/>
        <v>0</v>
      </c>
      <c r="M56" s="668">
        <f t="shared" si="7"/>
        <v>0</v>
      </c>
      <c r="N56" s="668">
        <f t="shared" si="7"/>
        <v>0</v>
      </c>
      <c r="O56" s="668">
        <f t="shared" si="7"/>
        <v>0</v>
      </c>
      <c r="P56" s="668">
        <f t="shared" si="7"/>
        <v>0</v>
      </c>
      <c r="Q56" s="669">
        <f t="shared" si="7"/>
        <v>0</v>
      </c>
      <c r="R56" s="670">
        <f ca="1">SUM(R54:R55)</f>
        <v>1492.9192451442409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5636.7598464336288</v>
      </c>
      <c r="D61" s="676">
        <f t="shared" ref="D61:Q61" ca="1" si="8">D46+D52+D56</f>
        <v>0</v>
      </c>
      <c r="E61" s="676">
        <f t="shared" ca="1" si="8"/>
        <v>2998.6392155167159</v>
      </c>
      <c r="F61" s="676">
        <f t="shared" si="8"/>
        <v>361.12172573737519</v>
      </c>
      <c r="G61" s="676">
        <f t="shared" ca="1" si="8"/>
        <v>12035.49094247607</v>
      </c>
      <c r="H61" s="676">
        <f t="shared" si="8"/>
        <v>12032.998255274593</v>
      </c>
      <c r="I61" s="676">
        <f t="shared" si="8"/>
        <v>2076.4285380693814</v>
      </c>
      <c r="J61" s="676">
        <f t="shared" si="8"/>
        <v>0</v>
      </c>
      <c r="K61" s="676">
        <f t="shared" si="8"/>
        <v>352.97991996471086</v>
      </c>
      <c r="L61" s="676">
        <f t="shared" si="8"/>
        <v>0</v>
      </c>
      <c r="M61" s="676">
        <f t="shared" ca="1" si="8"/>
        <v>0</v>
      </c>
      <c r="N61" s="676">
        <f t="shared" si="8"/>
        <v>0</v>
      </c>
      <c r="O61" s="676">
        <f t="shared" ca="1" si="8"/>
        <v>0</v>
      </c>
      <c r="P61" s="676">
        <f t="shared" si="8"/>
        <v>0</v>
      </c>
      <c r="Q61" s="676">
        <f t="shared" si="8"/>
        <v>0</v>
      </c>
      <c r="R61" s="676">
        <f ca="1">R46+R52+R56</f>
        <v>35494.418443472474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0.2125419978108819</v>
      </c>
      <c r="D63" s="720">
        <f t="shared" ca="1" si="9"/>
        <v>0</v>
      </c>
      <c r="E63" s="932">
        <f t="shared" ca="1" si="9"/>
        <v>0.20199999999999999</v>
      </c>
      <c r="F63" s="720">
        <f t="shared" si="9"/>
        <v>0.22699999999999998</v>
      </c>
      <c r="G63" s="720">
        <f t="shared" ca="1" si="9"/>
        <v>0.26700000000000007</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921.26322839650982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202.5</v>
      </c>
      <c r="C77" s="686">
        <f>'lokale energieproductie'!B9*IFERROR(SUM(D77:H77)/SUM(D77:O77),0)</f>
        <v>67.5</v>
      </c>
      <c r="D77" s="711">
        <f>'lokale energieproductie'!C9</f>
        <v>192.85714285714286</v>
      </c>
      <c r="E77" s="712">
        <f>'lokale energieproductie'!D9</f>
        <v>0</v>
      </c>
      <c r="F77" s="712">
        <f>'lokale energieproductie'!E9</f>
        <v>0</v>
      </c>
      <c r="G77" s="712">
        <f>'lokale energieproductie'!F9</f>
        <v>0</v>
      </c>
      <c r="H77" s="712">
        <f>'lokale energieproductie'!G9</f>
        <v>0</v>
      </c>
      <c r="I77" s="943">
        <f>'lokale energieproductie'!I9</f>
        <v>0</v>
      </c>
      <c r="J77" s="943">
        <f>'lokale energieproductie'!J9</f>
        <v>578.57142857142856</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38.957142857142863</v>
      </c>
      <c r="R77" s="795">
        <v>0</v>
      </c>
    </row>
    <row r="78" spans="1:18" ht="16.5" thickTop="1" thickBot="1">
      <c r="A78" s="690" t="s">
        <v>109</v>
      </c>
      <c r="B78" s="691">
        <f>SUM(B72:B77)</f>
        <v>1123.7632283965099</v>
      </c>
      <c r="C78" s="691">
        <f>SUM(C72:C77)</f>
        <v>67.5</v>
      </c>
      <c r="D78" s="692">
        <f t="shared" ref="D78:H78" si="10">SUM(D76:D77)</f>
        <v>192.85714285714286</v>
      </c>
      <c r="E78" s="692">
        <f t="shared" si="10"/>
        <v>0</v>
      </c>
      <c r="F78" s="692">
        <f t="shared" si="10"/>
        <v>0</v>
      </c>
      <c r="G78" s="692">
        <f t="shared" si="10"/>
        <v>0</v>
      </c>
      <c r="H78" s="692">
        <f t="shared" si="10"/>
        <v>0</v>
      </c>
      <c r="I78" s="692">
        <f>SUM(I76:I77)</f>
        <v>0</v>
      </c>
      <c r="J78" s="692">
        <f>SUM(J76:J77)</f>
        <v>578.57142857142856</v>
      </c>
      <c r="K78" s="692">
        <f t="shared" ref="K78:L78" si="11">SUM(K76:K77)</f>
        <v>0</v>
      </c>
      <c r="L78" s="692">
        <f t="shared" si="11"/>
        <v>0</v>
      </c>
      <c r="M78" s="692">
        <f>SUM(M76:M77)</f>
        <v>0</v>
      </c>
      <c r="N78" s="692">
        <f>SUM(N76:N77)</f>
        <v>0</v>
      </c>
      <c r="O78" s="800">
        <f>SUM(O76:O77)</f>
        <v>0</v>
      </c>
      <c r="P78" s="693">
        <v>0</v>
      </c>
      <c r="Q78" s="693">
        <f>SUM(Q76:Q77)</f>
        <v>38.957142857142863</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16450.499490200436</v>
      </c>
      <c r="C4" s="445">
        <f>huishoudens!C8</f>
        <v>0</v>
      </c>
      <c r="D4" s="445">
        <f>huishoudens!D8</f>
        <v>10953.083276221931</v>
      </c>
      <c r="E4" s="445">
        <f>huishoudens!E8</f>
        <v>1159.6222880325138</v>
      </c>
      <c r="F4" s="445">
        <f>huishoudens!F8</f>
        <v>39583.005974383741</v>
      </c>
      <c r="G4" s="445">
        <f>huishoudens!G8</f>
        <v>0</v>
      </c>
      <c r="H4" s="445">
        <f>huishoudens!H8</f>
        <v>0</v>
      </c>
      <c r="I4" s="445">
        <f>huishoudens!I8</f>
        <v>0</v>
      </c>
      <c r="J4" s="445">
        <f>huishoudens!J8</f>
        <v>891.30894025541113</v>
      </c>
      <c r="K4" s="445">
        <f>huishoudens!K8</f>
        <v>0</v>
      </c>
      <c r="L4" s="445">
        <f>huishoudens!L8</f>
        <v>0</v>
      </c>
      <c r="M4" s="445">
        <f>huishoudens!M8</f>
        <v>0</v>
      </c>
      <c r="N4" s="445">
        <f>huishoudens!N8</f>
        <v>4228.3954361980113</v>
      </c>
      <c r="O4" s="445">
        <f>huishoudens!O8</f>
        <v>48.463333333333338</v>
      </c>
      <c r="P4" s="446">
        <f>huishoudens!P8</f>
        <v>362.26666666666665</v>
      </c>
      <c r="Q4" s="447">
        <f>SUM(B4:P4)</f>
        <v>73676.645405292045</v>
      </c>
    </row>
    <row r="5" spans="1:17">
      <c r="A5" s="444" t="s">
        <v>149</v>
      </c>
      <c r="B5" s="445">
        <f ca="1">tertiair!B16</f>
        <v>6575.566960404909</v>
      </c>
      <c r="C5" s="445">
        <f ca="1">tertiair!C16</f>
        <v>0</v>
      </c>
      <c r="D5" s="445">
        <f ca="1">tertiair!D16</f>
        <v>3064.9700187440462</v>
      </c>
      <c r="E5" s="445">
        <f>tertiair!E16</f>
        <v>159.72842465297913</v>
      </c>
      <c r="F5" s="445">
        <f ca="1">tertiair!F16</f>
        <v>1279.2852769578822</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4.6900000000000004</v>
      </c>
      <c r="P5" s="446">
        <f>tertiair!P16</f>
        <v>0</v>
      </c>
      <c r="Q5" s="444">
        <f t="shared" ref="Q5:Q14" ca="1" si="0">SUM(B5:P5)</f>
        <v>11084.240680759818</v>
      </c>
    </row>
    <row r="6" spans="1:17">
      <c r="A6" s="444" t="s">
        <v>187</v>
      </c>
      <c r="B6" s="445">
        <f>'openbare verlichting'!B8</f>
        <v>728.45100000000002</v>
      </c>
      <c r="C6" s="445"/>
      <c r="D6" s="445"/>
      <c r="E6" s="445"/>
      <c r="F6" s="445"/>
      <c r="G6" s="445"/>
      <c r="H6" s="445"/>
      <c r="I6" s="445"/>
      <c r="J6" s="445"/>
      <c r="K6" s="445"/>
      <c r="L6" s="445"/>
      <c r="M6" s="445"/>
      <c r="N6" s="445"/>
      <c r="O6" s="445"/>
      <c r="P6" s="446"/>
      <c r="Q6" s="444">
        <f t="shared" si="0"/>
        <v>728.45100000000002</v>
      </c>
    </row>
    <row r="7" spans="1:17">
      <c r="A7" s="444" t="s">
        <v>105</v>
      </c>
      <c r="B7" s="445">
        <f>landbouw!B8</f>
        <v>996.21324499475895</v>
      </c>
      <c r="C7" s="445">
        <f>landbouw!C8</f>
        <v>0</v>
      </c>
      <c r="D7" s="445">
        <f>landbouw!D8</f>
        <v>62.839391354974502</v>
      </c>
      <c r="E7" s="445">
        <f>landbouw!E8</f>
        <v>8.9771454205969334</v>
      </c>
      <c r="F7" s="445">
        <f>landbouw!F8</f>
        <v>3732.8414124932224</v>
      </c>
      <c r="G7" s="445">
        <f>landbouw!G8</f>
        <v>0</v>
      </c>
      <c r="H7" s="445">
        <f>landbouw!H8</f>
        <v>0</v>
      </c>
      <c r="I7" s="445">
        <f>landbouw!I8</f>
        <v>0</v>
      </c>
      <c r="J7" s="445">
        <f>landbouw!J8</f>
        <v>100.81266017053838</v>
      </c>
      <c r="K7" s="445">
        <f>landbouw!K8</f>
        <v>0</v>
      </c>
      <c r="L7" s="445">
        <f>landbouw!L8</f>
        <v>0</v>
      </c>
      <c r="M7" s="445">
        <f>landbouw!M8</f>
        <v>0</v>
      </c>
      <c r="N7" s="445">
        <f>landbouw!N8</f>
        <v>0</v>
      </c>
      <c r="O7" s="445">
        <f>landbouw!O8</f>
        <v>0</v>
      </c>
      <c r="P7" s="446">
        <f>landbouw!P8</f>
        <v>0</v>
      </c>
      <c r="Q7" s="444">
        <f t="shared" si="0"/>
        <v>4901.6838544340908</v>
      </c>
    </row>
    <row r="8" spans="1:17">
      <c r="A8" s="444" t="s">
        <v>613</v>
      </c>
      <c r="B8" s="445">
        <f>industrie!B18</f>
        <v>1190.9410882413961</v>
      </c>
      <c r="C8" s="445">
        <f>industrie!C18</f>
        <v>0</v>
      </c>
      <c r="D8" s="445">
        <f>industrie!D18</f>
        <v>206.98343793846206</v>
      </c>
      <c r="E8" s="445">
        <f>industrie!E18</f>
        <v>14.049365294941277</v>
      </c>
      <c r="F8" s="445">
        <f>industrie!F18</f>
        <v>481.61243907177288</v>
      </c>
      <c r="G8" s="445">
        <f>industrie!G18</f>
        <v>0</v>
      </c>
      <c r="H8" s="445">
        <f>industrie!H18</f>
        <v>0</v>
      </c>
      <c r="I8" s="445">
        <f>industrie!I18</f>
        <v>0</v>
      </c>
      <c r="J8" s="445">
        <f>industrie!J18</f>
        <v>4.9968175534596639</v>
      </c>
      <c r="K8" s="445">
        <f>industrie!K18</f>
        <v>0</v>
      </c>
      <c r="L8" s="445">
        <f>industrie!L18</f>
        <v>0</v>
      </c>
      <c r="M8" s="445">
        <f>industrie!M18</f>
        <v>0</v>
      </c>
      <c r="N8" s="445">
        <f>industrie!N18</f>
        <v>44.949772943295073</v>
      </c>
      <c r="O8" s="445">
        <f>industrie!O18</f>
        <v>0</v>
      </c>
      <c r="P8" s="446">
        <f>industrie!P18</f>
        <v>0</v>
      </c>
      <c r="Q8" s="444">
        <f t="shared" si="0"/>
        <v>1943.532921043327</v>
      </c>
    </row>
    <row r="9" spans="1:17" s="450" customFormat="1">
      <c r="A9" s="448" t="s">
        <v>555</v>
      </c>
      <c r="B9" s="449">
        <f>transport!B14</f>
        <v>0.69648783440056139</v>
      </c>
      <c r="C9" s="449">
        <f>transport!C14</f>
        <v>0</v>
      </c>
      <c r="D9" s="449">
        <f>transport!D14</f>
        <v>2.4380570436147595</v>
      </c>
      <c r="E9" s="449">
        <f>transport!E14</f>
        <v>248.46738337154699</v>
      </c>
      <c r="F9" s="449">
        <f>transport!F14</f>
        <v>0</v>
      </c>
      <c r="G9" s="449">
        <f>transport!G14</f>
        <v>44232.041000762227</v>
      </c>
      <c r="H9" s="449">
        <f>transport!H14</f>
        <v>8339.0704340135799</v>
      </c>
      <c r="I9" s="449">
        <f>transport!I14</f>
        <v>0</v>
      </c>
      <c r="J9" s="449">
        <f>transport!J14</f>
        <v>0</v>
      </c>
      <c r="K9" s="449">
        <f>transport!K14</f>
        <v>0</v>
      </c>
      <c r="L9" s="449">
        <f>transport!L14</f>
        <v>0</v>
      </c>
      <c r="M9" s="449">
        <f>transport!M14</f>
        <v>2289.2861898596152</v>
      </c>
      <c r="N9" s="449">
        <f>transport!N14</f>
        <v>0</v>
      </c>
      <c r="O9" s="449">
        <f>transport!O14</f>
        <v>0</v>
      </c>
      <c r="P9" s="449">
        <f>transport!P14</f>
        <v>0</v>
      </c>
      <c r="Q9" s="448">
        <f>SUM(B9:P9)</f>
        <v>55111.999552884983</v>
      </c>
    </row>
    <row r="10" spans="1:17">
      <c r="A10" s="444" t="s">
        <v>545</v>
      </c>
      <c r="B10" s="445">
        <f>transport!B54</f>
        <v>3.8506884323078516</v>
      </c>
      <c r="C10" s="445">
        <f>transport!C54</f>
        <v>0</v>
      </c>
      <c r="D10" s="445">
        <f>transport!D54</f>
        <v>0</v>
      </c>
      <c r="E10" s="445">
        <f>transport!E54</f>
        <v>0</v>
      </c>
      <c r="F10" s="445">
        <f>transport!F54</f>
        <v>0</v>
      </c>
      <c r="G10" s="445">
        <f>transport!G54</f>
        <v>835.3681950227616</v>
      </c>
      <c r="H10" s="445">
        <f>transport!H54</f>
        <v>0</v>
      </c>
      <c r="I10" s="445">
        <f>transport!I54</f>
        <v>0</v>
      </c>
      <c r="J10" s="445">
        <f>transport!J54</f>
        <v>0</v>
      </c>
      <c r="K10" s="445">
        <f>transport!K54</f>
        <v>0</v>
      </c>
      <c r="L10" s="445">
        <f>transport!L54</f>
        <v>0</v>
      </c>
      <c r="M10" s="445">
        <f>transport!M54</f>
        <v>35.767257253607724</v>
      </c>
      <c r="N10" s="445">
        <f>transport!N54</f>
        <v>0</v>
      </c>
      <c r="O10" s="445">
        <f>transport!O54</f>
        <v>0</v>
      </c>
      <c r="P10" s="446">
        <f>transport!P54</f>
        <v>0</v>
      </c>
      <c r="Q10" s="444">
        <f t="shared" si="0"/>
        <v>874.98614070867711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574.46826637194795</v>
      </c>
      <c r="C14" s="452"/>
      <c r="D14" s="452">
        <f>'SEAP template'!E25</f>
        <v>554.43441036388197</v>
      </c>
      <c r="E14" s="452"/>
      <c r="F14" s="452"/>
      <c r="G14" s="452"/>
      <c r="H14" s="452"/>
      <c r="I14" s="452"/>
      <c r="J14" s="452"/>
      <c r="K14" s="452"/>
      <c r="L14" s="452"/>
      <c r="M14" s="452"/>
      <c r="N14" s="452"/>
      <c r="O14" s="452"/>
      <c r="P14" s="453"/>
      <c r="Q14" s="444">
        <f t="shared" si="0"/>
        <v>1128.90267673583</v>
      </c>
    </row>
    <row r="15" spans="1:17" s="457" customFormat="1">
      <c r="A15" s="454" t="s">
        <v>549</v>
      </c>
      <c r="B15" s="455">
        <f ca="1">SUM(B4:B14)</f>
        <v>26520.687226480157</v>
      </c>
      <c r="C15" s="455">
        <f t="shared" ref="C15:Q15" ca="1" si="1">SUM(C4:C14)</f>
        <v>0</v>
      </c>
      <c r="D15" s="455">
        <f t="shared" ca="1" si="1"/>
        <v>14844.748591666912</v>
      </c>
      <c r="E15" s="455">
        <f t="shared" si="1"/>
        <v>1590.8446067725781</v>
      </c>
      <c r="F15" s="455">
        <f t="shared" ca="1" si="1"/>
        <v>45076.745102906621</v>
      </c>
      <c r="G15" s="455">
        <f t="shared" si="1"/>
        <v>45067.409195784989</v>
      </c>
      <c r="H15" s="455">
        <f t="shared" si="1"/>
        <v>8339.0704340135799</v>
      </c>
      <c r="I15" s="455">
        <f t="shared" si="1"/>
        <v>0</v>
      </c>
      <c r="J15" s="455">
        <f t="shared" si="1"/>
        <v>997.11841797940917</v>
      </c>
      <c r="K15" s="455">
        <f t="shared" si="1"/>
        <v>0</v>
      </c>
      <c r="L15" s="455">
        <f t="shared" ca="1" si="1"/>
        <v>0</v>
      </c>
      <c r="M15" s="455">
        <f t="shared" si="1"/>
        <v>2325.0534471132228</v>
      </c>
      <c r="N15" s="455">
        <f t="shared" ca="1" si="1"/>
        <v>4273.3452091413064</v>
      </c>
      <c r="O15" s="455">
        <f t="shared" si="1"/>
        <v>53.153333333333336</v>
      </c>
      <c r="P15" s="455">
        <f t="shared" si="1"/>
        <v>362.26666666666665</v>
      </c>
      <c r="Q15" s="455">
        <f t="shared" ca="1" si="1"/>
        <v>149450.44223185876</v>
      </c>
    </row>
    <row r="17" spans="1:17">
      <c r="A17" s="458" t="s">
        <v>550</v>
      </c>
      <c r="B17" s="725">
        <f ca="1">huishoudens!B10</f>
        <v>0.2125419978108819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3496.4220266340949</v>
      </c>
      <c r="C22" s="445">
        <f t="shared" ref="C22:C32" ca="1" si="3">C4*$C$17</f>
        <v>0</v>
      </c>
      <c r="D22" s="445">
        <f t="shared" ref="D22:D32" si="4">D4*$D$17</f>
        <v>2212.5228217968302</v>
      </c>
      <c r="E22" s="445">
        <f t="shared" ref="E22:E32" si="5">E4*$E$17</f>
        <v>263.23425938338062</v>
      </c>
      <c r="F22" s="445">
        <f t="shared" ref="F22:F32" si="6">F4*$F$17</f>
        <v>10568.66259516046</v>
      </c>
      <c r="G22" s="445">
        <f t="shared" ref="G22:G32" si="7">G4*$G$17</f>
        <v>0</v>
      </c>
      <c r="H22" s="445">
        <f t="shared" ref="H22:H32" si="8">H4*$H$17</f>
        <v>0</v>
      </c>
      <c r="I22" s="445">
        <f t="shared" ref="I22:I32" si="9">I4*$I$17</f>
        <v>0</v>
      </c>
      <c r="J22" s="445">
        <f t="shared" ref="J22:J32" si="10">J4*$J$17</f>
        <v>315.52336485041553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16856.36506782518</v>
      </c>
    </row>
    <row r="23" spans="1:17">
      <c r="A23" s="444" t="s">
        <v>149</v>
      </c>
      <c r="B23" s="445">
        <f t="shared" ca="1" si="2"/>
        <v>1397.5841385036874</v>
      </c>
      <c r="C23" s="445">
        <f t="shared" ca="1" si="3"/>
        <v>0</v>
      </c>
      <c r="D23" s="445">
        <f t="shared" ca="1" si="4"/>
        <v>619.12394378629733</v>
      </c>
      <c r="E23" s="445">
        <f t="shared" si="5"/>
        <v>36.258352396226265</v>
      </c>
      <c r="F23" s="445">
        <f t="shared" ca="1" si="6"/>
        <v>341.56916894775458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2394.5356036339654</v>
      </c>
    </row>
    <row r="24" spans="1:17">
      <c r="A24" s="444" t="s">
        <v>187</v>
      </c>
      <c r="B24" s="445">
        <f t="shared" ca="1" si="2"/>
        <v>154.82643084733473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154.82643084733473</v>
      </c>
    </row>
    <row r="25" spans="1:17">
      <c r="A25" s="444" t="s">
        <v>105</v>
      </c>
      <c r="B25" s="445">
        <f t="shared" ca="1" si="2"/>
        <v>211.7371533368476</v>
      </c>
      <c r="C25" s="445">
        <f t="shared" ca="1" si="3"/>
        <v>0</v>
      </c>
      <c r="D25" s="445">
        <f t="shared" si="4"/>
        <v>12.693557053704851</v>
      </c>
      <c r="E25" s="445">
        <f t="shared" si="5"/>
        <v>2.0378120104755038</v>
      </c>
      <c r="F25" s="445">
        <f t="shared" si="6"/>
        <v>996.66865713569041</v>
      </c>
      <c r="G25" s="445">
        <f t="shared" si="7"/>
        <v>0</v>
      </c>
      <c r="H25" s="445">
        <f t="shared" si="8"/>
        <v>0</v>
      </c>
      <c r="I25" s="445">
        <f t="shared" si="9"/>
        <v>0</v>
      </c>
      <c r="J25" s="445">
        <f t="shared" si="10"/>
        <v>35.687681700370582</v>
      </c>
      <c r="K25" s="445">
        <f t="shared" si="11"/>
        <v>0</v>
      </c>
      <c r="L25" s="445">
        <f t="shared" si="12"/>
        <v>0</v>
      </c>
      <c r="M25" s="445">
        <f t="shared" si="13"/>
        <v>0</v>
      </c>
      <c r="N25" s="445">
        <f t="shared" si="14"/>
        <v>0</v>
      </c>
      <c r="O25" s="445">
        <f t="shared" si="15"/>
        <v>0</v>
      </c>
      <c r="P25" s="446">
        <f t="shared" si="16"/>
        <v>0</v>
      </c>
      <c r="Q25" s="444">
        <f t="shared" ca="1" si="17"/>
        <v>1258.824861237089</v>
      </c>
    </row>
    <row r="26" spans="1:17">
      <c r="A26" s="444" t="s">
        <v>613</v>
      </c>
      <c r="B26" s="445">
        <f t="shared" ca="1" si="2"/>
        <v>253.12499816989211</v>
      </c>
      <c r="C26" s="445">
        <f t="shared" ca="1" si="3"/>
        <v>0</v>
      </c>
      <c r="D26" s="445">
        <f t="shared" si="4"/>
        <v>41.810654463569335</v>
      </c>
      <c r="E26" s="445">
        <f t="shared" si="5"/>
        <v>3.18920592195167</v>
      </c>
      <c r="F26" s="445">
        <f t="shared" si="6"/>
        <v>128.59052123216335</v>
      </c>
      <c r="G26" s="445">
        <f t="shared" si="7"/>
        <v>0</v>
      </c>
      <c r="H26" s="445">
        <f t="shared" si="8"/>
        <v>0</v>
      </c>
      <c r="I26" s="445">
        <f t="shared" si="9"/>
        <v>0</v>
      </c>
      <c r="J26" s="445">
        <f t="shared" si="10"/>
        <v>1.7688734139247209</v>
      </c>
      <c r="K26" s="445">
        <f t="shared" si="11"/>
        <v>0</v>
      </c>
      <c r="L26" s="445">
        <f t="shared" si="12"/>
        <v>0</v>
      </c>
      <c r="M26" s="445">
        <f t="shared" si="13"/>
        <v>0</v>
      </c>
      <c r="N26" s="445">
        <f t="shared" si="14"/>
        <v>0</v>
      </c>
      <c r="O26" s="445">
        <f t="shared" si="15"/>
        <v>0</v>
      </c>
      <c r="P26" s="446">
        <f t="shared" si="16"/>
        <v>0</v>
      </c>
      <c r="Q26" s="444">
        <f t="shared" ca="1" si="17"/>
        <v>428.48425320150119</v>
      </c>
    </row>
    <row r="27" spans="1:17" s="450" customFormat="1">
      <c r="A27" s="448" t="s">
        <v>555</v>
      </c>
      <c r="B27" s="719">
        <f t="shared" ca="1" si="2"/>
        <v>0.14803291577447</v>
      </c>
      <c r="C27" s="449">
        <f t="shared" ca="1" si="3"/>
        <v>0</v>
      </c>
      <c r="D27" s="449">
        <f t="shared" si="4"/>
        <v>0.49248752281018143</v>
      </c>
      <c r="E27" s="449">
        <f t="shared" si="5"/>
        <v>56.402096025341166</v>
      </c>
      <c r="F27" s="449">
        <f t="shared" si="6"/>
        <v>0</v>
      </c>
      <c r="G27" s="449">
        <f t="shared" si="7"/>
        <v>11809.954947203516</v>
      </c>
      <c r="H27" s="449">
        <f t="shared" si="8"/>
        <v>2076.4285380693814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13943.426101736824</v>
      </c>
    </row>
    <row r="28" spans="1:17">
      <c r="A28" s="444" t="s">
        <v>545</v>
      </c>
      <c r="B28" s="445">
        <f t="shared" ca="1" si="2"/>
        <v>0.81843301234996368</v>
      </c>
      <c r="C28" s="445">
        <f t="shared" ca="1" si="3"/>
        <v>0</v>
      </c>
      <c r="D28" s="445">
        <f t="shared" si="4"/>
        <v>0</v>
      </c>
      <c r="E28" s="445">
        <f t="shared" si="5"/>
        <v>0</v>
      </c>
      <c r="F28" s="445">
        <f t="shared" si="6"/>
        <v>0</v>
      </c>
      <c r="G28" s="445">
        <f t="shared" si="7"/>
        <v>223.04330807107735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223.86174108342732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122.09863301364769</v>
      </c>
      <c r="C32" s="445">
        <f t="shared" ca="1" si="3"/>
        <v>0</v>
      </c>
      <c r="D32" s="445">
        <f t="shared" si="4"/>
        <v>111.99575089350417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234.09438390715184</v>
      </c>
    </row>
    <row r="33" spans="1:17" s="457" customFormat="1">
      <c r="A33" s="454" t="s">
        <v>549</v>
      </c>
      <c r="B33" s="455">
        <f ca="1">SUM(B22:B32)</f>
        <v>5636.7598464336288</v>
      </c>
      <c r="C33" s="455">
        <f t="shared" ref="C33:Q33" ca="1" si="19">SUM(C22:C32)</f>
        <v>0</v>
      </c>
      <c r="D33" s="455">
        <f t="shared" ca="1" si="19"/>
        <v>2998.6392155167159</v>
      </c>
      <c r="E33" s="455">
        <f t="shared" si="19"/>
        <v>361.12172573737519</v>
      </c>
      <c r="F33" s="455">
        <f t="shared" ca="1" si="19"/>
        <v>12035.49094247607</v>
      </c>
      <c r="G33" s="455">
        <f t="shared" si="19"/>
        <v>12032.998255274593</v>
      </c>
      <c r="H33" s="455">
        <f t="shared" si="19"/>
        <v>2076.4285380693814</v>
      </c>
      <c r="I33" s="455">
        <f t="shared" si="19"/>
        <v>0</v>
      </c>
      <c r="J33" s="455">
        <f t="shared" si="19"/>
        <v>352.97991996471086</v>
      </c>
      <c r="K33" s="455">
        <f t="shared" si="19"/>
        <v>0</v>
      </c>
      <c r="L33" s="455">
        <f t="shared" ca="1" si="19"/>
        <v>0</v>
      </c>
      <c r="M33" s="455">
        <f t="shared" si="19"/>
        <v>0</v>
      </c>
      <c r="N33" s="455">
        <f t="shared" ca="1" si="19"/>
        <v>0</v>
      </c>
      <c r="O33" s="455">
        <f t="shared" si="19"/>
        <v>0</v>
      </c>
      <c r="P33" s="455">
        <f t="shared" si="19"/>
        <v>0</v>
      </c>
      <c r="Q33" s="455">
        <f t="shared" ca="1" si="19"/>
        <v>35494.418443472474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921.26322839650982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202.5</v>
      </c>
      <c r="C9" s="963">
        <f>'SEAP template'!C77</f>
        <v>67.5</v>
      </c>
      <c r="D9" s="963">
        <f>'SEAP template'!D77</f>
        <v>192.85714285714286</v>
      </c>
      <c r="E9" s="963">
        <f>'SEAP template'!E77</f>
        <v>0</v>
      </c>
      <c r="F9" s="963">
        <f>'SEAP template'!F77</f>
        <v>0</v>
      </c>
      <c r="G9" s="963">
        <f>'SEAP template'!G77</f>
        <v>0</v>
      </c>
      <c r="H9" s="963">
        <f>'SEAP template'!H77</f>
        <v>0</v>
      </c>
      <c r="I9" s="963">
        <f>'SEAP template'!I77</f>
        <v>0</v>
      </c>
      <c r="J9" s="963">
        <f>'SEAP template'!J77</f>
        <v>578.57142857142856</v>
      </c>
      <c r="K9" s="963">
        <f>'SEAP template'!K77</f>
        <v>0</v>
      </c>
      <c r="L9" s="963">
        <f>'SEAP template'!L77</f>
        <v>0</v>
      </c>
      <c r="M9" s="963">
        <f>'SEAP template'!M77</f>
        <v>0</v>
      </c>
      <c r="N9" s="963">
        <f>'SEAP template'!N77</f>
        <v>0</v>
      </c>
      <c r="O9" s="963">
        <f>'SEAP template'!O77</f>
        <v>0</v>
      </c>
      <c r="P9" s="964">
        <f>'SEAP template'!Q77</f>
        <v>38.957142857142863</v>
      </c>
    </row>
    <row r="10" spans="1:16">
      <c r="A10" s="965" t="s">
        <v>109</v>
      </c>
      <c r="B10" s="967">
        <f>SUM(B4:B9)</f>
        <v>1123.7632283965099</v>
      </c>
      <c r="C10" s="967">
        <f>SUM(C4:C9)</f>
        <v>67.5</v>
      </c>
      <c r="D10" s="967">
        <f t="shared" ref="D10:H10" si="0">SUM(D8:D9)</f>
        <v>192.85714285714286</v>
      </c>
      <c r="E10" s="967">
        <f t="shared" si="0"/>
        <v>0</v>
      </c>
      <c r="F10" s="967">
        <f t="shared" si="0"/>
        <v>0</v>
      </c>
      <c r="G10" s="967">
        <f t="shared" si="0"/>
        <v>0</v>
      </c>
      <c r="H10" s="967">
        <f t="shared" si="0"/>
        <v>0</v>
      </c>
      <c r="I10" s="967">
        <f>SUM(I8:I9)</f>
        <v>0</v>
      </c>
      <c r="J10" s="967">
        <f>SUM(J8:J9)</f>
        <v>578.57142857142856</v>
      </c>
      <c r="K10" s="967">
        <f t="shared" ref="K10:L10" si="1">SUM(K8:K9)</f>
        <v>0</v>
      </c>
      <c r="L10" s="967">
        <f t="shared" si="1"/>
        <v>0</v>
      </c>
      <c r="M10" s="967">
        <f>SUM(M8:M9)</f>
        <v>0</v>
      </c>
      <c r="N10" s="967">
        <f>SUM(N8:N9)</f>
        <v>0</v>
      </c>
      <c r="O10" s="967">
        <f>SUM(O8:O9)</f>
        <v>0</v>
      </c>
      <c r="P10" s="967">
        <f>SUM(P8:P9)</f>
        <v>38.957142857142863</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0.2125419978108819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0.2125419978108819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2022-07-26T13:03:59Z</dcterms:modified>
</cp:coreProperties>
</file>