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1CCF4445-7850-4DE7-9FDE-3B74D159E67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<sst xmlns="http://schemas.openxmlformats.org/spreadsheetml/2006/main" count="2518" uniqueCount="965">
  <si>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</si>
  <si>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</si>
  <si>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</si>
  <si>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</si>
  <si>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</si>
  <si>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</si>
  <si>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</si>
  <si>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</si>
  <si>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</si>
  <si>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</si>
  <si>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</si>
  <si>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</si>
  <si>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</si>
  <si>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</si>
  <si>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</si>
  <si>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</si>
  <si>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</si>
  <si>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</si>
  <si>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</si>
  <si>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</si>
  <si>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</si>
  <si>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</si>
  <si>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</si>
  <si>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</si>
  <si>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</si>
  <si>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</si>
  <si>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</si>
  <si>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</si>
  <si>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</si>
  <si>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</si>
  <si>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</si>
  <si>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</si>
  <si>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</si>
  <si>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</si>
  <si>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</si>
  <si>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</si>
  <si>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</si>
  <si>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</si>
  <si>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</si>
  <si>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</si>
  <si>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</si>
  <si>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</si>
  <si>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</si>
  <si>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</si>
  <si>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</si>
  <si>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</si>
  <si>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</si>
  <si>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</si>
  <si>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</si>
  <si>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</si>
  <si>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</si>
  <si>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</si>
  <si>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</si>
  <si>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</si>
  <si>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</si>
  <si>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</si>
  <si>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</si>
  <si>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</si>
  <si>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</si>
  <si>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</si>
  <si>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</si>
  <si>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</si>
  <si>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</si>
  <si>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</si>
  <si>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</si>
  <si>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</si>
  <si>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</si>
  <si>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</si>
  <si>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</si>
  <si>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</si>
  <si>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</si>
  <si>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</si>
  <si>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</si>
  <si>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</si>
  <si>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</si>
  <si>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</si>
  <si>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</si>
  <si>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</si>
  <si>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</si>
  <si>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</si>
  <si>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</si>
  <si>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</si>
  <si>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</si>
  <si>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</si>
  <si>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</si>
  <si>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</si>
  <si>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</si>
  <si>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</si>
  <si>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</si>
  <si>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</si>
  <si>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</si>
  <si>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</si>
  <si>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</si>
  <si>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</si>
  <si>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</si>
  <si>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</si>
  <si>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</si>
  <si>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</si>
  <si>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</si>
  <si>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</si>
  <si>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</si>
  <si>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</si>
  <si>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</si>
  <si>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</si>
  <si>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</si>
  <si>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</si>
  <si>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</si>
  <si>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</si>
  <si>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</si>
  <si>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</si>
  <si>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</si>
  <si>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</si>
  <si>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</si>
  <si>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</si>
  <si>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</si>
  <si>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</si>
  <si>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</si>
  <si>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</si>
  <si>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</si>
  <si>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</si>
  <si>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</si>
  <si>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</si>
  <si>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</si>
  <si>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</si>
  <si>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</si>
  <si>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</si>
  <si>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</si>
  <si>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</si>
  <si>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</si>
  <si>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</si>
  <si>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</si>
  <si>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</si>
  <si>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</si>
  <si>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</si>
  <si>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</si>
  <si>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</si>
  <si>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</si>
  <si>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</si>
  <si>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</si>
  <si>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</si>
  <si>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</si>
  <si>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</si>
  <si>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</si>
  <si>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</si>
  <si>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</si>
  <si>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</si>
  <si>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</si>
  <si>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</si>
  <si>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</si>
  <si>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</si>
  <si>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</si>
  <si>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</si>
  <si>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</si>
  <si>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</si>
  <si>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</si>
  <si>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</si>
  <si>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</si>
  <si>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</si>
  <si>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</si>
  <si>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</si>
  <si>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</si>
  <si>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</si>
  <si>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</si>
  <si>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</si>
  <si>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</si>
  <si>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</si>
  <si>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</si>
  <si>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</si>
  <si>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</si>
  <si>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</si>
  <si>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</si>
  <si>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</si>
  <si>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</si>
  <si>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</si>
  <si>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</si>
  <si>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</si>
  <si>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</si>
  <si>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</si>
  <si>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</si>
  <si>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</si>
  <si>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</si>
  <si>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</si>
  <si>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</si>
  <si>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</si>
  <si>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</si>
  <si>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</si>
  <si>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</si>
  <si>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</si>
  <si>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</si>
  <si>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</si>
  <si>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</si>
  <si>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</si>
  <si>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</si>
  <si>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</si>
  <si>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</si>
  <si>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</si>
  <si>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</si>
  <si>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</si>
  <si>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</si>
  <si>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</si>
  <si>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</si>
  <si>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</si>
  <si>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</si>
  <si>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</si>
  <si>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</si>
  <si>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</si>
  <si>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</si>
  <si>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</si>
  <si>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</si>
  <si>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</si>
  <si>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</si>
  <si>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</si>
  <si>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</si>
  <si>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</si>
  <si>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</si>
  <si>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</si>
  <si>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</si>
  <si>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</si>
  <si>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</si>
  <si>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</si>
  <si>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</si>
  <si>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</si>
  <si>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</si>
  <si>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</si>
  <si>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</si>
  <si>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</si>
  <si>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</si>
  <si>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</si>
  <si>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</si>
  <si>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</si>
  <si>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</si>
  <si>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</si>
  <si>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</si>
  <si>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</si>
  <si>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</si>
  <si>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</si>
  <si>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</si>
  <si>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</si>
  <si>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</si>
  <si>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</si>
  <si>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</si>
  <si>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</si>
  <si>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</si>
  <si>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</si>
  <si>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</si>
  <si>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</si>
  <si>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</si>
  <si>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</si>
  <si>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</si>
  <si>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</si>
  <si>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</si>
  <si>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</si>
  <si>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</si>
  <si>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</si>
  <si>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</si>
  <si>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</si>
  <si>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</si>
  <si>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</si>
  <si>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</si>
  <si>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</si>
  <si>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</si>
  <si>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</si>
  <si>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</si>
  <si>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</si>
  <si>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</si>
  <si>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</si>
  <si>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</si>
  <si>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</si>
  <si>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</si>
  <si>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</si>
  <si>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</si>
  <si>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</si>
  <si>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</si>
  <si>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</si>
  <si>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</si>
  <si>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</si>
  <si>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</si>
  <si>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</si>
  <si>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</si>
  <si>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</si>
  <si>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</si>
  <si>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</si>
  <si>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</si>
  <si>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</si>
  <si>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</si>
  <si>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</si>
  <si>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</si>
  <si>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</si>
  <si>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</si>
  <si>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</si>
  <si>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</si>
  <si>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</si>
  <si>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</si>
  <si>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</si>
  <si>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</si>
  <si>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</si>
  <si>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</si>
  <si>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</si>
  <si>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</si>
  <si>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</si>
  <si>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</si>
  <si>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</si>
  <si>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</si>
  <si>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</si>
  <si>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</si>
  <si>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</si>
  <si>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</si>
  <si>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</si>
  <si>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</si>
  <si>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</si>
  <si>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</si>
  <si>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</si>
  <si>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</si>
  <si>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</si>
  <si>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</si>
  <si>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</si>
  <si>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</si>
  <si>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</si>
  <si>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</si>
  <si>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</si>
  <si>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</si>
  <si>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</si>
  <si>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</si>
  <si>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</si>
  <si>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</si>
  <si>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</si>
  <si>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</si>
  <si>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</si>
  <si>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</si>
  <si>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</si>
  <si>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</si>
  <si>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</si>
  <si>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</si>
  <si>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</si>
  <si>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</si>
  <si>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</si>
  <si>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</si>
  <si>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</si>
  <si>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</si>
  <si>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</si>
  <si>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</si>
  <si>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</si>
  <si>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</si>
  <si>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</si>
  <si>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</si>
  <si>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</si>
  <si>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</si>
  <si>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</si>
  <si>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</si>
  <si>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</si>
  <si>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</si>
  <si>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</si>
  <si>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</si>
  <si>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</si>
  <si>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</si>
  <si>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</si>
  <si>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</si>
  <si>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</si>
  <si>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</si>
  <si>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</si>
  <si>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</si>
  <si>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</si>
  <si>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</si>
  <si>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</si>
  <si>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</si>
  <si>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</si>
  <si>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</si>
  <si>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</si>
  <si>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</si>
  <si>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</si>
  <si>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</si>
  <si>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</si>
  <si>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</si>
  <si>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</si>
  <si>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</si>
  <si>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</si>
  <si>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</si>
  <si>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</si>
  <si>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</si>
  <si>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</si>
  <si>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</si>
  <si>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</si>
  <si>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</si>
  <si>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</si>
  <si>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</si>
  <si>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</si>
  <si>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</si>
  <si>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</si>
  <si>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</si>
  <si>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</si>
  <si>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</si>
  <si>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</si>
  <si>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</si>
  <si>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</si>
  <si>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</si>
  <si>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</si>
  <si>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</si>
  <si>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</si>
  <si>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</si>
  <si>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</si>
  <si>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</si>
  <si>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</si>
  <si>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</si>
  <si>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</si>
  <si>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</si>
  <si>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</si>
  <si>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</si>
  <si>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</si>
  <si>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</si>
  <si>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</si>
  <si>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</si>
  <si>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</si>
  <si>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</si>
  <si>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</si>
  <si>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</si>
  <si>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</si>
  <si>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</si>
  <si>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</si>
  <si>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</si>
  <si>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</si>
  <si>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</si>
  <si>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</si>
  <si>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</si>
  <si>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</si>
  <si>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</si>
  <si>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</si>
  <si>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</si>
  <si>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</si>
  <si>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</si>
  <si>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</si>
  <si>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</si>
  <si>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</si>
  <si>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</si>
  <si>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</si>
  <si>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</si>
  <si>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</si>
  <si>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</si>
  <si>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</si>
  <si>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</si>
  <si>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</si>
  <si>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</si>
  <si>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</si>
  <si>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</si>
  <si>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</si>
  <si>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</si>
  <si>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</si>
  <si>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</si>
  <si>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</si>
  <si>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</si>
  <si>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</si>
  <si>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</si>
  <si>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</si>
  <si>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</si>
  <si>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</si>
  <si>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</si>
  <si>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</si>
  <si>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</si>
  <si>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</si>
  <si>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</si>
  <si>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</si>
  <si>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</si>
  <si>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</si>
  <si>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</si>
  <si>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</si>
  <si>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</si>
  <si>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</si>
  <si>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</si>
  <si>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</si>
  <si>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</si>
  <si>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</si>
  <si>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</si>
  <si>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</si>
  <si>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</si>
  <si>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</si>
  <si>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</si>
  <si>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</si>
  <si>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</si>
  <si>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</si>
  <si>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</si>
  <si>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</si>
  <si>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</si>
  <si>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</si>
  <si>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</si>
  <si>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</si>
  <si>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</si>
  <si>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</si>
  <si>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</si>
  <si>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</si>
  <si>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</si>
  <si>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</si>
  <si>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</si>
  <si>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</si>
  <si>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</si>
  <si>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</si>
  <si>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</si>
  <si>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</si>
  <si>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</si>
  <si>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</si>
  <si>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</si>
  <si>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</si>
  <si>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</si>
  <si>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</si>
  <si>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</si>
  <si>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</si>
  <si>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</si>
  <si>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</si>
  <si>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</si>
  <si>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</si>
  <si>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</si>
  <si>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</si>
  <si>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</si>
  <si>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</si>
  <si>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</si>
  <si>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</si>
  <si>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</si>
  <si>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</si>
  <si>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</si>
  <si>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</si>
  <si>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</si>
  <si>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</si>
  <si>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</si>
  <si>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</si>
  <si>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</si>
  <si>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</si>
  <si>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</si>
  <si>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</si>
  <si>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</si>
  <si>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</si>
  <si>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</si>
  <si>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</si>
  <si>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</si>
  <si>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</si>
  <si>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</si>
  <si>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</si>
  <si>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</si>
  <si>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</si>
  <si>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</si>
  <si>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</si>
  <si>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</si>
  <si>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</si>
  <si>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</si>
  <si>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</si>
  <si>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</si>
  <si>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</si>
  <si>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</si>
  <si>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</si>
  <si>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</si>
  <si>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</si>
  <si>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</si>
  <si>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</si>
  <si>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</si>
  <si>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</si>
  <si>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</si>
  <si>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</si>
  <si>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</si>
  <si>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</si>
  <si>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</si>
  <si>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</si>
  <si>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</si>
  <si>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</si>
  <si>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</si>
  <si>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</si>
  <si>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</si>
  <si>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</si>
  <si>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</si>
  <si>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</si>
  <si>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</si>
  <si>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</si>
  <si>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</si>
  <si>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</si>
  <si>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</si>
  <si>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</si>
  <si>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</si>
  <si>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</si>
  <si>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</si>
  <si>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</si>
  <si>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</si>
  <si>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</si>
  <si>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</si>
  <si>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</si>
  <si>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</si>
  <si>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</si>
  <si>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</si>
  <si>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</si>
  <si>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</si>
  <si>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</si>
  <si>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</si>
  <si>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</si>
  <si>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</si>
  <si>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</si>
  <si>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</si>
  <si>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</si>
  <si>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</si>
  <si>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</si>
  <si>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</si>
  <si>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</si>
  <si>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</si>
  <si>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</si>
  <si>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</si>
  <si>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</si>
  <si>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</si>
  <si>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</si>
  <si>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</si>
  <si>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</si>
  <si>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</si>
  <si>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</si>
  <si>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</si>
  <si>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</si>
  <si>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</si>
  <si>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</si>
  <si>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</si>
  <si>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</si>
  <si>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</si>
  <si>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</si>
  <si>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</si>
  <si>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</si>
  <si>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</si>
  <si>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</si>
  <si>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</si>
  <si>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</si>
  <si>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</si>
  <si>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</si>
  <si>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</si>
  <si>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</si>
  <si>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</si>
  <si>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</si>
  <si>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</si>
  <si>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</si>
  <si>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</si>
  <si>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</si>
  <si>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</si>
  <si>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</si>
  <si>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</si>
  <si>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</si>
  <si>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</si>
  <si>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</si>
  <si>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</si>
  <si>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</si>
  <si>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</si>
  <si>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</si>
  <si>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</si>
  <si>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</si>
  <si>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</si>
  <si>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</si>
  <si>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</si>
  <si>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</si>
  <si>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</si>
  <si>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</si>
  <si>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</si>
  <si>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</si>
  <si>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</si>
  <si>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</si>
  <si>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</si>
  <si>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</si>
  <si>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</si>
  <si>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</si>
  <si>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</si>
  <si>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</si>
  <si>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</si>
  <si>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</si>
  <si>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</si>
  <si>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</si>
  <si>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</si>
  <si>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</si>
  <si>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</si>
  <si>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</si>
  <si>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</si>
  <si>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</si>
  <si>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</si>
  <si>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</si>
  <si>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</si>
  <si>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</si>
  <si>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</si>
  <si>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</si>
  <si>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</si>
  <si>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</si>
  <si>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</si>
  <si>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</si>
  <si>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</si>
  <si>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</si>
  <si>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</si>
  <si>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</si>
  <si>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</si>
  <si>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</si>
  <si>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</si>
  <si>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</si>
  <si>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</si>
  <si>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</si>
  <si>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</si>
  <si>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</si>
  <si>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</si>
  <si>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</si>
  <si>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</si>
  <si>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</si>
  <si>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</si>
  <si>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</si>
  <si>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</si>
  <si>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</si>
  <si>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</si>
  <si>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</si>
  <si>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</si>
  <si>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</si>
  <si>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</si>
  <si>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</si>
  <si>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</si>
  <si>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</si>
  <si>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</si>
  <si>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</si>
  <si>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</si>
  <si>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</si>
  <si>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</si>
  <si>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</si>
  <si>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</si>
  <si>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</si>
  <si>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</si>
  <si>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</si>
  <si>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</si>
  <si>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</si>
  <si>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</si>
  <si>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</si>
  <si>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</si>
  <si>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</si>
  <si>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</si>
  <si>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</si>
  <si>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</si>
  <si>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</si>
  <si>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</si>
  <si>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</si>
  <si>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</si>
  <si>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</si>
  <si>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</si>
  <si>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</si>
  <si>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</si>
  <si>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</si>
  <si>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</si>
  <si>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</si>
  <si>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</si>
  <si>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</si>
  <si>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</si>
  <si>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</si>
  <si>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</si>
  <si>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</si>
  <si>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</si>
  <si>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</si>
  <si>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</si>
  <si>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</si>
  <si>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</si>
  <si>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</si>
  <si>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</si>
  <si>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</si>
  <si>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</si>
  <si>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</si>
  <si>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</si>
  <si>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</si>
  <si>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</si>
  <si>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</si>
  <si>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</si>
  <si>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</si>
  <si>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</si>
  <si>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</si>
  <si>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</si>
  <si>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</si>
  <si>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</si>
  <si>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</si>
  <si>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</si>
  <si>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</si>
  <si>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</si>
  <si>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</si>
  <si>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</si>
  <si>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</si>
  <si>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</si>
  <si>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</si>
  <si>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</si>
  <si>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</si>
  <si>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</si>
  <si>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</si>
  <si>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</si>
  <si>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</si>
  <si>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</si>
  <si>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</si>
  <si>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</si>
  <si>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</si>
  <si>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</si>
  <si>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</si>
  <si>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</si>
  <si>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</si>
  <si>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</si>
  <si>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</si>
  <si>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</si>
  <si>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</si>
  <si>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</si>
  <si>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</si>
  <si>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</si>
  <si>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</si>
  <si>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</si>
  <si>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</si>
  <si>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</si>
  <si>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</si>
  <si>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</si>
  <si>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</si>
  <si>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</si>
  <si>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</si>
  <si>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</si>
  <si>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</si>
  <si>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</si>
  <si>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</si>
  <si>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</si>
  <si>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</si>
  <si>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</si>
  <si>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</si>
  <si>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</si>
  <si>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</si>
  <si>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</si>
  <si>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</si>
  <si>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</si>
  <si>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</si>
  <si>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</si>
  <si>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</si>
  <si>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</si>
  <si>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</si>
  <si>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</si>
  <si>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</si>
  <si>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</si>
  <si>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</si>
  <si>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</si>
  <si>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</si>
  <si>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</si>
  <si>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</si>
  <si>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</si>
  <si>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</si>
  <si>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</si>
  <si>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</si>
  <si>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</si>
  <si>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</si>
  <si>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</si>
  <si>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</si>
  <si>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</si>
  <si>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</si>
  <si>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</si>
  <si>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</si>
  <si>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</si>
  <si>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</si>
  <si>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</si>
  <si>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</si>
  <si>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</si>
  <si>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</si>
  <si>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</si>
  <si>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</si>
  <si>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</si>
  <si>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</si>
  <si>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</si>
  <si>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</si>
  <si>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</si>
  <si>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</si>
  <si>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</si>
  <si>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</si>
  <si>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</si>
  <si>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</si>
  <si>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</si>
  <si>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</si>
  <si>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</si>
  <si>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</si>
  <si>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</si>
  <si>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</si>
  <si>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</si>
  <si>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</si>
  <si>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</si>
  <si>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</si>
  <si>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</si>
  <si>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</si>
  <si>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</si>
  <si>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</si>
  <si>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</si>
  <si>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</si>
  <si>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</si>
  <si>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</si>
  <si>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</si>
  <si>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</si>
  <si>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</si>
  <si>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</si>
  <si>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</si>
  <si>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</si>
  <si>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</si>
  <si>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</si>
  <si>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</si>
  <si>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</si>
  <si>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</si>
  <si>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</si>
  <si>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</si>
  <si>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</si>
  <si>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</si>
  <si>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</si>
  <si>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</si>
  <si>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</si>
  <si>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</si>
  <si>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</si>
  <si>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</si>
  <si>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</si>
  <si>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</si>
  <si>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</si>
  <si>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</si>
  <si>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</si>
  <si>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</si>
  <si>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</si>
  <si>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</si>
  <si>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</si>
  <si>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</si>
  <si>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</si>
  <si>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</si>
  <si>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</si>
  <si>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</si>
  <si>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</si>
  <si>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</si>
  <si>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</si>
  <si>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</si>
  <si>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</si>
  <si>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</si>
  <si>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</si>
  <si>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</si>
  <si>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</si>
  <si>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</si>
  <si>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</si>
  <si>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</si>
  <si>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</si>
  <si>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</si>
  <si>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</si>
  <si>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</si>
  <si>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</si>
  <si>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</si>
  <si>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</si>
  <si>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</si>
  <si>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</si>
  <si>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</si>
  <si>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</si>
  <si>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</si>
  <si>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</si>
  <si>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</si>
  <si>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</si>
  <si>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</si>
  <si>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</si>
  <si>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</si>
  <si>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</si>
  <si>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</si>
  <si>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</si>
  <si>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</si>
  <si>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</si>
  <si>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</si>
  <si>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</si>
  <si>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</si>
  <si>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</si>
  <si>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</si>
  <si>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</si>
  <si>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</si>
  <si>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</si>
  <si>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</si>
  <si>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</si>
  <si>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</si>
  <si>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43002</t>
  </si>
  <si>
    <t>ASSENEDE</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</si>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</sst>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EF303EB8-95FF-4FF7-9E30-26B4182226B4}"/>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43002</v>
      </c>
      <c r="B6" s="382"/>
      <c r="C6" s="383"/>
    </row>
    <row r="7" spans="1:7" s="380" customFormat="1" ht="15.75" customHeight="1">
      <c r="A7" s="384" t="str">
        <f>txtMunicipality</f>
        <v>ASSENEDE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0.21251127761536467</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0.21251127761536467</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5809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6743</v>
      </c>
      <c r="C14" s="324"/>
      <c r="D14" s="324"/>
      <c r="E14" s="324"/>
      <c r="F14" s="324"/>
    </row>
    <row r="15" spans="1:6">
      <c r="A15" s="1235" t="s">
        <v>177</v>
      </c>
      <c r="B15" s="1236">
        <v>85</v>
      </c>
      <c r="C15" s="324"/>
      <c r="D15" s="324"/>
      <c r="E15" s="324"/>
      <c r="F15" s="324"/>
    </row>
    <row r="16" spans="1:6">
      <c r="A16" s="1235" t="s">
        <v>6</v>
      </c>
      <c r="B16" s="1236">
        <v>3307</v>
      </c>
      <c r="C16" s="324"/>
      <c r="D16" s="324"/>
      <c r="E16" s="324"/>
      <c r="F16" s="324"/>
    </row>
    <row r="17" spans="1:6">
      <c r="A17" s="1235" t="s">
        <v>7</v>
      </c>
      <c r="B17" s="1236">
        <v>2225</v>
      </c>
      <c r="C17" s="324"/>
      <c r="D17" s="324"/>
      <c r="E17" s="324"/>
      <c r="F17" s="324"/>
    </row>
    <row r="18" spans="1:6">
      <c r="A18" s="1235" t="s">
        <v>8</v>
      </c>
      <c r="B18" s="1236">
        <v>3995</v>
      </c>
      <c r="C18" s="324"/>
      <c r="D18" s="324"/>
      <c r="E18" s="324"/>
      <c r="F18" s="324"/>
    </row>
    <row r="19" spans="1:6">
      <c r="A19" s="1235" t="s">
        <v>9</v>
      </c>
      <c r="B19" s="1236">
        <v>3610</v>
      </c>
      <c r="C19" s="324"/>
      <c r="D19" s="324"/>
      <c r="E19" s="324"/>
      <c r="F19" s="324"/>
    </row>
    <row r="20" spans="1:6">
      <c r="A20" s="1235" t="s">
        <v>10</v>
      </c>
      <c r="B20" s="1236">
        <v>2364</v>
      </c>
      <c r="C20" s="324"/>
      <c r="D20" s="324"/>
      <c r="E20" s="324"/>
      <c r="F20" s="324"/>
    </row>
    <row r="21" spans="1:6">
      <c r="A21" s="1235" t="s">
        <v>11</v>
      </c>
      <c r="B21" s="1236">
        <v>22975</v>
      </c>
      <c r="C21" s="324"/>
      <c r="D21" s="324"/>
      <c r="E21" s="324"/>
      <c r="F21" s="324"/>
    </row>
    <row r="22" spans="1:6">
      <c r="A22" s="1235" t="s">
        <v>12</v>
      </c>
      <c r="B22" s="1236">
        <v>40944</v>
      </c>
      <c r="C22" s="324"/>
      <c r="D22" s="324"/>
      <c r="E22" s="324"/>
      <c r="F22" s="324"/>
    </row>
    <row r="23" spans="1:6">
      <c r="A23" s="1235" t="s">
        <v>13</v>
      </c>
      <c r="B23" s="1236">
        <v>1227</v>
      </c>
      <c r="C23" s="324"/>
      <c r="D23" s="324"/>
      <c r="E23" s="324"/>
      <c r="F23" s="324"/>
    </row>
    <row r="24" spans="1:6">
      <c r="A24" s="1235" t="s">
        <v>14</v>
      </c>
      <c r="B24" s="1236">
        <v>62</v>
      </c>
      <c r="C24" s="324"/>
      <c r="D24" s="324"/>
      <c r="E24" s="324"/>
      <c r="F24" s="324"/>
    </row>
    <row r="25" spans="1:6">
      <c r="A25" s="1235" t="s">
        <v>15</v>
      </c>
      <c r="B25" s="1236">
        <v>6356</v>
      </c>
      <c r="C25" s="324"/>
      <c r="D25" s="324"/>
      <c r="E25" s="324"/>
      <c r="F25" s="324"/>
    </row>
    <row r="26" spans="1:6">
      <c r="A26" s="1235" t="s">
        <v>16</v>
      </c>
      <c r="B26" s="1236">
        <v>85</v>
      </c>
      <c r="C26" s="324"/>
      <c r="D26" s="324"/>
      <c r="E26" s="324"/>
      <c r="F26" s="324"/>
    </row>
    <row r="27" spans="1:6">
      <c r="A27" s="1235" t="s">
        <v>17</v>
      </c>
      <c r="B27" s="1236">
        <v>651</v>
      </c>
      <c r="C27" s="324"/>
      <c r="D27" s="324"/>
      <c r="E27" s="324"/>
      <c r="F27" s="324"/>
    </row>
    <row r="28" spans="1:6">
      <c r="A28" s="1235" t="s">
        <v>18</v>
      </c>
      <c r="B28" s="1237">
        <v>340355</v>
      </c>
      <c r="C28" s="324"/>
      <c r="D28" s="324"/>
      <c r="E28" s="324"/>
      <c r="F28" s="324"/>
    </row>
    <row r="29" spans="1:6">
      <c r="A29" s="1235" t="s">
        <v>959</v>
      </c>
      <c r="B29" s="1237">
        <v>159</v>
      </c>
      <c r="C29" s="324"/>
      <c r="D29" s="324"/>
      <c r="E29" s="324"/>
      <c r="F29" s="324"/>
    </row>
    <row r="30" spans="1:6">
      <c r="A30" s="1230" t="s">
        <v>960</v>
      </c>
      <c r="B30" s="1238">
        <v>46</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321041.48077659402</v>
      </c>
      <c r="E38" s="1236">
        <v>6</v>
      </c>
      <c r="F38" s="1236">
        <v>34788.656560194402</v>
      </c>
    </row>
    <row r="39" spans="1:6">
      <c r="A39" s="1235" t="s">
        <v>29</v>
      </c>
      <c r="B39" s="1235" t="s">
        <v>30</v>
      </c>
      <c r="C39" s="1236">
        <v>2220</v>
      </c>
      <c r="D39" s="1236">
        <v>35651886.106425598</v>
      </c>
      <c r="E39" s="1236">
        <v>5412</v>
      </c>
      <c r="F39" s="1236">
        <v>27352534.6336064</v>
      </c>
    </row>
    <row r="40" spans="1:6">
      <c r="A40" s="1235" t="s">
        <v>29</v>
      </c>
      <c r="B40" s="1235" t="s">
        <v>28</v>
      </c>
      <c r="C40" s="1236">
        <v>0</v>
      </c>
      <c r="D40" s="1236">
        <v>0</v>
      </c>
      <c r="E40" s="1236">
        <v>0</v>
      </c>
      <c r="F40" s="1236">
        <v>0</v>
      </c>
    </row>
    <row r="41" spans="1:6">
      <c r="A41" s="1235" t="s">
        <v>31</v>
      </c>
      <c r="B41" s="1235" t="s">
        <v>32</v>
      </c>
      <c r="C41" s="1236">
        <v>6</v>
      </c>
      <c r="D41" s="1236">
        <v>203704.34959339901</v>
      </c>
      <c r="E41" s="1236">
        <v>66</v>
      </c>
      <c r="F41" s="1236">
        <v>454194.37728301802</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10</v>
      </c>
      <c r="F44" s="1236">
        <v>1993110.1311641999</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34</v>
      </c>
      <c r="D48" s="1236">
        <v>4542343.98275162</v>
      </c>
      <c r="E48" s="1236">
        <v>46</v>
      </c>
      <c r="F48" s="1236">
        <v>728298.77678378602</v>
      </c>
    </row>
    <row r="49" spans="1:6">
      <c r="A49" s="1235" t="s">
        <v>31</v>
      </c>
      <c r="B49" s="1235" t="s">
        <v>39</v>
      </c>
      <c r="C49" s="1236">
        <v>0</v>
      </c>
      <c r="D49" s="1236">
        <v>0</v>
      </c>
      <c r="E49" s="1236">
        <v>0</v>
      </c>
      <c r="F49" s="1236">
        <v>0</v>
      </c>
    </row>
    <row r="50" spans="1:6">
      <c r="A50" s="1235" t="s">
        <v>31</v>
      </c>
      <c r="B50" s="1235" t="s">
        <v>40</v>
      </c>
      <c r="C50" s="1236">
        <v>4</v>
      </c>
      <c r="D50" s="1236">
        <v>132981.51157123601</v>
      </c>
      <c r="E50" s="1236">
        <v>12</v>
      </c>
      <c r="F50" s="1236">
        <v>410269.70091690798</v>
      </c>
    </row>
    <row r="51" spans="1:6">
      <c r="A51" s="1235" t="s">
        <v>41</v>
      </c>
      <c r="B51" s="1235" t="s">
        <v>42</v>
      </c>
      <c r="C51" s="1236">
        <v>12</v>
      </c>
      <c r="D51" s="1236">
        <v>21268651.720864199</v>
      </c>
      <c r="E51" s="1236">
        <v>267</v>
      </c>
      <c r="F51" s="1236">
        <v>5394618.8933159197</v>
      </c>
    </row>
    <row r="52" spans="1:6">
      <c r="A52" s="1235" t="s">
        <v>41</v>
      </c>
      <c r="B52" s="1235" t="s">
        <v>28</v>
      </c>
      <c r="C52" s="1236">
        <v>8</v>
      </c>
      <c r="D52" s="1236">
        <v>133099.02118655</v>
      </c>
      <c r="E52" s="1236">
        <v>18</v>
      </c>
      <c r="F52" s="1236">
        <v>727335.42965543305</v>
      </c>
    </row>
    <row r="53" spans="1:6">
      <c r="A53" s="1235" t="s">
        <v>43</v>
      </c>
      <c r="B53" s="1235" t="s">
        <v>44</v>
      </c>
      <c r="C53" s="1236">
        <v>86</v>
      </c>
      <c r="D53" s="1236">
        <v>1804479.1553610901</v>
      </c>
      <c r="E53" s="1236">
        <v>240</v>
      </c>
      <c r="F53" s="1236">
        <v>1423136.81270351</v>
      </c>
    </row>
    <row r="54" spans="1:6">
      <c r="A54" s="1235" t="s">
        <v>45</v>
      </c>
      <c r="B54" s="1235" t="s">
        <v>46</v>
      </c>
      <c r="C54" s="1236">
        <v>0</v>
      </c>
      <c r="D54" s="1236">
        <v>0</v>
      </c>
      <c r="E54" s="1236">
        <v>4</v>
      </c>
      <c r="F54" s="1236">
        <v>1041586</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14</v>
      </c>
      <c r="D57" s="1236">
        <v>381383.35655443597</v>
      </c>
      <c r="E57" s="1236">
        <v>81</v>
      </c>
      <c r="F57" s="1236">
        <v>1006818.65945639</v>
      </c>
    </row>
    <row r="58" spans="1:6">
      <c r="A58" s="1235" t="s">
        <v>48</v>
      </c>
      <c r="B58" s="1235" t="s">
        <v>50</v>
      </c>
      <c r="C58" s="1236">
        <v>0</v>
      </c>
      <c r="D58" s="1236">
        <v>0</v>
      </c>
      <c r="E58" s="1236">
        <v>4</v>
      </c>
      <c r="F58" s="1236">
        <v>19298.720974700798</v>
      </c>
    </row>
    <row r="59" spans="1:6">
      <c r="A59" s="1235" t="s">
        <v>48</v>
      </c>
      <c r="B59" s="1235" t="s">
        <v>51</v>
      </c>
      <c r="C59" s="1236">
        <v>10</v>
      </c>
      <c r="D59" s="1236">
        <v>394059.25238143798</v>
      </c>
      <c r="E59" s="1236">
        <v>91</v>
      </c>
      <c r="F59" s="1236">
        <v>2125962.5353147499</v>
      </c>
    </row>
    <row r="60" spans="1:6">
      <c r="A60" s="1235" t="s">
        <v>48</v>
      </c>
      <c r="B60" s="1235" t="s">
        <v>52</v>
      </c>
      <c r="C60" s="1236">
        <v>22</v>
      </c>
      <c r="D60" s="1236">
        <v>922526.20988716302</v>
      </c>
      <c r="E60" s="1236">
        <v>48</v>
      </c>
      <c r="F60" s="1236">
        <v>752973.99871038005</v>
      </c>
    </row>
    <row r="61" spans="1:6">
      <c r="A61" s="1235" t="s">
        <v>48</v>
      </c>
      <c r="B61" s="1235" t="s">
        <v>53</v>
      </c>
      <c r="C61" s="1236">
        <v>38</v>
      </c>
      <c r="D61" s="1236">
        <v>1887205.42137324</v>
      </c>
      <c r="E61" s="1236">
        <v>111</v>
      </c>
      <c r="F61" s="1236">
        <v>1744014.4136906599</v>
      </c>
    </row>
    <row r="62" spans="1:6">
      <c r="A62" s="1235" t="s">
        <v>48</v>
      </c>
      <c r="B62" s="1235" t="s">
        <v>54</v>
      </c>
      <c r="C62" s="1236">
        <v>0</v>
      </c>
      <c r="D62" s="1236">
        <v>0</v>
      </c>
      <c r="E62" s="1236">
        <v>3</v>
      </c>
      <c r="F62" s="1236">
        <v>61475.5980210052</v>
      </c>
    </row>
    <row r="63" spans="1:6">
      <c r="A63" s="1235" t="s">
        <v>48</v>
      </c>
      <c r="B63" s="1235" t="s">
        <v>28</v>
      </c>
      <c r="C63" s="1236">
        <v>105</v>
      </c>
      <c r="D63" s="1236">
        <v>4712409.8218975998</v>
      </c>
      <c r="E63" s="1236">
        <v>174</v>
      </c>
      <c r="F63" s="1236">
        <v>3813673.3042025901</v>
      </c>
    </row>
    <row r="64" spans="1:6">
      <c r="A64" s="1235" t="s">
        <v>55</v>
      </c>
      <c r="B64" s="1235" t="s">
        <v>56</v>
      </c>
      <c r="C64" s="1236">
        <v>0</v>
      </c>
      <c r="D64" s="1236">
        <v>0</v>
      </c>
      <c r="E64" s="1236">
        <v>0</v>
      </c>
      <c r="F64" s="1236">
        <v>0</v>
      </c>
    </row>
    <row r="65" spans="1:6">
      <c r="A65" s="1235" t="s">
        <v>55</v>
      </c>
      <c r="B65" s="1235" t="s">
        <v>28</v>
      </c>
      <c r="C65" s="1236">
        <v>6</v>
      </c>
      <c r="D65" s="1236">
        <v>134763.03531702099</v>
      </c>
      <c r="E65" s="1236">
        <v>5</v>
      </c>
      <c r="F65" s="1236">
        <v>21977.247330719601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14</v>
      </c>
      <c r="F68" s="1238">
        <v>125126.639196977</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98069266</v>
      </c>
      <c r="E73" s="443"/>
      <c r="F73" s="324"/>
    </row>
    <row r="74" spans="1:6">
      <c r="A74" s="1235" t="s">
        <v>63</v>
      </c>
      <c r="B74" s="1235" t="s">
        <v>730</v>
      </c>
      <c r="C74" s="1248" t="s">
        <v>731</v>
      </c>
      <c r="D74" s="1236">
        <v>8942595.9075288251</v>
      </c>
      <c r="E74" s="443"/>
      <c r="F74" s="324"/>
    </row>
    <row r="75" spans="1:6">
      <c r="A75" s="1235" t="s">
        <v>64</v>
      </c>
      <c r="B75" s="1235" t="s">
        <v>728</v>
      </c>
      <c r="C75" s="1248" t="s">
        <v>732</v>
      </c>
      <c r="D75" s="1236">
        <v>30198375</v>
      </c>
      <c r="E75" s="443"/>
      <c r="F75" s="324"/>
    </row>
    <row r="76" spans="1:6">
      <c r="A76" s="1235" t="s">
        <v>64</v>
      </c>
      <c r="B76" s="1235" t="s">
        <v>730</v>
      </c>
      <c r="C76" s="1248" t="s">
        <v>733</v>
      </c>
      <c r="D76" s="1236">
        <v>1367700.9075288256</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446606.18494234874</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1629.2096057332219</v>
      </c>
      <c r="C91" s="324"/>
      <c r="D91" s="324"/>
      <c r="E91" s="324"/>
      <c r="F91" s="324"/>
    </row>
    <row r="92" spans="1:6">
      <c r="A92" s="1230" t="s">
        <v>68</v>
      </c>
      <c r="B92" s="1231">
        <v>792.27456314438189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1118</v>
      </c>
      <c r="C97" s="324"/>
      <c r="D97" s="324"/>
      <c r="E97" s="324"/>
      <c r="F97" s="324"/>
    </row>
    <row r="98" spans="1:6">
      <c r="A98" s="1235" t="s">
        <v>71</v>
      </c>
      <c r="B98" s="1236">
        <v>0</v>
      </c>
      <c r="C98" s="324"/>
      <c r="D98" s="324"/>
      <c r="E98" s="324"/>
      <c r="F98" s="324"/>
    </row>
    <row r="99" spans="1:6">
      <c r="A99" s="1235" t="s">
        <v>72</v>
      </c>
      <c r="B99" s="1236">
        <v>182</v>
      </c>
      <c r="C99" s="324"/>
      <c r="D99" s="324"/>
      <c r="E99" s="324"/>
      <c r="F99" s="324"/>
    </row>
    <row r="100" spans="1:6">
      <c r="A100" s="1235" t="s">
        <v>73</v>
      </c>
      <c r="B100" s="1236">
        <v>600</v>
      </c>
      <c r="C100" s="324"/>
      <c r="D100" s="324"/>
      <c r="E100" s="324"/>
      <c r="F100" s="324"/>
    </row>
    <row r="101" spans="1:6">
      <c r="A101" s="1235" t="s">
        <v>74</v>
      </c>
      <c r="B101" s="1236">
        <v>133</v>
      </c>
      <c r="C101" s="324"/>
      <c r="D101" s="324"/>
      <c r="E101" s="324"/>
      <c r="F101" s="324"/>
    </row>
    <row r="102" spans="1:6">
      <c r="A102" s="1235" t="s">
        <v>75</v>
      </c>
      <c r="B102" s="1236">
        <v>98</v>
      </c>
      <c r="C102" s="324"/>
      <c r="D102" s="324"/>
      <c r="E102" s="324"/>
      <c r="F102" s="324"/>
    </row>
    <row r="103" spans="1:6">
      <c r="A103" s="1235" t="s">
        <v>76</v>
      </c>
      <c r="B103" s="1236">
        <v>340</v>
      </c>
      <c r="C103" s="324"/>
      <c r="D103" s="324"/>
      <c r="E103" s="324"/>
      <c r="F103" s="324"/>
    </row>
    <row r="104" spans="1:6">
      <c r="A104" s="1235" t="s">
        <v>77</v>
      </c>
      <c r="B104" s="1236">
        <v>2839</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2</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7</v>
      </c>
      <c r="C123" s="1236">
        <v>5</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40</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3</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50687.431068838829</v>
      </c>
      <c r="C3" s="43" t="s">
        <v>163</v>
      </c>
      <c r="D3" s="43"/>
      <c r="E3" s="155"/>
      <c r="F3" s="43"/>
      <c r="G3" s="43"/>
      <c r="H3" s="43"/>
      <c r="I3" s="43"/>
      <c r="J3" s="43"/>
      <c r="K3" s="96"/>
    </row>
    <row r="4" spans="1:11">
      <c r="A4" s="350" t="s">
        <v>164</v>
      </c>
      <c r="B4" s="49">
        <f>IF(ISERROR('SEAP template'!B78+'SEAP template'!C78),0,'SEAP template'!B78+'SEAP template'!C78)</f>
        <v>8721.4841688776032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1497.1764705882354</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0.21251127761536467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2138.8235294117649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9000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1041.586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1041.586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0.21251127761536467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221.34877160627724</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27352.534633606399</v>
      </c>
      <c r="C5" s="17">
        <f>IF(ISERROR('Eigen informatie GS &amp; warmtenet'!B57),0,'Eigen informatie GS &amp; warmtenet'!B57)</f>
        <v>0</v>
      </c>
      <c r="D5" s="30">
        <f>(SUM(HH_hh_gas_kWh,HH_rest_gas_kWh)/1000)*0.902</f>
        <v>32158.001267995889</v>
      </c>
      <c r="E5" s="17">
        <f>B32*B41</f>
        <v>1781.1010605173783</v>
      </c>
      <c r="F5" s="17">
        <f>B36*B45</f>
        <v>60796.808277165401</v>
      </c>
      <c r="G5" s="18"/>
      <c r="H5" s="17"/>
      <c r="I5" s="17"/>
      <c r="J5" s="17">
        <f>B35*B44+C35*C44</f>
        <v>1368.9899850329734</v>
      </c>
      <c r="K5" s="17"/>
      <c r="L5" s="17"/>
      <c r="M5" s="17"/>
      <c r="N5" s="17">
        <f>B34*B43+C34*C43</f>
        <v>7457.7880524531183</v>
      </c>
      <c r="O5" s="17">
        <f>B52*B53*B54</f>
        <v>70.350000000000009</v>
      </c>
      <c r="P5" s="17">
        <f>B60*B61*B62/1000-B60*B61*B62/1000/B63</f>
        <v>190.66666666666669</v>
      </c>
    </row>
    <row r="6" spans="1:16">
      <c r="A6" s="16" t="s">
        <v>591</v>
      </c>
      <c r="B6" s="727">
        <f>kWh_PV_kleiner_dan_10kW</f>
        <v>1629.2096057332219</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28981.74423933962</v>
      </c>
      <c r="C8" s="21">
        <f>C5</f>
        <v>0</v>
      </c>
      <c r="D8" s="21">
        <f>D5</f>
        <v>32158.001267995889</v>
      </c>
      <c r="E8" s="21">
        <f>E5</f>
        <v>1781.1010605173783</v>
      </c>
      <c r="F8" s="21">
        <f>F5</f>
        <v>60796.808277165401</v>
      </c>
      <c r="G8" s="21"/>
      <c r="H8" s="21"/>
      <c r="I8" s="21"/>
      <c r="J8" s="21">
        <f>J5</f>
        <v>1368.9899850329734</v>
      </c>
      <c r="K8" s="21"/>
      <c r="L8" s="21">
        <f>L5</f>
        <v>0</v>
      </c>
      <c r="M8" s="21">
        <f>M5</f>
        <v>0</v>
      </c>
      <c r="N8" s="21">
        <f>N5</f>
        <v>7457.7880524531183</v>
      </c>
      <c r="O8" s="21">
        <f>O5</f>
        <v>70.350000000000009</v>
      </c>
      <c r="P8" s="21">
        <f>P5</f>
        <v>190.66666666666669</v>
      </c>
    </row>
    <row r="9" spans="1:16">
      <c r="B9" s="19"/>
      <c r="C9" s="19"/>
      <c r="D9" s="255"/>
      <c r="E9" s="19"/>
      <c r="F9" s="19"/>
      <c r="G9" s="19"/>
      <c r="H9" s="19"/>
      <c r="I9" s="19"/>
      <c r="J9" s="19"/>
      <c r="K9" s="19"/>
      <c r="L9" s="19"/>
      <c r="M9" s="19"/>
      <c r="N9" s="19"/>
      <c r="O9" s="19"/>
      <c r="P9" s="19"/>
    </row>
    <row r="10" spans="1:16">
      <c r="A10" s="24" t="s">
        <v>207</v>
      </c>
      <c r="B10" s="25">
        <f ca="1">'EF ele_warmte'!B12</f>
        <v>0.21251127761536467</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6158.9474958237979</v>
      </c>
      <c r="C12" s="23">
        <f ca="1">C10*C8</f>
        <v>0</v>
      </c>
      <c r="D12" s="23">
        <f>D8*D10</f>
        <v>6495.9162561351704</v>
      </c>
      <c r="E12" s="23">
        <f>E10*E8</f>
        <v>404.30994073744489</v>
      </c>
      <c r="F12" s="23">
        <f>F10*F8</f>
        <v>16232.747810003162</v>
      </c>
      <c r="G12" s="23"/>
      <c r="H12" s="23"/>
      <c r="I12" s="23"/>
      <c r="J12" s="23">
        <f>J10*J8</f>
        <v>484.62245470167255</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5809</v>
      </c>
      <c r="C26" s="36"/>
      <c r="D26" s="225"/>
    </row>
    <row r="27" spans="1:5" s="15" customFormat="1">
      <c r="A27" s="227" t="s">
        <v>671</v>
      </c>
      <c r="B27" s="37">
        <f>SUM(HH_hh_gas_aantal,HH_rest_gas_aantal)</f>
        <v>2220</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2109</v>
      </c>
      <c r="C31" s="34" t="s">
        <v>104</v>
      </c>
      <c r="D31" s="171"/>
    </row>
    <row r="32" spans="1:5">
      <c r="A32" s="168" t="s">
        <v>72</v>
      </c>
      <c r="B32" s="33">
        <f>IF((B21*($B$26-($B$27-0.05*$B$27)-$B$60))&lt;0,0,B21*($B$26-($B$27-0.05*$B$27)-$B$60))</f>
        <v>26.160508323362919</v>
      </c>
      <c r="C32" s="34" t="s">
        <v>104</v>
      </c>
      <c r="D32" s="171"/>
    </row>
    <row r="33" spans="1:6">
      <c r="A33" s="168" t="s">
        <v>73</v>
      </c>
      <c r="B33" s="33">
        <f>IF((B22*($B$26-($B$27-0.05*$B$27)-$B$60))&lt;0,0,B22*($B$26-($B$27-0.05*$B$27)-$B$60))</f>
        <v>749.75660929474827</v>
      </c>
      <c r="C33" s="34" t="s">
        <v>104</v>
      </c>
      <c r="D33" s="171"/>
    </row>
    <row r="34" spans="1:6">
      <c r="A34" s="168" t="s">
        <v>74</v>
      </c>
      <c r="B34" s="33">
        <f>IF((B24*($B$26-($B$27-0.05*$B$27)-$B$60))&lt;0,0,B24*($B$26-($B$27-0.05*$B$27)-$B$60))</f>
        <v>149.50939156047022</v>
      </c>
      <c r="C34" s="33">
        <f>B26*C24</f>
        <v>1187.8104639665655</v>
      </c>
      <c r="D34" s="230"/>
    </row>
    <row r="35" spans="1:6">
      <c r="A35" s="168" t="s">
        <v>76</v>
      </c>
      <c r="B35" s="33">
        <f>IF((B19*($B$26-($B$27-0.05*$B$27)-$B$60))&lt;0,0,B19*($B$26-($B$27-0.05*$B$27)-$B$60))</f>
        <v>77.858655724294408</v>
      </c>
      <c r="C35" s="33">
        <f>B35/2</f>
        <v>38.929327862147204</v>
      </c>
      <c r="D35" s="230"/>
    </row>
    <row r="36" spans="1:6">
      <c r="A36" s="168" t="s">
        <v>77</v>
      </c>
      <c r="B36" s="33">
        <f>IF((B18*($B$26-($B$27-0.05*$B$27)-$B$60))&lt;0,0,B18*($B$26-($B$27-0.05*$B$27)-$B$60))</f>
        <v>2686.7148350971243</v>
      </c>
      <c r="C36" s="34" t="s">
        <v>104</v>
      </c>
      <c r="D36" s="171"/>
    </row>
    <row r="37" spans="1:6">
      <c r="A37" s="168" t="s">
        <v>78</v>
      </c>
      <c r="B37" s="33">
        <f>B60</f>
        <v>10</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45</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10</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9524.2172303704756</v>
      </c>
      <c r="C5" s="17">
        <f>IF(ISERROR('Eigen informatie GS &amp; warmtenet'!B58),0,'Eigen informatie GS &amp; warmtenet'!B58)</f>
        <v>0</v>
      </c>
      <c r="D5" s="30">
        <f>SUM(D6:D12)</f>
        <v>7484.4208240086773</v>
      </c>
      <c r="E5" s="17">
        <f>SUM(E6:E12)</f>
        <v>200.27371446285613</v>
      </c>
      <c r="F5" s="17">
        <f>SUM(F6:F12)</f>
        <v>1814.1587280056463</v>
      </c>
      <c r="G5" s="18"/>
      <c r="H5" s="17"/>
      <c r="I5" s="17"/>
      <c r="J5" s="17">
        <f>SUM(J6:J12)</f>
        <v>0</v>
      </c>
      <c r="K5" s="17"/>
      <c r="L5" s="17"/>
      <c r="M5" s="17"/>
      <c r="N5" s="17">
        <f>SUM(N6:N12)</f>
        <v>349.0523134456385</v>
      </c>
      <c r="O5" s="17">
        <f>B38*B39*B40</f>
        <v>0</v>
      </c>
      <c r="P5" s="17">
        <f>B46*B47*B48/1000-B46*B47*B48/1000/B49</f>
        <v>0</v>
      </c>
      <c r="R5" s="32"/>
    </row>
    <row r="6" spans="1:18">
      <c r="A6" s="32" t="s">
        <v>53</v>
      </c>
      <c r="B6" s="37">
        <f>B26</f>
        <v>1744.0144136906599</v>
      </c>
      <c r="C6" s="33"/>
      <c r="D6" s="37">
        <f>IF(ISERROR(TER_kantoor_gas_kWh/1000),0,TER_kantoor_gas_kWh/1000)*0.902</f>
        <v>1702.2592900786624</v>
      </c>
      <c r="E6" s="33">
        <f>$C$26*'E Balans VL '!I12/100/3.6*1000000</f>
        <v>60.328965693029708</v>
      </c>
      <c r="F6" s="33">
        <f>$C$26*('E Balans VL '!L12+'E Balans VL '!N12)/100/3.6*1000000</f>
        <v>266.24231899645355</v>
      </c>
      <c r="G6" s="34"/>
      <c r="H6" s="33"/>
      <c r="I6" s="33"/>
      <c r="J6" s="33">
        <f>$C$26*('E Balans VL '!D12+'E Balans VL '!E12)/100/3.6*1000000</f>
        <v>0</v>
      </c>
      <c r="K6" s="33"/>
      <c r="L6" s="33"/>
      <c r="M6" s="33"/>
      <c r="N6" s="33">
        <f>$C$26*'E Balans VL '!Y12/100/3.6*1000000</f>
        <v>26.884811233843479</v>
      </c>
      <c r="O6" s="33"/>
      <c r="P6" s="33"/>
      <c r="R6" s="32"/>
    </row>
    <row r="7" spans="1:18">
      <c r="A7" s="32" t="s">
        <v>52</v>
      </c>
      <c r="B7" s="37">
        <f t="shared" ref="B7:B12" si="0">B27</f>
        <v>752.9739987103801</v>
      </c>
      <c r="C7" s="33"/>
      <c r="D7" s="37">
        <f>IF(ISERROR(TER_horeca_gas_kWh/1000),0,TER_horeca_gas_kWh/1000)*0.902</f>
        <v>832.11864131822097</v>
      </c>
      <c r="E7" s="33">
        <f>$C$27*'E Balans VL '!I9/100/3.6*1000000</f>
        <v>41.265367804408179</v>
      </c>
      <c r="F7" s="33">
        <f>$C$27*('E Balans VL '!L9+'E Balans VL '!N9)/100/3.6*1000000</f>
        <v>127.42838744866992</v>
      </c>
      <c r="G7" s="34"/>
      <c r="H7" s="33"/>
      <c r="I7" s="33"/>
      <c r="J7" s="33">
        <f>$C$27*('E Balans VL '!D9+'E Balans VL '!E9)/100/3.6*1000000</f>
        <v>0</v>
      </c>
      <c r="K7" s="33"/>
      <c r="L7" s="33"/>
      <c r="M7" s="33"/>
      <c r="N7" s="33">
        <f>$C$27*'E Balans VL '!Y9/100/3.6*1000000</f>
        <v>0</v>
      </c>
      <c r="O7" s="33"/>
      <c r="P7" s="33"/>
      <c r="R7" s="32"/>
    </row>
    <row r="8" spans="1:18">
      <c r="A8" s="6" t="s">
        <v>51</v>
      </c>
      <c r="B8" s="37">
        <f t="shared" si="0"/>
        <v>2125.9625353147499</v>
      </c>
      <c r="C8" s="33"/>
      <c r="D8" s="37">
        <f>IF(ISERROR(TER_handel_gas_kWh/1000),0,TER_handel_gas_kWh/1000)*0.902</f>
        <v>355.44144564805708</v>
      </c>
      <c r="E8" s="33">
        <f>$C$28*'E Balans VL '!I13/100/3.6*1000000</f>
        <v>10.755607473078699</v>
      </c>
      <c r="F8" s="33">
        <f>$C$28*('E Balans VL '!L13+'E Balans VL '!N13)/100/3.6*1000000</f>
        <v>323.02337961734111</v>
      </c>
      <c r="G8" s="34"/>
      <c r="H8" s="33"/>
      <c r="I8" s="33"/>
      <c r="J8" s="33">
        <f>$C$28*('E Balans VL '!D13+'E Balans VL '!E13)/100/3.6*1000000</f>
        <v>0</v>
      </c>
      <c r="K8" s="33"/>
      <c r="L8" s="33"/>
      <c r="M8" s="33"/>
      <c r="N8" s="33">
        <f>$C$28*'E Balans VL '!Y13/100/3.6*1000000</f>
        <v>0.99415699200429886</v>
      </c>
      <c r="O8" s="33"/>
      <c r="P8" s="33"/>
      <c r="R8" s="32"/>
    </row>
    <row r="9" spans="1:18">
      <c r="A9" s="32" t="s">
        <v>50</v>
      </c>
      <c r="B9" s="37">
        <f t="shared" si="0"/>
        <v>19.2987209747008</v>
      </c>
      <c r="C9" s="33"/>
      <c r="D9" s="37">
        <f>IF(ISERROR(TER_gezond_gas_kWh/1000),0,TER_gezond_gas_kWh/1000)*0.902</f>
        <v>0</v>
      </c>
      <c r="E9" s="33">
        <f>$C$29*'E Balans VL '!I10/100/3.6*1000000</f>
        <v>7.0178961115889759E-3</v>
      </c>
      <c r="F9" s="33">
        <f>$C$29*('E Balans VL '!L10+'E Balans VL '!N10)/100/3.6*1000000</f>
        <v>4.1699321095785358</v>
      </c>
      <c r="G9" s="34"/>
      <c r="H9" s="33"/>
      <c r="I9" s="33"/>
      <c r="J9" s="33">
        <f>$C$29*('E Balans VL '!D10+'E Balans VL '!E10)/100/3.6*1000000</f>
        <v>0</v>
      </c>
      <c r="K9" s="33"/>
      <c r="L9" s="33"/>
      <c r="M9" s="33"/>
      <c r="N9" s="33">
        <f>$C$29*'E Balans VL '!Y10/100/3.6*1000000</f>
        <v>0.14632818983615903</v>
      </c>
      <c r="O9" s="33"/>
      <c r="P9" s="33"/>
      <c r="R9" s="32"/>
    </row>
    <row r="10" spans="1:18">
      <c r="A10" s="32" t="s">
        <v>49</v>
      </c>
      <c r="B10" s="37">
        <f t="shared" si="0"/>
        <v>1006.8186594563899</v>
      </c>
      <c r="C10" s="33"/>
      <c r="D10" s="37">
        <f>IF(ISERROR(TER_ander_gas_kWh/1000),0,TER_ander_gas_kWh/1000)*0.902</f>
        <v>344.00778761210125</v>
      </c>
      <c r="E10" s="33">
        <f>$C$30*'E Balans VL '!I14/100/3.6*1000000</f>
        <v>6.1291583245799854</v>
      </c>
      <c r="F10" s="33">
        <f>$C$30*('E Balans VL '!L14+'E Balans VL '!N14)/100/3.6*1000000</f>
        <v>266.55466323574717</v>
      </c>
      <c r="G10" s="34"/>
      <c r="H10" s="33"/>
      <c r="I10" s="33"/>
      <c r="J10" s="33">
        <f>$C$30*('E Balans VL '!D14+'E Balans VL '!E14)/100/3.6*1000000</f>
        <v>0</v>
      </c>
      <c r="K10" s="33"/>
      <c r="L10" s="33"/>
      <c r="M10" s="33"/>
      <c r="N10" s="33">
        <f>$C$30*'E Balans VL '!Y14/100/3.6*1000000</f>
        <v>209.69421619273754</v>
      </c>
      <c r="O10" s="33"/>
      <c r="P10" s="33"/>
      <c r="R10" s="32"/>
    </row>
    <row r="11" spans="1:18">
      <c r="A11" s="32" t="s">
        <v>54</v>
      </c>
      <c r="B11" s="37">
        <f t="shared" si="0"/>
        <v>61.475598021005197</v>
      </c>
      <c r="C11" s="33"/>
      <c r="D11" s="37">
        <f>IF(ISERROR(TER_onderwijs_gas_kWh/1000),0,TER_onderwijs_gas_kWh/1000)*0.902</f>
        <v>0</v>
      </c>
      <c r="E11" s="33">
        <f>$C$31*'E Balans VL '!I11/100/3.6*1000000</f>
        <v>7.6296539699495208E-2</v>
      </c>
      <c r="F11" s="33">
        <f>$C$31*('E Balans VL '!L11+'E Balans VL '!N11)/100/3.6*1000000</f>
        <v>72.452210924440678</v>
      </c>
      <c r="G11" s="34"/>
      <c r="H11" s="33"/>
      <c r="I11" s="33"/>
      <c r="J11" s="33">
        <f>$C$31*('E Balans VL '!D11+'E Balans VL '!E11)/100/3.6*1000000</f>
        <v>0</v>
      </c>
      <c r="K11" s="33"/>
      <c r="L11" s="33"/>
      <c r="M11" s="33"/>
      <c r="N11" s="33">
        <f>$C$31*'E Balans VL '!Y11/100/3.6*1000000</f>
        <v>0.29507712888019871</v>
      </c>
      <c r="O11" s="33"/>
      <c r="P11" s="33"/>
      <c r="R11" s="32"/>
    </row>
    <row r="12" spans="1:18">
      <c r="A12" s="32" t="s">
        <v>249</v>
      </c>
      <c r="B12" s="37">
        <f t="shared" si="0"/>
        <v>3813.6733042025903</v>
      </c>
      <c r="C12" s="33"/>
      <c r="D12" s="37">
        <f>IF(ISERROR(TER_rest_gas_kWh/1000),0,TER_rest_gas_kWh/1000)*0.902</f>
        <v>4250.5936593516353</v>
      </c>
      <c r="E12" s="33">
        <f>$C$32*'E Balans VL '!I8/100/3.6*1000000</f>
        <v>81.711300731948469</v>
      </c>
      <c r="F12" s="33">
        <f>$C$32*('E Balans VL '!L8+'E Balans VL '!N8)/100/3.6*1000000</f>
        <v>754.28783567341543</v>
      </c>
      <c r="G12" s="34"/>
      <c r="H12" s="33"/>
      <c r="I12" s="33"/>
      <c r="J12" s="33">
        <f>$C$32*('E Balans VL '!D8+'E Balans VL '!E8)/100/3.6*1000000</f>
        <v>0</v>
      </c>
      <c r="K12" s="33"/>
      <c r="L12" s="33"/>
      <c r="M12" s="33"/>
      <c r="N12" s="33">
        <f>$C$32*'E Balans VL '!Y8/100/3.6*1000000</f>
        <v>111.03772370833684</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9524.2172303704756</v>
      </c>
      <c r="C16" s="21">
        <f ca="1">C5+C13+C14</f>
        <v>0</v>
      </c>
      <c r="D16" s="21">
        <f t="shared" ref="D16:N16" ca="1" si="1">MAX((D5+D13+D14),0)</f>
        <v>7484.4208240086773</v>
      </c>
      <c r="E16" s="21">
        <f t="shared" si="1"/>
        <v>200.27371446285613</v>
      </c>
      <c r="F16" s="21">
        <f t="shared" ca="1" si="1"/>
        <v>1814.1587280056463</v>
      </c>
      <c r="G16" s="21">
        <f t="shared" si="1"/>
        <v>0</v>
      </c>
      <c r="H16" s="21">
        <f t="shared" si="1"/>
        <v>0</v>
      </c>
      <c r="I16" s="21">
        <f t="shared" si="1"/>
        <v>0</v>
      </c>
      <c r="J16" s="21">
        <f t="shared" si="1"/>
        <v>0</v>
      </c>
      <c r="K16" s="21">
        <f t="shared" si="1"/>
        <v>0</v>
      </c>
      <c r="L16" s="21">
        <f t="shared" ca="1" si="1"/>
        <v>0</v>
      </c>
      <c r="M16" s="21">
        <f t="shared" si="1"/>
        <v>0</v>
      </c>
      <c r="N16" s="21">
        <f t="shared" ca="1" si="1"/>
        <v>349.0523134456385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0.21251127761536467</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2024.0035719122998</v>
      </c>
      <c r="C20" s="23">
        <f t="shared" ref="C20:P20" ca="1" si="2">C16*C18</f>
        <v>0</v>
      </c>
      <c r="D20" s="23">
        <f t="shared" ca="1" si="2"/>
        <v>1511.8530064497529</v>
      </c>
      <c r="E20" s="23">
        <f t="shared" si="2"/>
        <v>45.462133183068346</v>
      </c>
      <c r="F20" s="23">
        <f t="shared" ca="1" si="2"/>
        <v>484.38038037750755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1744.0144136906599</v>
      </c>
      <c r="C26" s="39">
        <f>IF(ISERROR(B26*3.6/1000000/'E Balans VL '!Z12*100),0,B26*3.6/1000000/'E Balans VL '!Z12*100)</f>
        <v>3.6268010451056813E-2</v>
      </c>
      <c r="D26" s="233" t="s">
        <v>676</v>
      </c>
      <c r="F26" s="6"/>
    </row>
    <row r="27" spans="1:18">
      <c r="A27" s="228" t="s">
        <v>52</v>
      </c>
      <c r="B27" s="33">
        <f>IF(ISERROR(TER_horeca_ele_kWh/1000),0,TER_horeca_ele_kWh/1000)</f>
        <v>752.9739987103801</v>
      </c>
      <c r="C27" s="39">
        <f>IF(ISERROR(B27*3.6/1000000/'E Balans VL '!Z9*100),0,B27*3.6/1000000/'E Balans VL '!Z9*100)</f>
        <v>6.1932645741850118E-2</v>
      </c>
      <c r="D27" s="233" t="s">
        <v>676</v>
      </c>
      <c r="F27" s="6"/>
    </row>
    <row r="28" spans="1:18">
      <c r="A28" s="168" t="s">
        <v>51</v>
      </c>
      <c r="B28" s="33">
        <f>IF(ISERROR(TER_handel_ele_kWh/1000),0,TER_handel_ele_kWh/1000)</f>
        <v>2125.9625353147499</v>
      </c>
      <c r="C28" s="39">
        <f>IF(ISERROR(B28*3.6/1000000/'E Balans VL '!Z13*100),0,B28*3.6/1000000/'E Balans VL '!Z13*100)</f>
        <v>5.8846227362980619E-2</v>
      </c>
      <c r="D28" s="233" t="s">
        <v>676</v>
      </c>
      <c r="F28" s="6"/>
    </row>
    <row r="29" spans="1:18">
      <c r="A29" s="228" t="s">
        <v>50</v>
      </c>
      <c r="B29" s="33">
        <f>IF(ISERROR(TER_gezond_ele_kWh/1000),0,TER_gezond_ele_kWh/1000)</f>
        <v>19.2987209747008</v>
      </c>
      <c r="C29" s="39">
        <f>IF(ISERROR(B29*3.6/1000000/'E Balans VL '!Z10*100),0,B29*3.6/1000000/'E Balans VL '!Z10*100)</f>
        <v>2.2008790498336326E-3</v>
      </c>
      <c r="D29" s="233" t="s">
        <v>676</v>
      </c>
      <c r="F29" s="6"/>
    </row>
    <row r="30" spans="1:18">
      <c r="A30" s="228" t="s">
        <v>49</v>
      </c>
      <c r="B30" s="33">
        <f>IF(ISERROR(TER_ander_ele_kWh/1000),0,TER_ander_ele_kWh/1000)</f>
        <v>1006.8186594563899</v>
      </c>
      <c r="C30" s="39">
        <f>IF(ISERROR(B30*3.6/1000000/'E Balans VL '!Z14*100),0,B30*3.6/1000000/'E Balans VL '!Z14*100)</f>
        <v>7.7930495263335398E-2</v>
      </c>
      <c r="D30" s="233" t="s">
        <v>676</v>
      </c>
      <c r="F30" s="6"/>
    </row>
    <row r="31" spans="1:18">
      <c r="A31" s="228" t="s">
        <v>54</v>
      </c>
      <c r="B31" s="33">
        <f>IF(ISERROR(TER_onderwijs_ele_kWh/1000),0,TER_onderwijs_ele_kWh/1000)</f>
        <v>61.475598021005197</v>
      </c>
      <c r="C31" s="39">
        <f>IF(ISERROR(B31*3.6/1000000/'E Balans VL '!Z11*100),0,B31*3.6/1000000/'E Balans VL '!Z11*100)</f>
        <v>1.9154633487841525E-2</v>
      </c>
      <c r="D31" s="233" t="s">
        <v>676</v>
      </c>
    </row>
    <row r="32" spans="1:18">
      <c r="A32" s="228" t="s">
        <v>249</v>
      </c>
      <c r="B32" s="33">
        <f>IF(ISERROR(TER_rest_ele_kWh/1000),0,TER_rest_ele_kWh/1000)</f>
        <v>3813.6733042025903</v>
      </c>
      <c r="C32" s="39">
        <f>IF(ISERROR(B32*3.6/1000000/'E Balans VL '!Z8*100),0,B32*3.6/1000000/'E Balans VL '!Z8*100)</f>
        <v>3.1447854017504363E-2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3585.8729861479114</v>
      </c>
      <c r="C5" s="17">
        <f>IF(ISERROR('Eigen informatie GS &amp; warmtenet'!B59),0,'Eigen informatie GS &amp; warmtenet'!B59)</f>
        <v>0</v>
      </c>
      <c r="D5" s="30">
        <f>SUM(D6:D15)</f>
        <v>4400.8849192124626</v>
      </c>
      <c r="E5" s="17">
        <f>SUM(E6:E15)</f>
        <v>31.949750587221757</v>
      </c>
      <c r="F5" s="17">
        <f>SUM(F6:F15)</f>
        <v>785.67723559192211</v>
      </c>
      <c r="G5" s="18"/>
      <c r="H5" s="17"/>
      <c r="I5" s="17"/>
      <c r="J5" s="17">
        <f>SUM(J6:J15)</f>
        <v>47.756774064379726</v>
      </c>
      <c r="K5" s="17"/>
      <c r="L5" s="17"/>
      <c r="M5" s="17"/>
      <c r="N5" s="17">
        <f>SUM(N6:N15)</f>
        <v>60.241693383325668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1993.1101311641999</v>
      </c>
      <c r="C8" s="33"/>
      <c r="D8" s="37">
        <f>IF( ISERROR(IND_metaal_Gas_kWH/1000),0,IND_metaal_Gas_kWH/1000)*0.902</f>
        <v>0</v>
      </c>
      <c r="E8" s="33">
        <f>C30*'E Balans VL '!I18/100/3.6*1000000</f>
        <v>14.00514513188801</v>
      </c>
      <c r="F8" s="33">
        <f>C30*'E Balans VL '!L18/100/3.6*1000000+C30*'E Balans VL '!N18/100/3.6*1000000</f>
        <v>218.83183155980223</v>
      </c>
      <c r="G8" s="34"/>
      <c r="H8" s="33"/>
      <c r="I8" s="33"/>
      <c r="J8" s="40">
        <f>C30*'E Balans VL '!D18/100/3.6*1000000+C30*'E Balans VL '!E18/100/3.6*1000000</f>
        <v>41.122157939095665</v>
      </c>
      <c r="K8" s="33"/>
      <c r="L8" s="33"/>
      <c r="M8" s="33"/>
      <c r="N8" s="33">
        <f>C30*'E Balans VL '!Y18/100/3.6*1000000</f>
        <v>7.4703203152411009</v>
      </c>
      <c r="O8" s="33"/>
      <c r="P8" s="33"/>
      <c r="R8" s="32"/>
    </row>
    <row r="9" spans="1:18">
      <c r="A9" s="6" t="s">
        <v>32</v>
      </c>
      <c r="B9" s="37">
        <f t="shared" si="0"/>
        <v>454.19437728301801</v>
      </c>
      <c r="C9" s="33"/>
      <c r="D9" s="37">
        <f>IF( ISERROR(IND_andere_gas_kWh/1000),0,IND_andere_gas_kWh/1000)*0.902</f>
        <v>183.7413233332459</v>
      </c>
      <c r="E9" s="33">
        <f>C31*'E Balans VL '!I19/100/3.6*1000000</f>
        <v>7.6287509723455109</v>
      </c>
      <c r="F9" s="33">
        <f>C31*'E Balans VL '!L19/100/3.6*1000000+C31*'E Balans VL '!N19/100/3.6*1000000</f>
        <v>355.06329517970755</v>
      </c>
      <c r="G9" s="34"/>
      <c r="H9" s="33"/>
      <c r="I9" s="33"/>
      <c r="J9" s="40">
        <f>C31*'E Balans VL '!D19/100/3.6*1000000+C31*'E Balans VL '!E19/100/3.6*1000000</f>
        <v>4.0964323482334301E-2</v>
      </c>
      <c r="K9" s="33"/>
      <c r="L9" s="33"/>
      <c r="M9" s="33"/>
      <c r="N9" s="33">
        <f>C31*'E Balans VL '!Y19/100/3.6*1000000</f>
        <v>33.663090263935736</v>
      </c>
      <c r="O9" s="33"/>
      <c r="P9" s="33"/>
      <c r="R9" s="32"/>
    </row>
    <row r="10" spans="1:18">
      <c r="A10" s="6" t="s">
        <v>40</v>
      </c>
      <c r="B10" s="37">
        <f t="shared" si="0"/>
        <v>410.26970091690799</v>
      </c>
      <c r="C10" s="33"/>
      <c r="D10" s="37">
        <f>IF( ISERROR(IND_voed_gas_kWh/1000),0,IND_voed_gas_kWh/1000)*0.902</f>
        <v>119.94932343725489</v>
      </c>
      <c r="E10" s="33">
        <f>C32*'E Balans VL '!I20/100/3.6*1000000</f>
        <v>3.7431302635998498</v>
      </c>
      <c r="F10" s="33">
        <f>C32*'E Balans VL '!L20/100/3.6*1000000+C32*'E Balans VL '!N20/100/3.6*1000000</f>
        <v>66.18933524315878</v>
      </c>
      <c r="G10" s="34"/>
      <c r="H10" s="33"/>
      <c r="I10" s="33"/>
      <c r="J10" s="40">
        <f>C32*'E Balans VL '!D20/100/3.6*1000000+C32*'E Balans VL '!E20/100/3.6*1000000</f>
        <v>1.6897596142120297</v>
      </c>
      <c r="K10" s="33"/>
      <c r="L10" s="33"/>
      <c r="M10" s="33"/>
      <c r="N10" s="33">
        <f>C32*'E Balans VL '!Y20/100/3.6*1000000</f>
        <v>6.0019222176756308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728.29877678378602</v>
      </c>
      <c r="C15" s="33"/>
      <c r="D15" s="37">
        <f>IF( ISERROR(IND_rest_gas_kWh/1000),0,IND_rest_gas_kWh/1000)*0.902</f>
        <v>4097.1942724419614</v>
      </c>
      <c r="E15" s="33">
        <f>C37*'E Balans VL '!I15/100/3.6*1000000</f>
        <v>6.5727242193883892</v>
      </c>
      <c r="F15" s="33">
        <f>C37*'E Balans VL '!L15/100/3.6*1000000+C37*'E Balans VL '!N15/100/3.6*1000000</f>
        <v>145.59277360925353</v>
      </c>
      <c r="G15" s="34"/>
      <c r="H15" s="33"/>
      <c r="I15" s="33"/>
      <c r="J15" s="40">
        <f>C37*'E Balans VL '!D15/100/3.6*1000000+C37*'E Balans VL '!E15/100/3.6*1000000</f>
        <v>4.9038921875896992</v>
      </c>
      <c r="K15" s="33"/>
      <c r="L15" s="33"/>
      <c r="M15" s="33"/>
      <c r="N15" s="33">
        <f>C37*'E Balans VL '!Y15/100/3.6*1000000</f>
        <v>13.106360586473201</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3585.8729861479114</v>
      </c>
      <c r="C18" s="21">
        <f>C5+C16</f>
        <v>0</v>
      </c>
      <c r="D18" s="21">
        <f>MAX((D5+D16),0)</f>
        <v>4400.8849192124626</v>
      </c>
      <c r="E18" s="21">
        <f>MAX((E5+E16),0)</f>
        <v>31.949750587221757</v>
      </c>
      <c r="F18" s="21">
        <f>MAX((F5+F16),0)</f>
        <v>785.67723559192211</v>
      </c>
      <c r="G18" s="21"/>
      <c r="H18" s="21"/>
      <c r="I18" s="21"/>
      <c r="J18" s="21">
        <f>MAX((J5+J16),0)</f>
        <v>47.756774064379726</v>
      </c>
      <c r="K18" s="21"/>
      <c r="L18" s="21">
        <f>MAX((L5+L16),0)</f>
        <v>0</v>
      </c>
      <c r="M18" s="21"/>
      <c r="N18" s="21">
        <f>MAX((N5+N16),0)</f>
        <v>60.241693383325668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0.21251127761536467</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762.03844965271549</v>
      </c>
      <c r="C22" s="23">
        <f ca="1">C18*C20</f>
        <v>0</v>
      </c>
      <c r="D22" s="23">
        <f>D18*D20</f>
        <v>888.97875368091752</v>
      </c>
      <c r="E22" s="23">
        <f>E18*E20</f>
        <v>7.252593383299339</v>
      </c>
      <c r="F22" s="23">
        <f>F18*F20</f>
        <v>209.77582190304321</v>
      </c>
      <c r="G22" s="23"/>
      <c r="H22" s="23"/>
      <c r="I22" s="23"/>
      <c r="J22" s="23">
        <f>J18*J20</f>
        <v>16.905898018790424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1993.1101311641999</v>
      </c>
      <c r="C30" s="39">
        <f>IF(ISERROR(B30*3.6/1000000/'E Balans VL '!Z18*100),0,B30*3.6/1000000/'E Balans VL '!Z18*100)</f>
        <v>0.1326825585266373</v>
      </c>
      <c r="D30" s="233" t="s">
        <v>676</v>
      </c>
    </row>
    <row r="31" spans="1:18">
      <c r="A31" s="6" t="s">
        <v>32</v>
      </c>
      <c r="B31" s="37">
        <f>IF( ISERROR(IND_ander_ele_kWh/1000),0,IND_ander_ele_kWh/1000)</f>
        <v>454.19437728301801</v>
      </c>
      <c r="C31" s="39">
        <f>IF(ISERROR(B31*3.6/1000000/'E Balans VL '!Z19*100),0,B31*3.6/1000000/'E Balans VL '!Z19*100)</f>
        <v>2.0132636796778635E-2</v>
      </c>
      <c r="D31" s="233" t="s">
        <v>676</v>
      </c>
    </row>
    <row r="32" spans="1:18">
      <c r="A32" s="168" t="s">
        <v>40</v>
      </c>
      <c r="B32" s="37">
        <f>IF( ISERROR(IND_voed_ele_kWh/1000),0,IND_voed_ele_kWh/1000)</f>
        <v>410.26970091690799</v>
      </c>
      <c r="C32" s="39">
        <f>IF(ISERROR(B32*3.6/1000000/'E Balans VL '!Z20*100),0,B32*3.6/1000000/'E Balans VL '!Z20*100)</f>
        <v>1.370418492207455E-2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728.29877678378602</v>
      </c>
      <c r="C37" s="39">
        <f>IF(ISERROR(B37*3.6/1000000/'E Balans VL '!Z15*100),0,B37*3.6/1000000/'E Balans VL '!Z15*100)</f>
        <v>5.4173563990716567E-3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6121.9543229713527</v>
      </c>
      <c r="C5" s="17">
        <f>'Eigen informatie GS &amp; warmtenet'!B60</f>
        <v>0</v>
      </c>
      <c r="D5" s="30">
        <f>IF(ISERROR(SUM(LB_lb_gas_kWh,LB_rest_gas_kWh)/1000),0,SUM(LB_lb_gas_kWh,LB_rest_gas_kWh)/1000)*0.902</f>
        <v>19304.379169329775</v>
      </c>
      <c r="E5" s="17">
        <f>B17*'E Balans VL '!I25/3.6*1000000/100</f>
        <v>55.166576525345242</v>
      </c>
      <c r="F5" s="17">
        <f>B17*('E Balans VL '!L25/3.6*1000000+'E Balans VL '!N25/3.6*1000000)/100</f>
        <v>22939.149561597729</v>
      </c>
      <c r="G5" s="18"/>
      <c r="H5" s="17"/>
      <c r="I5" s="17"/>
      <c r="J5" s="17">
        <f>('E Balans VL '!D25+'E Balans VL '!E25)/3.6*1000000*landbouw!B17/100</f>
        <v>619.51645778862974</v>
      </c>
      <c r="K5" s="17"/>
      <c r="L5" s="17">
        <f>L6*(-1)</f>
        <v>0</v>
      </c>
      <c r="M5" s="17"/>
      <c r="N5" s="17">
        <f>N6*(-1)</f>
        <v>0</v>
      </c>
      <c r="O5" s="17"/>
      <c r="P5" s="17"/>
      <c r="R5" s="32"/>
    </row>
    <row r="6" spans="1:18">
      <c r="A6" s="16" t="s">
        <v>483</v>
      </c>
      <c r="B6" s="17" t="s">
        <v>204</v>
      </c>
      <c r="C6" s="17">
        <f>'lokale energieproductie'!O39+'lokale energieproductie'!O32</f>
        <v>9000</v>
      </c>
      <c r="D6" s="302">
        <f>('lokale energieproductie'!P32+'lokale energieproductie'!P39)*(-1)</f>
        <v>-18000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6121.9543229713527</v>
      </c>
      <c r="C8" s="21">
        <f>C5+C6</f>
        <v>9000</v>
      </c>
      <c r="D8" s="21">
        <f>MAX((D5+D6),0)</f>
        <v>1304.3791693297753</v>
      </c>
      <c r="E8" s="21">
        <f>MAX((E5+E6),0)</f>
        <v>55.166576525345242</v>
      </c>
      <c r="F8" s="21">
        <f>MAX((F5+F6),0)</f>
        <v>22939.149561597729</v>
      </c>
      <c r="G8" s="21"/>
      <c r="H8" s="21"/>
      <c r="I8" s="21"/>
      <c r="J8" s="21">
        <f>MAX((J5+J6),0)</f>
        <v>619.51645778862974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0.21251127761536467</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1300.9843346775469</v>
      </c>
      <c r="C12" s="23">
        <f ca="1">C8*C10</f>
        <v>2138.8235294117649</v>
      </c>
      <c r="D12" s="23">
        <f>D8*D10</f>
        <v>263.48459220461461</v>
      </c>
      <c r="E12" s="23">
        <f>E8*E10</f>
        <v>12.52281287125337</v>
      </c>
      <c r="F12" s="23">
        <f>F8*F10</f>
        <v>6124.7529329465942</v>
      </c>
      <c r="G12" s="23"/>
      <c r="H12" s="23"/>
      <c r="I12" s="23"/>
      <c r="J12" s="23">
        <f>J8*J10</f>
        <v>219.30882605717491</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0.94228694586238282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1073.7891745238098</v>
      </c>
      <c r="C26" s="243">
        <f>B26*'GWP N2O_CH4'!B5</f>
        <v>22549.572665000007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465.12808495396746</v>
      </c>
      <c r="C27" s="243">
        <f>B27*'GWP N2O_CH4'!B5</f>
        <v>9767.6897840333168</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17.048357626353301</v>
      </c>
      <c r="C28" s="243">
        <f>B28*'GWP N2O_CH4'!B4</f>
        <v>5284.9908641695229</v>
      </c>
      <c r="D28" s="50"/>
    </row>
    <row r="29" spans="1:4">
      <c r="A29" s="41" t="s">
        <v>266</v>
      </c>
      <c r="B29" s="243">
        <f>B34*'ha_N2O bodem landbouw'!B4</f>
        <v>38.61653518397349</v>
      </c>
      <c r="C29" s="243">
        <f>B29*'GWP N2O_CH4'!B4</f>
        <v>11971.125907031781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1.0026050185265587E-2</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5.0887710921652435E-6</v>
      </c>
      <c r="C5" s="431" t="s">
        <v>204</v>
      </c>
      <c r="D5" s="416">
        <f>SUM(D6:D11)</f>
        <v>1.7907247848608319E-5</v>
      </c>
      <c r="E5" s="416">
        <f>SUM(E6:E11)</f>
        <v>1.8222911975847816E-3</v>
      </c>
      <c r="F5" s="429" t="s">
        <v>204</v>
      </c>
      <c r="G5" s="416">
        <f>SUM(G6:G11)</f>
        <v>0.34092696187836069</v>
      </c>
      <c r="H5" s="416">
        <f>SUM(H6:H11)</f>
        <v>6.1165330066603928E-2</v>
      </c>
      <c r="I5" s="431" t="s">
        <v>204</v>
      </c>
      <c r="J5" s="431" t="s">
        <v>204</v>
      </c>
      <c r="K5" s="431" t="s">
        <v>204</v>
      </c>
      <c r="L5" s="431" t="s">
        <v>204</v>
      </c>
      <c r="M5" s="416">
        <f>SUM(M6:M11)</f>
        <v>1.750199116348769E-2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3.7267791497945568E-6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1.1763492167497931E-5</v>
      </c>
      <c r="E6" s="419">
        <f>vkm_GW_PW*SUMIFS(TableVerdeelsleutelVkm[LPG],TableVerdeelsleutelVkm[Voertuigtype],"Lichte voertuigen")*SUMIFS(TableECFTransport[EnergieConsumptieFactor (PJ per km)],TableECFTransport[Index],CONCATENATE($A6,"_LPG_LPG"))</f>
        <v>1.2217382098627797E-3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0.16308066160291299</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4.0958834490962895E-2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8.9105141392882576E-3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1.8596630527332377E-7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8.3829059456857952E-2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2.4666158783128639E-6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3.6113998051400488E-3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1.1475835284387383E-6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6.1437556811103887E-6</v>
      </c>
      <c r="E8" s="419">
        <f>vkm_NGW_PW*SUMIFS(TableVerdeelsleutelVkm[LPG],TableVerdeelsleutelVkm[Voertuigtype],"Lichte voertuigen")*SUMIFS(TableECFTransport[EnergieConsumptieFactor (PJ per km)],TableECFTransport[Index],CONCATENATE($A8,"_LPG_LPG"))</f>
        <v>6.0055298772200181E-4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7.6258133229771138E-2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2.0203573609598412E-2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4.215008651821674E-3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2.8442108658624714E-8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1.7759107588818577E-2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4.5535016430046781E-7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7.6506856723770899E-4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1.4135475256014565</v>
      </c>
      <c r="C14" s="21"/>
      <c r="D14" s="21">
        <f t="shared" ref="D14:M14" si="0">((D5)*10^9/3600)+D12</f>
        <v>4.9742355135023111</v>
      </c>
      <c r="E14" s="21">
        <f t="shared" si="0"/>
        <v>506.19199932910601</v>
      </c>
      <c r="F14" s="21"/>
      <c r="G14" s="21">
        <f t="shared" si="0"/>
        <v>94701.933855100186</v>
      </c>
      <c r="H14" s="21">
        <f t="shared" si="0"/>
        <v>16990.369462945535</v>
      </c>
      <c r="I14" s="21"/>
      <c r="J14" s="21"/>
      <c r="K14" s="21"/>
      <c r="L14" s="21"/>
      <c r="M14" s="21">
        <f t="shared" si="0"/>
        <v>4861.6642120799143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0.21251127761536467</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0.30039479063560293</v>
      </c>
      <c r="C18" s="23"/>
      <c r="D18" s="23">
        <f t="shared" ref="D18:M18" si="1">D14*D16</f>
        <v>1.004795573727467</v>
      </c>
      <c r="E18" s="23">
        <f t="shared" si="1"/>
        <v>114.90558384770706</v>
      </c>
      <c r="F18" s="23"/>
      <c r="G18" s="23">
        <f t="shared" si="1"/>
        <v>25285.416339311752</v>
      </c>
      <c r="H18" s="23">
        <f t="shared" si="1"/>
        <v>4230.6019962734381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2.7021347209276353E-5</v>
      </c>
      <c r="C50" s="313">
        <f t="shared" ref="C50:P50" si="2">SUM(C51:C52)</f>
        <v>0</v>
      </c>
      <c r="D50" s="313">
        <f t="shared" si="2"/>
        <v>0</v>
      </c>
      <c r="E50" s="313">
        <f t="shared" si="2"/>
        <v>0</v>
      </c>
      <c r="F50" s="313">
        <f t="shared" si="2"/>
        <v>0</v>
      </c>
      <c r="G50" s="313">
        <f t="shared" si="2"/>
        <v>5.8620099865539805E-3</v>
      </c>
      <c r="H50" s="313">
        <f t="shared" si="2"/>
        <v>0</v>
      </c>
      <c r="I50" s="313">
        <f t="shared" si="2"/>
        <v>0</v>
      </c>
      <c r="J50" s="313">
        <f t="shared" si="2"/>
        <v>0</v>
      </c>
      <c r="K50" s="313">
        <f t="shared" si="2"/>
        <v>0</v>
      </c>
      <c r="L50" s="313">
        <f t="shared" si="2"/>
        <v>0</v>
      </c>
      <c r="M50" s="313">
        <f t="shared" si="2"/>
        <v>2.5098875018408012E-4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2.7021347209276353E-5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5.8620099865539805E-3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2.5098875018408012E-4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7.5059297803545419</v>
      </c>
      <c r="C54" s="21">
        <f t="shared" ref="C54:P54" si="3">(C50)*10^9/3600</f>
        <v>0</v>
      </c>
      <c r="D54" s="21">
        <f t="shared" si="3"/>
        <v>0</v>
      </c>
      <c r="E54" s="21">
        <f t="shared" si="3"/>
        <v>0</v>
      </c>
      <c r="F54" s="21">
        <f t="shared" si="3"/>
        <v>0</v>
      </c>
      <c r="G54" s="21">
        <f t="shared" si="3"/>
        <v>1628.3361073761055</v>
      </c>
      <c r="H54" s="21">
        <f t="shared" si="3"/>
        <v>0</v>
      </c>
      <c r="I54" s="21">
        <f t="shared" si="3"/>
        <v>0</v>
      </c>
      <c r="J54" s="21">
        <f t="shared" si="3"/>
        <v>0</v>
      </c>
      <c r="K54" s="21">
        <f t="shared" si="3"/>
        <v>0</v>
      </c>
      <c r="L54" s="21">
        <f t="shared" si="3"/>
        <v>0</v>
      </c>
      <c r="M54" s="21">
        <f t="shared" si="3"/>
        <v>69.719097273355587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0.21251127761536467</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1.5950947273143572</v>
      </c>
      <c r="C58" s="23">
        <f t="shared" ref="C58:P58" ca="1" si="4">C54*C56</f>
        <v>0</v>
      </c>
      <c r="D58" s="23">
        <f t="shared" si="4"/>
        <v>0</v>
      </c>
      <c r="E58" s="23">
        <f t="shared" si="4"/>
        <v>0</v>
      </c>
      <c r="F58" s="23">
        <f t="shared" si="4"/>
        <v>0</v>
      </c>
      <c r="G58" s="23">
        <f t="shared" si="4"/>
        <v>434.76574066942021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2421.4841688776037</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6300</v>
      </c>
      <c r="C8" s="542">
        <f>B48</f>
        <v>7411.7647058823522</v>
      </c>
      <c r="D8" s="920"/>
      <c r="E8" s="920">
        <f>E48</f>
        <v>0</v>
      </c>
      <c r="F8" s="921"/>
      <c r="G8" s="543"/>
      <c r="H8" s="920">
        <f>I48</f>
        <v>0</v>
      </c>
      <c r="I8" s="920">
        <f>G48+F48</f>
        <v>0</v>
      </c>
      <c r="J8" s="920">
        <f>H48+D48+C48</f>
        <v>0</v>
      </c>
      <c r="K8" s="920"/>
      <c r="L8" s="920"/>
      <c r="M8" s="920"/>
      <c r="N8" s="544"/>
      <c r="O8" s="545">
        <f>C8*$C$12+D8*$D$12+E8*$E$12+F8*$F$12+G8*$G$12+H8*$H$12+I8*$I$12+J8*$J$12</f>
        <v>1497.1764705882354</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8721.4841688776032</v>
      </c>
      <c r="C10" s="554">
        <f t="shared" ref="C10:L10" si="0">SUM(C8:C9)</f>
        <v>7411.7647058823522</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1497.1764705882354</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9000</v>
      </c>
      <c r="C17" s="566">
        <f>B49</f>
        <v>10588.235294117647</v>
      </c>
      <c r="D17" s="567"/>
      <c r="E17" s="567">
        <f>E49</f>
        <v>0</v>
      </c>
      <c r="F17" s="568"/>
      <c r="G17" s="569"/>
      <c r="H17" s="566">
        <f>I49</f>
        <v>0</v>
      </c>
      <c r="I17" s="567">
        <f>G49+F49</f>
        <v>0</v>
      </c>
      <c r="J17" s="567">
        <f>H49+D49+C49</f>
        <v>0</v>
      </c>
      <c r="K17" s="567"/>
      <c r="L17" s="567"/>
      <c r="M17" s="567"/>
      <c r="N17" s="916"/>
      <c r="O17" s="570">
        <f>C17*$C$22+E17*$E$22+H17*$H$22+I17*$I$22+J17*$J$22+D17*$D$22+F17*$F$22+G17*$G$22+K17*$K$22+L17*$L$22</f>
        <v>2138.8235294117649</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9000</v>
      </c>
      <c r="C20" s="553">
        <f>SUM(C17:C19)</f>
        <v>10588.235294117647</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2138.8235294117649</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43002</v>
      </c>
      <c r="C28" s="736">
        <v>9960</v>
      </c>
      <c r="D28" s="626"/>
      <c r="E28" s="625"/>
      <c r="F28" s="625"/>
      <c r="G28" s="625" t="s">
        <v>962</v>
      </c>
      <c r="H28" s="625" t="s">
        <v>963</v>
      </c>
      <c r="I28" s="625"/>
      <c r="J28" s="735"/>
      <c r="K28" s="735"/>
      <c r="L28" s="625" t="s">
        <v>964</v>
      </c>
      <c r="M28" s="625">
        <v>1400</v>
      </c>
      <c r="N28" s="625">
        <v>6300</v>
      </c>
      <c r="O28" s="625">
        <v>9000</v>
      </c>
      <c r="P28" s="625">
        <v>18000</v>
      </c>
      <c r="Q28" s="625">
        <v>0</v>
      </c>
      <c r="R28" s="625">
        <v>0</v>
      </c>
      <c r="S28" s="625">
        <v>0</v>
      </c>
      <c r="T28" s="625">
        <v>0</v>
      </c>
      <c r="U28" s="625">
        <v>0</v>
      </c>
      <c r="V28" s="625">
        <v>0</v>
      </c>
      <c r="W28" s="625">
        <v>0</v>
      </c>
      <c r="X28" s="625"/>
      <c r="Y28" s="625">
        <v>10</v>
      </c>
      <c r="Z28" s="625" t="s">
        <v>105</v>
      </c>
      <c r="AA28" s="627" t="s">
        <v>105</v>
      </c>
    </row>
    <row r="29" spans="1:27" s="561" customFormat="1" hidden="1">
      <c r="A29" s="581" t="s">
        <v>269</v>
      </c>
      <c r="B29" s="582"/>
      <c r="C29" s="582"/>
      <c r="D29" s="582"/>
      <c r="E29" s="582"/>
      <c r="F29" s="582"/>
      <c r="G29" s="582"/>
      <c r="H29" s="582"/>
      <c r="I29" s="582"/>
      <c r="J29" s="582"/>
      <c r="K29" s="582"/>
      <c r="L29" s="583"/>
      <c r="M29" s="583">
        <f>SUM(M28:M28)</f>
        <v>1400</v>
      </c>
      <c r="N29" s="583">
        <f>SUM(N28:N28)</f>
        <v>6300</v>
      </c>
      <c r="O29" s="583">
        <f>SUM(O28:O28)</f>
        <v>9000</v>
      </c>
      <c r="P29" s="583">
        <f>SUM(P28:P28)</f>
        <v>18000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1400</v>
      </c>
      <c r="N32" s="588">
        <f>SUMIF($AA$28:$AA$28,"landbouw",N28:N28)</f>
        <v>6300</v>
      </c>
      <c r="O32" s="588">
        <f>SUMIF($AA$28:$AA$28,"landbouw",O28:O28)</f>
        <v>9000</v>
      </c>
      <c r="P32" s="588">
        <f>SUMIF($AA$28:$AA$28,"landbouw",P28:P28)</f>
        <v>18000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0.41176470588235292</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7411.7647058823522</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10588.235294117647</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10565.803230370475</v>
      </c>
      <c r="D10" s="635">
        <f ca="1">tertiair!C16</f>
        <v>0</v>
      </c>
      <c r="E10" s="635">
        <f ca="1">tertiair!D16</f>
        <v>7484.4208240086773</v>
      </c>
      <c r="F10" s="635">
        <f>tertiair!E16</f>
        <v>200.27371446285613</v>
      </c>
      <c r="G10" s="635">
        <f ca="1">tertiair!F16</f>
        <v>1814.1587280056463</v>
      </c>
      <c r="H10" s="635">
        <f>tertiair!G16</f>
        <v>0</v>
      </c>
      <c r="I10" s="635">
        <f>tertiair!H16</f>
        <v>0</v>
      </c>
      <c r="J10" s="635">
        <f>tertiair!I16</f>
        <v>0</v>
      </c>
      <c r="K10" s="635">
        <f>tertiair!J16</f>
        <v>0</v>
      </c>
      <c r="L10" s="635">
        <f>tertiair!K16</f>
        <v>0</v>
      </c>
      <c r="M10" s="635">
        <f ca="1">tertiair!L16</f>
        <v>0</v>
      </c>
      <c r="N10" s="635">
        <f>tertiair!M16</f>
        <v>0</v>
      </c>
      <c r="O10" s="635">
        <f ca="1">tertiair!N16</f>
        <v>349.0523134456385</v>
      </c>
      <c r="P10" s="635">
        <f>tertiair!O16</f>
        <v>0</v>
      </c>
      <c r="Q10" s="636">
        <f>tertiair!P16</f>
        <v>0</v>
      </c>
      <c r="R10" s="638">
        <f ca="1">SUM(C10:Q10)</f>
        <v>20413.70881029329</v>
      </c>
      <c r="S10" s="67"/>
    </row>
    <row r="11" spans="1:19" s="441" customFormat="1">
      <c r="A11" s="749" t="s">
        <v>214</v>
      </c>
      <c r="B11" s="754"/>
      <c r="C11" s="635">
        <f>huishoudens!B8</f>
        <v>28981.74423933962</v>
      </c>
      <c r="D11" s="635">
        <f>huishoudens!C8</f>
        <v>0</v>
      </c>
      <c r="E11" s="635">
        <f>huishoudens!D8</f>
        <v>32158.001267995889</v>
      </c>
      <c r="F11" s="635">
        <f>huishoudens!E8</f>
        <v>1781.1010605173783</v>
      </c>
      <c r="G11" s="635">
        <f>huishoudens!F8</f>
        <v>60796.808277165401</v>
      </c>
      <c r="H11" s="635">
        <f>huishoudens!G8</f>
        <v>0</v>
      </c>
      <c r="I11" s="635">
        <f>huishoudens!H8</f>
        <v>0</v>
      </c>
      <c r="J11" s="635">
        <f>huishoudens!I8</f>
        <v>0</v>
      </c>
      <c r="K11" s="635">
        <f>huishoudens!J8</f>
        <v>1368.9899850329734</v>
      </c>
      <c r="L11" s="635">
        <f>huishoudens!K8</f>
        <v>0</v>
      </c>
      <c r="M11" s="635">
        <f>huishoudens!L8</f>
        <v>0</v>
      </c>
      <c r="N11" s="635">
        <f>huishoudens!M8</f>
        <v>0</v>
      </c>
      <c r="O11" s="635">
        <f>huishoudens!N8</f>
        <v>7457.7880524531183</v>
      </c>
      <c r="P11" s="635">
        <f>huishoudens!O8</f>
        <v>70.350000000000009</v>
      </c>
      <c r="Q11" s="636">
        <f>huishoudens!P8</f>
        <v>190.66666666666669</v>
      </c>
      <c r="R11" s="638">
        <f>SUM(C11:Q11)</f>
        <v>132805.44954917103</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3585.8729861479114</v>
      </c>
      <c r="D13" s="635">
        <f>industrie!C18</f>
        <v>0</v>
      </c>
      <c r="E13" s="635">
        <f>industrie!D18</f>
        <v>4400.8849192124626</v>
      </c>
      <c r="F13" s="635">
        <f>industrie!E18</f>
        <v>31.949750587221757</v>
      </c>
      <c r="G13" s="635">
        <f>industrie!F18</f>
        <v>785.67723559192211</v>
      </c>
      <c r="H13" s="635">
        <f>industrie!G18</f>
        <v>0</v>
      </c>
      <c r="I13" s="635">
        <f>industrie!H18</f>
        <v>0</v>
      </c>
      <c r="J13" s="635">
        <f>industrie!I18</f>
        <v>0</v>
      </c>
      <c r="K13" s="635">
        <f>industrie!J18</f>
        <v>47.756774064379726</v>
      </c>
      <c r="L13" s="635">
        <f>industrie!K18</f>
        <v>0</v>
      </c>
      <c r="M13" s="635">
        <f>industrie!L18</f>
        <v>0</v>
      </c>
      <c r="N13" s="635">
        <f>industrie!M18</f>
        <v>0</v>
      </c>
      <c r="O13" s="635">
        <f>industrie!N18</f>
        <v>60.241693383325668</v>
      </c>
      <c r="P13" s="635">
        <f>industrie!O18</f>
        <v>0</v>
      </c>
      <c r="Q13" s="636">
        <f>industrie!P18</f>
        <v>0</v>
      </c>
      <c r="R13" s="638">
        <f>SUM(C13:Q13)</f>
        <v>8912.3833589872229</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43133.42045585801</v>
      </c>
      <c r="D16" s="668">
        <f t="shared" ref="D16:R16" ca="1" si="0">SUM(D9:D15)</f>
        <v>0</v>
      </c>
      <c r="E16" s="668">
        <f t="shared" ca="1" si="0"/>
        <v>44043.307011217024</v>
      </c>
      <c r="F16" s="668">
        <f t="shared" si="0"/>
        <v>2013.3245255674562</v>
      </c>
      <c r="G16" s="668">
        <f t="shared" ca="1" si="0"/>
        <v>63396.644240762973</v>
      </c>
      <c r="H16" s="668">
        <f t="shared" si="0"/>
        <v>0</v>
      </c>
      <c r="I16" s="668">
        <f t="shared" si="0"/>
        <v>0</v>
      </c>
      <c r="J16" s="668">
        <f t="shared" si="0"/>
        <v>0</v>
      </c>
      <c r="K16" s="668">
        <f t="shared" si="0"/>
        <v>1416.7467590973531</v>
      </c>
      <c r="L16" s="668">
        <f t="shared" si="0"/>
        <v>0</v>
      </c>
      <c r="M16" s="668">
        <f t="shared" ca="1" si="0"/>
        <v>0</v>
      </c>
      <c r="N16" s="668">
        <f t="shared" si="0"/>
        <v>0</v>
      </c>
      <c r="O16" s="668">
        <f t="shared" ca="1" si="0"/>
        <v>7867.0820592820828</v>
      </c>
      <c r="P16" s="668">
        <f t="shared" si="0"/>
        <v>70.350000000000009</v>
      </c>
      <c r="Q16" s="668">
        <f t="shared" si="0"/>
        <v>190.66666666666669</v>
      </c>
      <c r="R16" s="668">
        <f t="shared" ca="1" si="0"/>
        <v>162131.54171845154</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7.5059297803545419</v>
      </c>
      <c r="D19" s="635">
        <f>transport!C54</f>
        <v>0</v>
      </c>
      <c r="E19" s="635">
        <f>transport!D54</f>
        <v>0</v>
      </c>
      <c r="F19" s="635">
        <f>transport!E54</f>
        <v>0</v>
      </c>
      <c r="G19" s="635">
        <f>transport!F54</f>
        <v>0</v>
      </c>
      <c r="H19" s="635">
        <f>transport!G54</f>
        <v>1628.3361073761055</v>
      </c>
      <c r="I19" s="635">
        <f>transport!H54</f>
        <v>0</v>
      </c>
      <c r="J19" s="635">
        <f>transport!I54</f>
        <v>0</v>
      </c>
      <c r="K19" s="635">
        <f>transport!J54</f>
        <v>0</v>
      </c>
      <c r="L19" s="635">
        <f>transport!K54</f>
        <v>0</v>
      </c>
      <c r="M19" s="635">
        <f>transport!L54</f>
        <v>0</v>
      </c>
      <c r="N19" s="635">
        <f>transport!M54</f>
        <v>69.719097273355587</v>
      </c>
      <c r="O19" s="635">
        <f>transport!N54</f>
        <v>0</v>
      </c>
      <c r="P19" s="635">
        <f>transport!O54</f>
        <v>0</v>
      </c>
      <c r="Q19" s="636">
        <f>transport!P54</f>
        <v>0</v>
      </c>
      <c r="R19" s="638">
        <f>SUM(C19:Q19)</f>
        <v>1705.5611344298156</v>
      </c>
      <c r="S19" s="67"/>
    </row>
    <row r="20" spans="1:19" s="441" customFormat="1">
      <c r="A20" s="749" t="s">
        <v>296</v>
      </c>
      <c r="B20" s="754"/>
      <c r="C20" s="635">
        <f>transport!B14</f>
        <v>1.4135475256014565</v>
      </c>
      <c r="D20" s="635">
        <f>transport!C14</f>
        <v>0</v>
      </c>
      <c r="E20" s="635">
        <f>transport!D14</f>
        <v>4.9742355135023111</v>
      </c>
      <c r="F20" s="635">
        <f>transport!E14</f>
        <v>506.19199932910601</v>
      </c>
      <c r="G20" s="635">
        <f>transport!F14</f>
        <v>0</v>
      </c>
      <c r="H20" s="635">
        <f>transport!G14</f>
        <v>94701.933855100186</v>
      </c>
      <c r="I20" s="635">
        <f>transport!H14</f>
        <v>16990.369462945535</v>
      </c>
      <c r="J20" s="635">
        <f>transport!I14</f>
        <v>0</v>
      </c>
      <c r="K20" s="635">
        <f>transport!J14</f>
        <v>0</v>
      </c>
      <c r="L20" s="635">
        <f>transport!K14</f>
        <v>0</v>
      </c>
      <c r="M20" s="635">
        <f>transport!L14</f>
        <v>0</v>
      </c>
      <c r="N20" s="635">
        <f>transport!M14</f>
        <v>4861.6642120799143</v>
      </c>
      <c r="O20" s="635">
        <f>transport!N14</f>
        <v>0</v>
      </c>
      <c r="P20" s="635">
        <f>transport!O14</f>
        <v>0</v>
      </c>
      <c r="Q20" s="636">
        <f>transport!P14</f>
        <v>0</v>
      </c>
      <c r="R20" s="638">
        <f>SUM(C20:Q20)</f>
        <v>117066.54731249383</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8.9194773059559989</v>
      </c>
      <c r="D22" s="752">
        <f t="shared" ref="D22:R22" si="1">SUM(D18:D21)</f>
        <v>0</v>
      </c>
      <c r="E22" s="752">
        <f t="shared" si="1"/>
        <v>4.9742355135023111</v>
      </c>
      <c r="F22" s="752">
        <f t="shared" si="1"/>
        <v>506.19199932910601</v>
      </c>
      <c r="G22" s="752">
        <f t="shared" si="1"/>
        <v>0</v>
      </c>
      <c r="H22" s="752">
        <f t="shared" si="1"/>
        <v>96330.26996247629</v>
      </c>
      <c r="I22" s="752">
        <f t="shared" si="1"/>
        <v>16990.369462945535</v>
      </c>
      <c r="J22" s="752">
        <f t="shared" si="1"/>
        <v>0</v>
      </c>
      <c r="K22" s="752">
        <f t="shared" si="1"/>
        <v>0</v>
      </c>
      <c r="L22" s="752">
        <f t="shared" si="1"/>
        <v>0</v>
      </c>
      <c r="M22" s="752">
        <f t="shared" si="1"/>
        <v>0</v>
      </c>
      <c r="N22" s="752">
        <f t="shared" si="1"/>
        <v>4931.3833093532694</v>
      </c>
      <c r="O22" s="752">
        <f t="shared" si="1"/>
        <v>0</v>
      </c>
      <c r="P22" s="752">
        <f t="shared" si="1"/>
        <v>0</v>
      </c>
      <c r="Q22" s="752">
        <f t="shared" si="1"/>
        <v>0</v>
      </c>
      <c r="R22" s="752">
        <f t="shared" si="1"/>
        <v>118772.10844692364</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6121.9543229713527</v>
      </c>
      <c r="D24" s="635">
        <f>+landbouw!C8</f>
        <v>9000</v>
      </c>
      <c r="E24" s="635">
        <f>+landbouw!D8</f>
        <v>1304.3791693297753</v>
      </c>
      <c r="F24" s="635">
        <f>+landbouw!E8</f>
        <v>55.166576525345242</v>
      </c>
      <c r="G24" s="635">
        <f>+landbouw!F8</f>
        <v>22939.149561597729</v>
      </c>
      <c r="H24" s="635">
        <f>+landbouw!G8</f>
        <v>0</v>
      </c>
      <c r="I24" s="635">
        <f>+landbouw!H8</f>
        <v>0</v>
      </c>
      <c r="J24" s="635">
        <f>+landbouw!I8</f>
        <v>0</v>
      </c>
      <c r="K24" s="635">
        <f>+landbouw!J8</f>
        <v>619.51645778862974</v>
      </c>
      <c r="L24" s="635">
        <f>+landbouw!K8</f>
        <v>0</v>
      </c>
      <c r="M24" s="635">
        <f>+landbouw!L8</f>
        <v>0</v>
      </c>
      <c r="N24" s="635">
        <f>+landbouw!M8</f>
        <v>0</v>
      </c>
      <c r="O24" s="635">
        <f>+landbouw!N8</f>
        <v>0</v>
      </c>
      <c r="P24" s="635">
        <f>+landbouw!O8</f>
        <v>0</v>
      </c>
      <c r="Q24" s="636">
        <f>+landbouw!P8</f>
        <v>0</v>
      </c>
      <c r="R24" s="638">
        <f>SUM(C24:Q24)</f>
        <v>40040.166088212834</v>
      </c>
      <c r="S24" s="67"/>
    </row>
    <row r="25" spans="1:19" s="441" customFormat="1" ht="15" thickBot="1">
      <c r="A25" s="771" t="s">
        <v>864</v>
      </c>
      <c r="B25" s="923"/>
      <c r="C25" s="924">
        <f>IF(Onbekend_ele_kWh="---",0,Onbekend_ele_kWh)/1000+IF(REST_rest_ele_kWh="---",0,REST_rest_ele_kWh)/1000</f>
        <v>1423.13681270351</v>
      </c>
      <c r="D25" s="924"/>
      <c r="E25" s="924">
        <f>IF(onbekend_gas_kWh="---",0,onbekend_gas_kWh)/1000+IF(REST_rest_gas_kWh="---",0,REST_rest_gas_kWh)/1000</f>
        <v>1804.4791553610901</v>
      </c>
      <c r="F25" s="924"/>
      <c r="G25" s="924"/>
      <c r="H25" s="924"/>
      <c r="I25" s="924"/>
      <c r="J25" s="924"/>
      <c r="K25" s="924"/>
      <c r="L25" s="924"/>
      <c r="M25" s="924"/>
      <c r="N25" s="924"/>
      <c r="O25" s="924"/>
      <c r="P25" s="924"/>
      <c r="Q25" s="925"/>
      <c r="R25" s="638">
        <f>SUM(C25:Q25)</f>
        <v>3227.6159680646001</v>
      </c>
      <c r="S25" s="67"/>
    </row>
    <row r="26" spans="1:19" s="441" customFormat="1" ht="15.75" thickBot="1">
      <c r="A26" s="641" t="s">
        <v>865</v>
      </c>
      <c r="B26" s="757"/>
      <c r="C26" s="752">
        <f>SUM(C24:C25)</f>
        <v>7545.0911356748629</v>
      </c>
      <c r="D26" s="752">
        <f t="shared" ref="D26:R26" si="2">SUM(D24:D25)</f>
        <v>9000</v>
      </c>
      <c r="E26" s="752">
        <f t="shared" si="2"/>
        <v>3108.8583246908656</v>
      </c>
      <c r="F26" s="752">
        <f t="shared" si="2"/>
        <v>55.166576525345242</v>
      </c>
      <c r="G26" s="752">
        <f t="shared" si="2"/>
        <v>22939.149561597729</v>
      </c>
      <c r="H26" s="752">
        <f t="shared" si="2"/>
        <v>0</v>
      </c>
      <c r="I26" s="752">
        <f t="shared" si="2"/>
        <v>0</v>
      </c>
      <c r="J26" s="752">
        <f t="shared" si="2"/>
        <v>0</v>
      </c>
      <c r="K26" s="752">
        <f t="shared" si="2"/>
        <v>619.51645778862974</v>
      </c>
      <c r="L26" s="752">
        <f t="shared" si="2"/>
        <v>0</v>
      </c>
      <c r="M26" s="752">
        <f t="shared" si="2"/>
        <v>0</v>
      </c>
      <c r="N26" s="752">
        <f t="shared" si="2"/>
        <v>0</v>
      </c>
      <c r="O26" s="752">
        <f t="shared" si="2"/>
        <v>0</v>
      </c>
      <c r="P26" s="752">
        <f t="shared" si="2"/>
        <v>0</v>
      </c>
      <c r="Q26" s="752">
        <f t="shared" si="2"/>
        <v>0</v>
      </c>
      <c r="R26" s="752">
        <f t="shared" si="2"/>
        <v>43267.782056277436</v>
      </c>
      <c r="S26" s="67"/>
    </row>
    <row r="27" spans="1:19" s="441" customFormat="1" ht="17.25" thickTop="1" thickBot="1">
      <c r="A27" s="642" t="s">
        <v>109</v>
      </c>
      <c r="B27" s="744"/>
      <c r="C27" s="643">
        <f ca="1">C22+C16+C26</f>
        <v>50687.431068838829</v>
      </c>
      <c r="D27" s="643">
        <f t="shared" ref="D27:R27" ca="1" si="3">D22+D16+D26</f>
        <v>9000</v>
      </c>
      <c r="E27" s="643">
        <f t="shared" ca="1" si="3"/>
        <v>47157.139571421394</v>
      </c>
      <c r="F27" s="643">
        <f t="shared" si="3"/>
        <v>2574.6831014219074</v>
      </c>
      <c r="G27" s="643">
        <f t="shared" ca="1" si="3"/>
        <v>86335.793802360698</v>
      </c>
      <c r="H27" s="643">
        <f t="shared" si="3"/>
        <v>96330.26996247629</v>
      </c>
      <c r="I27" s="643">
        <f t="shared" si="3"/>
        <v>16990.369462945535</v>
      </c>
      <c r="J27" s="643">
        <f t="shared" si="3"/>
        <v>0</v>
      </c>
      <c r="K27" s="643">
        <f t="shared" si="3"/>
        <v>2036.2632168859827</v>
      </c>
      <c r="L27" s="643">
        <f t="shared" si="3"/>
        <v>0</v>
      </c>
      <c r="M27" s="643">
        <f t="shared" ca="1" si="3"/>
        <v>0</v>
      </c>
      <c r="N27" s="643">
        <f t="shared" si="3"/>
        <v>4931.3833093532694</v>
      </c>
      <c r="O27" s="643">
        <f t="shared" ca="1" si="3"/>
        <v>7867.0820592820828</v>
      </c>
      <c r="P27" s="643">
        <f t="shared" si="3"/>
        <v>70.350000000000009</v>
      </c>
      <c r="Q27" s="643">
        <f t="shared" si="3"/>
        <v>190.66666666666669</v>
      </c>
      <c r="R27" s="643">
        <f t="shared" ca="1" si="3"/>
        <v>324171.43222165265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2245.3523435185771</v>
      </c>
      <c r="D40" s="635">
        <f ca="1">tertiair!C20</f>
        <v>0</v>
      </c>
      <c r="E40" s="635">
        <f ca="1">tertiair!D20</f>
        <v>1511.8530064497529</v>
      </c>
      <c r="F40" s="635">
        <f>tertiair!E20</f>
        <v>45.462133183068346</v>
      </c>
      <c r="G40" s="635">
        <f ca="1">tertiair!F20</f>
        <v>484.38038037750755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4287.0478635289055</v>
      </c>
    </row>
    <row r="41" spans="1:18">
      <c r="A41" s="762" t="s">
        <v>214</v>
      </c>
      <c r="B41" s="769"/>
      <c r="C41" s="635">
        <f ca="1">huishoudens!B12</f>
        <v>6158.9474958237979</v>
      </c>
      <c r="D41" s="635">
        <f ca="1">huishoudens!C12</f>
        <v>0</v>
      </c>
      <c r="E41" s="635">
        <f>huishoudens!D12</f>
        <v>6495.9162561351704</v>
      </c>
      <c r="F41" s="635">
        <f>huishoudens!E12</f>
        <v>404.30994073744489</v>
      </c>
      <c r="G41" s="635">
        <f>huishoudens!F12</f>
        <v>16232.747810003162</v>
      </c>
      <c r="H41" s="635">
        <f>huishoudens!G12</f>
        <v>0</v>
      </c>
      <c r="I41" s="635">
        <f>huishoudens!H12</f>
        <v>0</v>
      </c>
      <c r="J41" s="635">
        <f>huishoudens!I12</f>
        <v>0</v>
      </c>
      <c r="K41" s="635">
        <f>huishoudens!J12</f>
        <v>484.62245470167255</v>
      </c>
      <c r="L41" s="635">
        <f>huishoudens!K12</f>
        <v>0</v>
      </c>
      <c r="M41" s="635">
        <f>huishoudens!L12</f>
        <v>0</v>
      </c>
      <c r="N41" s="635">
        <f>huishoudens!M12</f>
        <v>0</v>
      </c>
      <c r="O41" s="635">
        <f>huishoudens!N12</f>
        <v>0</v>
      </c>
      <c r="P41" s="635">
        <f>huishoudens!O12</f>
        <v>0</v>
      </c>
      <c r="Q41" s="710">
        <f>huishoudens!P12</f>
        <v>0</v>
      </c>
      <c r="R41" s="790">
        <f t="shared" ca="1" si="4"/>
        <v>29776.543957401245</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762.03844965271549</v>
      </c>
      <c r="D43" s="635">
        <f ca="1">industrie!C22</f>
        <v>0</v>
      </c>
      <c r="E43" s="635">
        <f>industrie!D22</f>
        <v>888.97875368091752</v>
      </c>
      <c r="F43" s="635">
        <f>industrie!E22</f>
        <v>7.252593383299339</v>
      </c>
      <c r="G43" s="635">
        <f>industrie!F22</f>
        <v>209.77582190304321</v>
      </c>
      <c r="H43" s="635">
        <f>industrie!G22</f>
        <v>0</v>
      </c>
      <c r="I43" s="635">
        <f>industrie!H22</f>
        <v>0</v>
      </c>
      <c r="J43" s="635">
        <f>industrie!I22</f>
        <v>0</v>
      </c>
      <c r="K43" s="635">
        <f>industrie!J22</f>
        <v>16.905898018790424</v>
      </c>
      <c r="L43" s="635">
        <f>industrie!K22</f>
        <v>0</v>
      </c>
      <c r="M43" s="635">
        <f>industrie!L22</f>
        <v>0</v>
      </c>
      <c r="N43" s="635">
        <f>industrie!M22</f>
        <v>0</v>
      </c>
      <c r="O43" s="635">
        <f>industrie!N22</f>
        <v>0</v>
      </c>
      <c r="P43" s="635">
        <f>industrie!O22</f>
        <v>0</v>
      </c>
      <c r="Q43" s="710">
        <f>industrie!P22</f>
        <v>0</v>
      </c>
      <c r="R43" s="789">
        <f t="shared" ca="1" si="4"/>
        <v>1884.951516638766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9166.3382889950899</v>
      </c>
      <c r="D46" s="668">
        <f t="shared" ref="D46:Q46" ca="1" si="5">SUM(D39:D45)</f>
        <v>0</v>
      </c>
      <c r="E46" s="668">
        <f t="shared" ca="1" si="5"/>
        <v>8896.7480162658412</v>
      </c>
      <c r="F46" s="668">
        <f t="shared" si="5"/>
        <v>457.02466730381252</v>
      </c>
      <c r="G46" s="668">
        <f t="shared" ca="1" si="5"/>
        <v>16926.904012283714</v>
      </c>
      <c r="H46" s="668">
        <f t="shared" si="5"/>
        <v>0</v>
      </c>
      <c r="I46" s="668">
        <f t="shared" si="5"/>
        <v>0</v>
      </c>
      <c r="J46" s="668">
        <f t="shared" si="5"/>
        <v>0</v>
      </c>
      <c r="K46" s="668">
        <f t="shared" si="5"/>
        <v>501.52835272046298</v>
      </c>
      <c r="L46" s="668">
        <f t="shared" si="5"/>
        <v>0</v>
      </c>
      <c r="M46" s="668">
        <f t="shared" ca="1" si="5"/>
        <v>0</v>
      </c>
      <c r="N46" s="668">
        <f t="shared" si="5"/>
        <v>0</v>
      </c>
      <c r="O46" s="668">
        <f t="shared" ca="1" si="5"/>
        <v>0</v>
      </c>
      <c r="P46" s="668">
        <f t="shared" si="5"/>
        <v>0</v>
      </c>
      <c r="Q46" s="668">
        <f t="shared" si="5"/>
        <v>0</v>
      </c>
      <c r="R46" s="668">
        <f ca="1">SUM(R39:R45)</f>
        <v>35948.543337568917</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1.5950947273143572</v>
      </c>
      <c r="D49" s="635">
        <f ca="1">transport!C58</f>
        <v>0</v>
      </c>
      <c r="E49" s="635">
        <f>transport!D58</f>
        <v>0</v>
      </c>
      <c r="F49" s="635">
        <f>transport!E58</f>
        <v>0</v>
      </c>
      <c r="G49" s="635">
        <f>transport!F58</f>
        <v>0</v>
      </c>
      <c r="H49" s="635">
        <f>transport!G58</f>
        <v>434.76574066942021</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436.36083539673456</v>
      </c>
    </row>
    <row r="50" spans="1:18">
      <c r="A50" s="765" t="s">
        <v>296</v>
      </c>
      <c r="B50" s="775"/>
      <c r="C50" s="930">
        <f ca="1">transport!B18</f>
        <v>0.30039479063560293</v>
      </c>
      <c r="D50" s="930">
        <f>transport!C18</f>
        <v>0</v>
      </c>
      <c r="E50" s="930">
        <f>transport!D18</f>
        <v>1.004795573727467</v>
      </c>
      <c r="F50" s="930">
        <f>transport!E18</f>
        <v>114.90558384770706</v>
      </c>
      <c r="G50" s="930">
        <f>transport!F18</f>
        <v>0</v>
      </c>
      <c r="H50" s="930">
        <f>transport!G18</f>
        <v>25285.416339311752</v>
      </c>
      <c r="I50" s="930">
        <f>transport!H18</f>
        <v>4230.6019962734381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29632.229109797263</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1.8954895179499602</v>
      </c>
      <c r="D52" s="668">
        <f t="shared" ref="D52:Q52" ca="1" si="6">SUM(D48:D51)</f>
        <v>0</v>
      </c>
      <c r="E52" s="668">
        <f t="shared" si="6"/>
        <v>1.004795573727467</v>
      </c>
      <c r="F52" s="668">
        <f t="shared" si="6"/>
        <v>114.90558384770706</v>
      </c>
      <c r="G52" s="668">
        <f t="shared" si="6"/>
        <v>0</v>
      </c>
      <c r="H52" s="668">
        <f t="shared" si="6"/>
        <v>25720.182079981172</v>
      </c>
      <c r="I52" s="668">
        <f t="shared" si="6"/>
        <v>4230.6019962734381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30068.589945193999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1300.9843346775469</v>
      </c>
      <c r="D54" s="930">
        <f ca="1">+landbouw!C12</f>
        <v>2138.8235294117649</v>
      </c>
      <c r="E54" s="930">
        <f>+landbouw!D12</f>
        <v>263.48459220461461</v>
      </c>
      <c r="F54" s="930">
        <f>+landbouw!E12</f>
        <v>12.52281287125337</v>
      </c>
      <c r="G54" s="930">
        <f>+landbouw!F12</f>
        <v>6124.7529329465942</v>
      </c>
      <c r="H54" s="930">
        <f>+landbouw!G12</f>
        <v>0</v>
      </c>
      <c r="I54" s="930">
        <f>+landbouw!H12</f>
        <v>0</v>
      </c>
      <c r="J54" s="930">
        <f>+landbouw!I12</f>
        <v>0</v>
      </c>
      <c r="K54" s="930">
        <f>+landbouw!J12</f>
        <v>219.30882605717491</v>
      </c>
      <c r="L54" s="930">
        <f>+landbouw!K12</f>
        <v>0</v>
      </c>
      <c r="M54" s="930">
        <f>+landbouw!L12</f>
        <v>0</v>
      </c>
      <c r="N54" s="930">
        <f>+landbouw!M12</f>
        <v>0</v>
      </c>
      <c r="O54" s="930">
        <f>+landbouw!N12</f>
        <v>0</v>
      </c>
      <c r="P54" s="930">
        <f>+landbouw!O12</f>
        <v>0</v>
      </c>
      <c r="Q54" s="931">
        <f>+landbouw!P12</f>
        <v>0</v>
      </c>
      <c r="R54" s="667">
        <f ca="1">SUM(C54:Q54)</f>
        <v>10059.877028168949</v>
      </c>
    </row>
    <row r="55" spans="1:18" ht="15" thickBot="1">
      <c r="A55" s="765" t="s">
        <v>864</v>
      </c>
      <c r="B55" s="775"/>
      <c r="C55" s="930">
        <f ca="1">C25*'EF ele_warmte'!B12</f>
        <v>302.43262228908088</v>
      </c>
      <c r="D55" s="930"/>
      <c r="E55" s="930">
        <f>E25*EF_CO2_aardgas</f>
        <v>364.5047893829402</v>
      </c>
      <c r="F55" s="930"/>
      <c r="G55" s="930"/>
      <c r="H55" s="930"/>
      <c r="I55" s="930"/>
      <c r="J55" s="930"/>
      <c r="K55" s="930"/>
      <c r="L55" s="930"/>
      <c r="M55" s="930"/>
      <c r="N55" s="930"/>
      <c r="O55" s="930"/>
      <c r="P55" s="930"/>
      <c r="Q55" s="931"/>
      <c r="R55" s="667">
        <f ca="1">SUM(C55:Q55)</f>
        <v>666.93741167202108</v>
      </c>
    </row>
    <row r="56" spans="1:18" ht="15.75" thickBot="1">
      <c r="A56" s="763" t="s">
        <v>865</v>
      </c>
      <c r="B56" s="776"/>
      <c r="C56" s="668">
        <f ca="1">SUM(C54:C55)</f>
        <v>1603.4169569666278</v>
      </c>
      <c r="D56" s="668">
        <f t="shared" ref="D56:Q56" ca="1" si="7">SUM(D54:D55)</f>
        <v>2138.8235294117649</v>
      </c>
      <c r="E56" s="668">
        <f t="shared" si="7"/>
        <v>627.98938158755482</v>
      </c>
      <c r="F56" s="668">
        <f t="shared" si="7"/>
        <v>12.52281287125337</v>
      </c>
      <c r="G56" s="668">
        <f t="shared" si="7"/>
        <v>6124.7529329465942</v>
      </c>
      <c r="H56" s="668">
        <f t="shared" si="7"/>
        <v>0</v>
      </c>
      <c r="I56" s="668">
        <f t="shared" si="7"/>
        <v>0</v>
      </c>
      <c r="J56" s="668">
        <f t="shared" si="7"/>
        <v>0</v>
      </c>
      <c r="K56" s="668">
        <f t="shared" si="7"/>
        <v>219.30882605717491</v>
      </c>
      <c r="L56" s="668">
        <f t="shared" si="7"/>
        <v>0</v>
      </c>
      <c r="M56" s="668">
        <f t="shared" si="7"/>
        <v>0</v>
      </c>
      <c r="N56" s="668">
        <f t="shared" si="7"/>
        <v>0</v>
      </c>
      <c r="O56" s="668">
        <f t="shared" si="7"/>
        <v>0</v>
      </c>
      <c r="P56" s="668">
        <f t="shared" si="7"/>
        <v>0</v>
      </c>
      <c r="Q56" s="669">
        <f t="shared" si="7"/>
        <v>0</v>
      </c>
      <c r="R56" s="670">
        <f ca="1">SUM(R54:R55)</f>
        <v>10726.814439840969</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10771.650735479669</v>
      </c>
      <c r="D61" s="676">
        <f t="shared" ref="D61:Q61" ca="1" si="8">D46+D52+D56</f>
        <v>2138.8235294117649</v>
      </c>
      <c r="E61" s="676">
        <f t="shared" ca="1" si="8"/>
        <v>9525.7421934271242</v>
      </c>
      <c r="F61" s="676">
        <f t="shared" si="8"/>
        <v>584.45306402277288</v>
      </c>
      <c r="G61" s="676">
        <f t="shared" ca="1" si="8"/>
        <v>23051.656945230308</v>
      </c>
      <c r="H61" s="676">
        <f t="shared" si="8"/>
        <v>25720.182079981172</v>
      </c>
      <c r="I61" s="676">
        <f t="shared" si="8"/>
        <v>4230.6019962734381</v>
      </c>
      <c r="J61" s="676">
        <f t="shared" si="8"/>
        <v>0</v>
      </c>
      <c r="K61" s="676">
        <f t="shared" si="8"/>
        <v>720.83717877763786</v>
      </c>
      <c r="L61" s="676">
        <f t="shared" si="8"/>
        <v>0</v>
      </c>
      <c r="M61" s="676">
        <f t="shared" ca="1" si="8"/>
        <v>0</v>
      </c>
      <c r="N61" s="676">
        <f t="shared" si="8"/>
        <v>0</v>
      </c>
      <c r="O61" s="676">
        <f t="shared" ca="1" si="8"/>
        <v>0</v>
      </c>
      <c r="P61" s="676">
        <f t="shared" si="8"/>
        <v>0</v>
      </c>
      <c r="Q61" s="676">
        <f t="shared" si="8"/>
        <v>0</v>
      </c>
      <c r="R61" s="676">
        <f ca="1">R46+R52+R56</f>
        <v>76743.947722603887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0.21251127761536467</v>
      </c>
      <c r="D63" s="720">
        <f t="shared" ca="1" si="9"/>
        <v>0.23764705882352943</v>
      </c>
      <c r="E63" s="932">
        <f t="shared" ca="1" si="9"/>
        <v>0.20200000000000007</v>
      </c>
      <c r="F63" s="720">
        <f t="shared" si="9"/>
        <v>0.22699999999999995</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2421.4841688776037</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6300</v>
      </c>
      <c r="D76" s="942">
        <f>'lokale energieproductie'!C8</f>
        <v>7411.7647058823522</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1497.1764705882354</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2421.4841688776037</v>
      </c>
      <c r="C78" s="691">
        <f>SUM(C72:C77)</f>
        <v>6300</v>
      </c>
      <c r="D78" s="692">
        <f t="shared" ref="D78:H78" si="10">SUM(D76:D77)</f>
        <v>7411.7647058823522</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1497.1764705882354</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9000</v>
      </c>
      <c r="D87" s="713">
        <f>'lokale energieproductie'!C17</f>
        <v>10588.235294117647</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2138.8235294117649</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9000</v>
      </c>
      <c r="D90" s="691">
        <f t="shared" ref="D90:H90" si="12">SUM(D87:D89)</f>
        <v>10588.235294117647</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2138.8235294117649</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28981.74423933962</v>
      </c>
      <c r="C4" s="445">
        <f>huishoudens!C8</f>
        <v>0</v>
      </c>
      <c r="D4" s="445">
        <f>huishoudens!D8</f>
        <v>32158.001267995889</v>
      </c>
      <c r="E4" s="445">
        <f>huishoudens!E8</f>
        <v>1781.1010605173783</v>
      </c>
      <c r="F4" s="445">
        <f>huishoudens!F8</f>
        <v>60796.808277165401</v>
      </c>
      <c r="G4" s="445">
        <f>huishoudens!G8</f>
        <v>0</v>
      </c>
      <c r="H4" s="445">
        <f>huishoudens!H8</f>
        <v>0</v>
      </c>
      <c r="I4" s="445">
        <f>huishoudens!I8</f>
        <v>0</v>
      </c>
      <c r="J4" s="445">
        <f>huishoudens!J8</f>
        <v>1368.9899850329734</v>
      </c>
      <c r="K4" s="445">
        <f>huishoudens!K8</f>
        <v>0</v>
      </c>
      <c r="L4" s="445">
        <f>huishoudens!L8</f>
        <v>0</v>
      </c>
      <c r="M4" s="445">
        <f>huishoudens!M8</f>
        <v>0</v>
      </c>
      <c r="N4" s="445">
        <f>huishoudens!N8</f>
        <v>7457.7880524531183</v>
      </c>
      <c r="O4" s="445">
        <f>huishoudens!O8</f>
        <v>70.350000000000009</v>
      </c>
      <c r="P4" s="446">
        <f>huishoudens!P8</f>
        <v>190.66666666666669</v>
      </c>
      <c r="Q4" s="447">
        <f>SUM(B4:P4)</f>
        <v>132805.44954917103</v>
      </c>
    </row>
    <row r="5" spans="1:17">
      <c r="A5" s="444" t="s">
        <v>149</v>
      </c>
      <c r="B5" s="445">
        <f ca="1">tertiair!B16</f>
        <v>9524.2172303704756</v>
      </c>
      <c r="C5" s="445">
        <f ca="1">tertiair!C16</f>
        <v>0</v>
      </c>
      <c r="D5" s="445">
        <f ca="1">tertiair!D16</f>
        <v>7484.4208240086773</v>
      </c>
      <c r="E5" s="445">
        <f>tertiair!E16</f>
        <v>200.27371446285613</v>
      </c>
      <c r="F5" s="445">
        <f ca="1">tertiair!F16</f>
        <v>1814.1587280056463</v>
      </c>
      <c r="G5" s="445">
        <f>tertiair!G16</f>
        <v>0</v>
      </c>
      <c r="H5" s="445">
        <f>tertiair!H16</f>
        <v>0</v>
      </c>
      <c r="I5" s="445">
        <f>tertiair!I16</f>
        <v>0</v>
      </c>
      <c r="J5" s="445">
        <f>tertiair!J16</f>
        <v>0</v>
      </c>
      <c r="K5" s="445">
        <f>tertiair!K16</f>
        <v>0</v>
      </c>
      <c r="L5" s="445">
        <f ca="1">tertiair!L16</f>
        <v>0</v>
      </c>
      <c r="M5" s="445">
        <f>tertiair!M16</f>
        <v>0</v>
      </c>
      <c r="N5" s="445">
        <f ca="1">tertiair!N16</f>
        <v>349.0523134456385</v>
      </c>
      <c r="O5" s="445">
        <f>tertiair!O16</f>
        <v>0</v>
      </c>
      <c r="P5" s="446">
        <f>tertiair!P16</f>
        <v>0</v>
      </c>
      <c r="Q5" s="444">
        <f t="shared" ref="Q5:Q14" ca="1" si="0">SUM(B5:P5)</f>
        <v>19372.122810293291</v>
      </c>
    </row>
    <row r="6" spans="1:17">
      <c r="A6" s="444" t="s">
        <v>187</v>
      </c>
      <c r="B6" s="445">
        <f>'openbare verlichting'!B8</f>
        <v>1041.586</v>
      </c>
      <c r="C6" s="445"/>
      <c r="D6" s="445"/>
      <c r="E6" s="445"/>
      <c r="F6" s="445"/>
      <c r="G6" s="445"/>
      <c r="H6" s="445"/>
      <c r="I6" s="445"/>
      <c r="J6" s="445"/>
      <c r="K6" s="445"/>
      <c r="L6" s="445"/>
      <c r="M6" s="445"/>
      <c r="N6" s="445"/>
      <c r="O6" s="445"/>
      <c r="P6" s="446"/>
      <c r="Q6" s="444">
        <f t="shared" si="0"/>
        <v>1041.586</v>
      </c>
    </row>
    <row r="7" spans="1:17">
      <c r="A7" s="444" t="s">
        <v>105</v>
      </c>
      <c r="B7" s="445">
        <f>landbouw!B8</f>
        <v>6121.9543229713527</v>
      </c>
      <c r="C7" s="445">
        <f>landbouw!C8</f>
        <v>9000</v>
      </c>
      <c r="D7" s="445">
        <f>landbouw!D8</f>
        <v>1304.3791693297753</v>
      </c>
      <c r="E7" s="445">
        <f>landbouw!E8</f>
        <v>55.166576525345242</v>
      </c>
      <c r="F7" s="445">
        <f>landbouw!F8</f>
        <v>22939.149561597729</v>
      </c>
      <c r="G7" s="445">
        <f>landbouw!G8</f>
        <v>0</v>
      </c>
      <c r="H7" s="445">
        <f>landbouw!H8</f>
        <v>0</v>
      </c>
      <c r="I7" s="445">
        <f>landbouw!I8</f>
        <v>0</v>
      </c>
      <c r="J7" s="445">
        <f>landbouw!J8</f>
        <v>619.51645778862974</v>
      </c>
      <c r="K7" s="445">
        <f>landbouw!K8</f>
        <v>0</v>
      </c>
      <c r="L7" s="445">
        <f>landbouw!L8</f>
        <v>0</v>
      </c>
      <c r="M7" s="445">
        <f>landbouw!M8</f>
        <v>0</v>
      </c>
      <c r="N7" s="445">
        <f>landbouw!N8</f>
        <v>0</v>
      </c>
      <c r="O7" s="445">
        <f>landbouw!O8</f>
        <v>0</v>
      </c>
      <c r="P7" s="446">
        <f>landbouw!P8</f>
        <v>0</v>
      </c>
      <c r="Q7" s="444">
        <f t="shared" si="0"/>
        <v>40040.166088212834</v>
      </c>
    </row>
    <row r="8" spans="1:17">
      <c r="A8" s="444" t="s">
        <v>613</v>
      </c>
      <c r="B8" s="445">
        <f>industrie!B18</f>
        <v>3585.8729861479114</v>
      </c>
      <c r="C8" s="445">
        <f>industrie!C18</f>
        <v>0</v>
      </c>
      <c r="D8" s="445">
        <f>industrie!D18</f>
        <v>4400.8849192124626</v>
      </c>
      <c r="E8" s="445">
        <f>industrie!E18</f>
        <v>31.949750587221757</v>
      </c>
      <c r="F8" s="445">
        <f>industrie!F18</f>
        <v>785.67723559192211</v>
      </c>
      <c r="G8" s="445">
        <f>industrie!G18</f>
        <v>0</v>
      </c>
      <c r="H8" s="445">
        <f>industrie!H18</f>
        <v>0</v>
      </c>
      <c r="I8" s="445">
        <f>industrie!I18</f>
        <v>0</v>
      </c>
      <c r="J8" s="445">
        <f>industrie!J18</f>
        <v>47.756774064379726</v>
      </c>
      <c r="K8" s="445">
        <f>industrie!K18</f>
        <v>0</v>
      </c>
      <c r="L8" s="445">
        <f>industrie!L18</f>
        <v>0</v>
      </c>
      <c r="M8" s="445">
        <f>industrie!M18</f>
        <v>0</v>
      </c>
      <c r="N8" s="445">
        <f>industrie!N18</f>
        <v>60.241693383325668</v>
      </c>
      <c r="O8" s="445">
        <f>industrie!O18</f>
        <v>0</v>
      </c>
      <c r="P8" s="446">
        <f>industrie!P18</f>
        <v>0</v>
      </c>
      <c r="Q8" s="444">
        <f t="shared" si="0"/>
        <v>8912.3833589872229</v>
      </c>
    </row>
    <row r="9" spans="1:17" s="450" customFormat="1">
      <c r="A9" s="448" t="s">
        <v>555</v>
      </c>
      <c r="B9" s="449">
        <f>transport!B14</f>
        <v>1.4135475256014565</v>
      </c>
      <c r="C9" s="449">
        <f>transport!C14</f>
        <v>0</v>
      </c>
      <c r="D9" s="449">
        <f>transport!D14</f>
        <v>4.9742355135023111</v>
      </c>
      <c r="E9" s="449">
        <f>transport!E14</f>
        <v>506.19199932910601</v>
      </c>
      <c r="F9" s="449">
        <f>transport!F14</f>
        <v>0</v>
      </c>
      <c r="G9" s="449">
        <f>transport!G14</f>
        <v>94701.933855100186</v>
      </c>
      <c r="H9" s="449">
        <f>transport!H14</f>
        <v>16990.369462945535</v>
      </c>
      <c r="I9" s="449">
        <f>transport!I14</f>
        <v>0</v>
      </c>
      <c r="J9" s="449">
        <f>transport!J14</f>
        <v>0</v>
      </c>
      <c r="K9" s="449">
        <f>transport!K14</f>
        <v>0</v>
      </c>
      <c r="L9" s="449">
        <f>transport!L14</f>
        <v>0</v>
      </c>
      <c r="M9" s="449">
        <f>transport!M14</f>
        <v>4861.6642120799143</v>
      </c>
      <c r="N9" s="449">
        <f>transport!N14</f>
        <v>0</v>
      </c>
      <c r="O9" s="449">
        <f>transport!O14</f>
        <v>0</v>
      </c>
      <c r="P9" s="449">
        <f>transport!P14</f>
        <v>0</v>
      </c>
      <c r="Q9" s="448">
        <f>SUM(B9:P9)</f>
        <v>117066.54731249383</v>
      </c>
    </row>
    <row r="10" spans="1:17">
      <c r="A10" s="444" t="s">
        <v>545</v>
      </c>
      <c r="B10" s="445">
        <f>transport!B54</f>
        <v>7.5059297803545419</v>
      </c>
      <c r="C10" s="445">
        <f>transport!C54</f>
        <v>0</v>
      </c>
      <c r="D10" s="445">
        <f>transport!D54</f>
        <v>0</v>
      </c>
      <c r="E10" s="445">
        <f>transport!E54</f>
        <v>0</v>
      </c>
      <c r="F10" s="445">
        <f>transport!F54</f>
        <v>0</v>
      </c>
      <c r="G10" s="445">
        <f>transport!G54</f>
        <v>1628.3361073761055</v>
      </c>
      <c r="H10" s="445">
        <f>transport!H54</f>
        <v>0</v>
      </c>
      <c r="I10" s="445">
        <f>transport!I54</f>
        <v>0</v>
      </c>
      <c r="J10" s="445">
        <f>transport!J54</f>
        <v>0</v>
      </c>
      <c r="K10" s="445">
        <f>transport!K54</f>
        <v>0</v>
      </c>
      <c r="L10" s="445">
        <f>transport!L54</f>
        <v>0</v>
      </c>
      <c r="M10" s="445">
        <f>transport!M54</f>
        <v>69.719097273355587</v>
      </c>
      <c r="N10" s="445">
        <f>transport!N54</f>
        <v>0</v>
      </c>
      <c r="O10" s="445">
        <f>transport!O54</f>
        <v>0</v>
      </c>
      <c r="P10" s="446">
        <f>transport!P54</f>
        <v>0</v>
      </c>
      <c r="Q10" s="444">
        <f t="shared" si="0"/>
        <v>1705.5611344298156</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1423.13681270351</v>
      </c>
      <c r="C14" s="452"/>
      <c r="D14" s="452">
        <f>'SEAP template'!E25</f>
        <v>1804.4791553610901</v>
      </c>
      <c r="E14" s="452"/>
      <c r="F14" s="452"/>
      <c r="G14" s="452"/>
      <c r="H14" s="452"/>
      <c r="I14" s="452"/>
      <c r="J14" s="452"/>
      <c r="K14" s="452"/>
      <c r="L14" s="452"/>
      <c r="M14" s="452"/>
      <c r="N14" s="452"/>
      <c r="O14" s="452"/>
      <c r="P14" s="453"/>
      <c r="Q14" s="444">
        <f t="shared" si="0"/>
        <v>3227.6159680646001</v>
      </c>
    </row>
    <row r="15" spans="1:17" s="457" customFormat="1">
      <c r="A15" s="454" t="s">
        <v>549</v>
      </c>
      <c r="B15" s="455">
        <f ca="1">SUM(B4:B14)</f>
        <v>50687.431068838821</v>
      </c>
      <c r="C15" s="455">
        <f t="shared" ref="C15:Q15" ca="1" si="1">SUM(C4:C14)</f>
        <v>9000</v>
      </c>
      <c r="D15" s="455">
        <f t="shared" ca="1" si="1"/>
        <v>47157.139571421394</v>
      </c>
      <c r="E15" s="455">
        <f t="shared" si="1"/>
        <v>2574.6831014219069</v>
      </c>
      <c r="F15" s="455">
        <f t="shared" ca="1" si="1"/>
        <v>86335.793802360698</v>
      </c>
      <c r="G15" s="455">
        <f t="shared" si="1"/>
        <v>96330.26996247629</v>
      </c>
      <c r="H15" s="455">
        <f t="shared" si="1"/>
        <v>16990.369462945535</v>
      </c>
      <c r="I15" s="455">
        <f t="shared" si="1"/>
        <v>0</v>
      </c>
      <c r="J15" s="455">
        <f t="shared" si="1"/>
        <v>2036.263216885983</v>
      </c>
      <c r="K15" s="455">
        <f t="shared" si="1"/>
        <v>0</v>
      </c>
      <c r="L15" s="455">
        <f t="shared" ca="1" si="1"/>
        <v>0</v>
      </c>
      <c r="M15" s="455">
        <f t="shared" si="1"/>
        <v>4931.3833093532694</v>
      </c>
      <c r="N15" s="455">
        <f t="shared" ca="1" si="1"/>
        <v>7867.0820592820828</v>
      </c>
      <c r="O15" s="455">
        <f t="shared" si="1"/>
        <v>70.350000000000009</v>
      </c>
      <c r="P15" s="455">
        <f t="shared" si="1"/>
        <v>190.66666666666669</v>
      </c>
      <c r="Q15" s="455">
        <f t="shared" ca="1" si="1"/>
        <v>324171.43222165259</v>
      </c>
    </row>
    <row r="17" spans="1:17">
      <c r="A17" s="458" t="s">
        <v>550</v>
      </c>
      <c r="B17" s="725">
        <f ca="1">huishoudens!B10</f>
        <v>0.21251127761536467</v>
      </c>
      <c r="C17" s="725">
        <f ca="1">huishoudens!C10</f>
        <v>0.23764705882352943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6158.9474958237979</v>
      </c>
      <c r="C22" s="445">
        <f t="shared" ref="C22:C32" ca="1" si="3">C4*$C$17</f>
        <v>0</v>
      </c>
      <c r="D22" s="445">
        <f t="shared" ref="D22:D32" si="4">D4*$D$17</f>
        <v>6495.9162561351704</v>
      </c>
      <c r="E22" s="445">
        <f t="shared" ref="E22:E32" si="5">E4*$E$17</f>
        <v>404.30994073744489</v>
      </c>
      <c r="F22" s="445">
        <f t="shared" ref="F22:F32" si="6">F4*$F$17</f>
        <v>16232.747810003162</v>
      </c>
      <c r="G22" s="445">
        <f t="shared" ref="G22:G32" si="7">G4*$G$17</f>
        <v>0</v>
      </c>
      <c r="H22" s="445">
        <f t="shared" ref="H22:H32" si="8">H4*$H$17</f>
        <v>0</v>
      </c>
      <c r="I22" s="445">
        <f t="shared" ref="I22:I32" si="9">I4*$I$17</f>
        <v>0</v>
      </c>
      <c r="J22" s="445">
        <f t="shared" ref="J22:J32" si="10">J4*$J$17</f>
        <v>484.62245470167255</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29776.543957401245</v>
      </c>
    </row>
    <row r="23" spans="1:17">
      <c r="A23" s="444" t="s">
        <v>149</v>
      </c>
      <c r="B23" s="445">
        <f t="shared" ca="1" si="2"/>
        <v>2024.0035719122998</v>
      </c>
      <c r="C23" s="445">
        <f t="shared" ca="1" si="3"/>
        <v>0</v>
      </c>
      <c r="D23" s="445">
        <f t="shared" ca="1" si="4"/>
        <v>1511.8530064497529</v>
      </c>
      <c r="E23" s="445">
        <f t="shared" si="5"/>
        <v>45.462133183068346</v>
      </c>
      <c r="F23" s="445">
        <f t="shared" ca="1" si="6"/>
        <v>484.38038037750755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4065.6990919226287</v>
      </c>
    </row>
    <row r="24" spans="1:17">
      <c r="A24" s="444" t="s">
        <v>187</v>
      </c>
      <c r="B24" s="445">
        <f t="shared" ca="1" si="2"/>
        <v>221.34877160627724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221.34877160627724</v>
      </c>
    </row>
    <row r="25" spans="1:17">
      <c r="A25" s="444" t="s">
        <v>105</v>
      </c>
      <c r="B25" s="445">
        <f t="shared" ca="1" si="2"/>
        <v>1300.9843346775469</v>
      </c>
      <c r="C25" s="445">
        <f t="shared" ca="1" si="3"/>
        <v>2138.8235294117649</v>
      </c>
      <c r="D25" s="445">
        <f t="shared" si="4"/>
        <v>263.48459220461461</v>
      </c>
      <c r="E25" s="445">
        <f t="shared" si="5"/>
        <v>12.52281287125337</v>
      </c>
      <c r="F25" s="445">
        <f t="shared" si="6"/>
        <v>6124.7529329465942</v>
      </c>
      <c r="G25" s="445">
        <f t="shared" si="7"/>
        <v>0</v>
      </c>
      <c r="H25" s="445">
        <f t="shared" si="8"/>
        <v>0</v>
      </c>
      <c r="I25" s="445">
        <f t="shared" si="9"/>
        <v>0</v>
      </c>
      <c r="J25" s="445">
        <f t="shared" si="10"/>
        <v>219.30882605717491</v>
      </c>
      <c r="K25" s="445">
        <f t="shared" si="11"/>
        <v>0</v>
      </c>
      <c r="L25" s="445">
        <f t="shared" si="12"/>
        <v>0</v>
      </c>
      <c r="M25" s="445">
        <f t="shared" si="13"/>
        <v>0</v>
      </c>
      <c r="N25" s="445">
        <f t="shared" si="14"/>
        <v>0</v>
      </c>
      <c r="O25" s="445">
        <f t="shared" si="15"/>
        <v>0</v>
      </c>
      <c r="P25" s="446">
        <f t="shared" si="16"/>
        <v>0</v>
      </c>
      <c r="Q25" s="444">
        <f t="shared" ca="1" si="17"/>
        <v>10059.877028168949</v>
      </c>
    </row>
    <row r="26" spans="1:17">
      <c r="A26" s="444" t="s">
        <v>613</v>
      </c>
      <c r="B26" s="445">
        <f t="shared" ca="1" si="2"/>
        <v>762.03844965271549</v>
      </c>
      <c r="C26" s="445">
        <f t="shared" ca="1" si="3"/>
        <v>0</v>
      </c>
      <c r="D26" s="445">
        <f t="shared" si="4"/>
        <v>888.97875368091752</v>
      </c>
      <c r="E26" s="445">
        <f t="shared" si="5"/>
        <v>7.252593383299339</v>
      </c>
      <c r="F26" s="445">
        <f t="shared" si="6"/>
        <v>209.77582190304321</v>
      </c>
      <c r="G26" s="445">
        <f t="shared" si="7"/>
        <v>0</v>
      </c>
      <c r="H26" s="445">
        <f t="shared" si="8"/>
        <v>0</v>
      </c>
      <c r="I26" s="445">
        <f t="shared" si="9"/>
        <v>0</v>
      </c>
      <c r="J26" s="445">
        <f t="shared" si="10"/>
        <v>16.905898018790424</v>
      </c>
      <c r="K26" s="445">
        <f t="shared" si="11"/>
        <v>0</v>
      </c>
      <c r="L26" s="445">
        <f t="shared" si="12"/>
        <v>0</v>
      </c>
      <c r="M26" s="445">
        <f t="shared" si="13"/>
        <v>0</v>
      </c>
      <c r="N26" s="445">
        <f t="shared" si="14"/>
        <v>0</v>
      </c>
      <c r="O26" s="445">
        <f t="shared" si="15"/>
        <v>0</v>
      </c>
      <c r="P26" s="446">
        <f t="shared" si="16"/>
        <v>0</v>
      </c>
      <c r="Q26" s="444">
        <f t="shared" ca="1" si="17"/>
        <v>1884.951516638766</v>
      </c>
    </row>
    <row r="27" spans="1:17" s="450" customFormat="1">
      <c r="A27" s="448" t="s">
        <v>555</v>
      </c>
      <c r="B27" s="719">
        <f t="shared" ca="1" si="2"/>
        <v>0.30039479063560293</v>
      </c>
      <c r="C27" s="449">
        <f t="shared" ca="1" si="3"/>
        <v>0</v>
      </c>
      <c r="D27" s="449">
        <f t="shared" si="4"/>
        <v>1.004795573727467</v>
      </c>
      <c r="E27" s="449">
        <f t="shared" si="5"/>
        <v>114.90558384770706</v>
      </c>
      <c r="F27" s="449">
        <f t="shared" si="6"/>
        <v>0</v>
      </c>
      <c r="G27" s="449">
        <f t="shared" si="7"/>
        <v>25285.416339311752</v>
      </c>
      <c r="H27" s="449">
        <f t="shared" si="8"/>
        <v>4230.6019962734381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29632.229109797263</v>
      </c>
    </row>
    <row r="28" spans="1:17">
      <c r="A28" s="444" t="s">
        <v>545</v>
      </c>
      <c r="B28" s="445">
        <f t="shared" ca="1" si="2"/>
        <v>1.5950947273143572</v>
      </c>
      <c r="C28" s="445">
        <f t="shared" ca="1" si="3"/>
        <v>0</v>
      </c>
      <c r="D28" s="445">
        <f t="shared" si="4"/>
        <v>0</v>
      </c>
      <c r="E28" s="445">
        <f t="shared" si="5"/>
        <v>0</v>
      </c>
      <c r="F28" s="445">
        <f t="shared" si="6"/>
        <v>0</v>
      </c>
      <c r="G28" s="445">
        <f t="shared" si="7"/>
        <v>434.76574066942021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436.36083539673456</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302.43262228908088</v>
      </c>
      <c r="C32" s="445">
        <f t="shared" ca="1" si="3"/>
        <v>0</v>
      </c>
      <c r="D32" s="445">
        <f t="shared" si="4"/>
        <v>364.5047893829402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666.93741167202108</v>
      </c>
    </row>
    <row r="33" spans="1:17" s="457" customFormat="1">
      <c r="A33" s="454" t="s">
        <v>549</v>
      </c>
      <c r="B33" s="455">
        <f ca="1">SUM(B22:B32)</f>
        <v>10771.650735479669</v>
      </c>
      <c r="C33" s="455">
        <f t="shared" ref="C33:Q33" ca="1" si="19">SUM(C22:C32)</f>
        <v>2138.8235294117649</v>
      </c>
      <c r="D33" s="455">
        <f t="shared" ca="1" si="19"/>
        <v>9525.7421934271242</v>
      </c>
      <c r="E33" s="455">
        <f t="shared" si="19"/>
        <v>584.45306402277299</v>
      </c>
      <c r="F33" s="455">
        <f t="shared" ca="1" si="19"/>
        <v>23051.656945230308</v>
      </c>
      <c r="G33" s="455">
        <f t="shared" si="19"/>
        <v>25720.182079981172</v>
      </c>
      <c r="H33" s="455">
        <f t="shared" si="19"/>
        <v>4230.6019962734381</v>
      </c>
      <c r="I33" s="455">
        <f t="shared" si="19"/>
        <v>0</v>
      </c>
      <c r="J33" s="455">
        <f t="shared" si="19"/>
        <v>720.83717877763797</v>
      </c>
      <c r="K33" s="455">
        <f t="shared" si="19"/>
        <v>0</v>
      </c>
      <c r="L33" s="455">
        <f t="shared" ca="1" si="19"/>
        <v>0</v>
      </c>
      <c r="M33" s="455">
        <f t="shared" si="19"/>
        <v>0</v>
      </c>
      <c r="N33" s="455">
        <f t="shared" ca="1" si="19"/>
        <v>0</v>
      </c>
      <c r="O33" s="455">
        <f t="shared" si="19"/>
        <v>0</v>
      </c>
      <c r="P33" s="455">
        <f t="shared" si="19"/>
        <v>0</v>
      </c>
      <c r="Q33" s="455">
        <f t="shared" ca="1" si="19"/>
        <v>76743.947722603873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2421.4841688776037</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6300</v>
      </c>
      <c r="D8" s="963">
        <f>'SEAP template'!D76</f>
        <v>7411.7647058823522</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1497.1764705882354</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2421.4841688776037</v>
      </c>
      <c r="C10" s="967">
        <f>SUM(C4:C9)</f>
        <v>6300</v>
      </c>
      <c r="D10" s="967">
        <f t="shared" ref="D10:H10" si="0">SUM(D8:D9)</f>
        <v>7411.7647058823522</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1497.1764705882354</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0.21251127761536467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9000</v>
      </c>
      <c r="D17" s="964">
        <f>'SEAP template'!D87</f>
        <v>10588.235294117647</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2138.8235294117649</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9000</v>
      </c>
      <c r="D20" s="967">
        <f t="shared" ref="D20:H20" si="2">SUM(D17:D19)</f>
        <v>10588.235294117647</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2138.8235294117649</v>
      </c>
    </row>
    <row r="22" spans="1:16">
      <c r="A22" s="458" t="s">
        <v>885</v>
      </c>
      <c r="B22" s="725" t="s">
        <v>879</v>
      </c>
      <c r="C22" s="72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0.21251127761536467</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2</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3.1266666666666669</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2022-07-26T13:01:27Z</dcterms:modified>
</cp:coreProperties>
</file>