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3F476164-8F9F-4C96-AC40-5A222DB24E3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<sst xmlns="http://schemas.openxmlformats.org/spreadsheetml/2006/main" count="2513" uniqueCount="962">
  <si>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</si>
  <si>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</si>
  <si>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</si>
  <si>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</si>
  <si>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</si>
  <si>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</si>
  <si>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</si>
  <si>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</si>
  <si>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</si>
  <si>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</si>
  <si>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</si>
  <si>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</si>
  <si>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</si>
  <si>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</si>
  <si>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</si>
  <si>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</si>
  <si>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</si>
  <si>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</si>
  <si>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</si>
  <si>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</si>
  <si>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</si>
  <si>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</si>
  <si>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</si>
  <si>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</si>
  <si>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</si>
  <si>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</si>
  <si>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</si>
  <si>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</si>
  <si>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</si>
  <si>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</si>
  <si>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</si>
  <si>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</si>
  <si>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</si>
  <si>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</si>
  <si>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</si>
  <si>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</si>
  <si>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</si>
  <si>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</si>
  <si>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</si>
  <si>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</si>
  <si>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</si>
  <si>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</si>
  <si>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</si>
  <si>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</si>
  <si>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</si>
  <si>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</si>
  <si>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</si>
  <si>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</si>
  <si>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</si>
  <si>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</si>
  <si>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</si>
  <si>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</si>
  <si>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</si>
  <si>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</si>
  <si>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</si>
  <si>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</si>
  <si>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</si>
  <si>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</si>
  <si>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</si>
  <si>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</si>
  <si>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</si>
  <si>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</si>
  <si>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</si>
  <si>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</si>
  <si>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</si>
  <si>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</si>
  <si>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</si>
  <si>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</si>
  <si>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</si>
  <si>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</si>
  <si>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</si>
  <si>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</si>
  <si>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</si>
  <si>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</si>
  <si>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</si>
  <si>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</si>
  <si>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</si>
  <si>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</si>
  <si>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</si>
  <si>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</si>
  <si>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</si>
  <si>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</si>
  <si>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</si>
  <si>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</si>
  <si>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</si>
  <si>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</si>
  <si>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</si>
  <si>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</si>
  <si>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</si>
  <si>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</si>
  <si>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</si>
  <si>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</si>
  <si>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</si>
  <si>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</si>
  <si>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</si>
  <si>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</si>
  <si>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</si>
  <si>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</si>
  <si>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</si>
  <si>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</si>
  <si>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</si>
  <si>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</si>
  <si>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</si>
  <si>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</si>
  <si>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</si>
  <si>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</si>
  <si>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</si>
  <si>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</si>
  <si>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</si>
  <si>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</si>
  <si>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</si>
  <si>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</si>
  <si>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</si>
  <si>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</si>
  <si>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</si>
  <si>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</si>
  <si>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</si>
  <si>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</si>
  <si>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</si>
  <si>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</si>
  <si>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</si>
  <si>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</si>
  <si>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</si>
  <si>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</si>
  <si>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</si>
  <si>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</si>
  <si>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</si>
  <si>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</si>
  <si>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</si>
  <si>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</si>
  <si>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</si>
  <si>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</si>
  <si>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</si>
  <si>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</si>
  <si>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</si>
  <si>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</si>
  <si>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</si>
  <si>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</si>
  <si>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</si>
  <si>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</si>
  <si>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</si>
  <si>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</si>
  <si>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</si>
  <si>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</si>
  <si>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</si>
  <si>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</si>
  <si>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</si>
  <si>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</si>
  <si>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</si>
  <si>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</si>
  <si>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</si>
  <si>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</si>
  <si>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</si>
  <si>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</si>
  <si>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</si>
  <si>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</si>
  <si>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</si>
  <si>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</si>
  <si>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</si>
  <si>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</si>
  <si>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</si>
  <si>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</si>
  <si>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</si>
  <si>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</si>
  <si>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</si>
  <si>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</si>
  <si>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</si>
  <si>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</si>
  <si>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</si>
  <si>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</si>
  <si>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</si>
  <si>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</si>
  <si>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</si>
  <si>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</si>
  <si>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</si>
  <si>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</si>
  <si>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</si>
  <si>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</si>
  <si>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</si>
  <si>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</si>
  <si>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</si>
  <si>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</si>
  <si>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</si>
  <si>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</si>
  <si>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</si>
  <si>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</si>
  <si>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</si>
  <si>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</si>
  <si>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</si>
  <si>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</si>
  <si>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</si>
  <si>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</si>
  <si>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</si>
  <si>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</si>
  <si>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</si>
  <si>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</si>
  <si>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</si>
  <si>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</si>
  <si>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</si>
  <si>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</si>
  <si>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</si>
  <si>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</si>
  <si>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</si>
  <si>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</si>
  <si>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</si>
  <si>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</si>
  <si>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</si>
  <si>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</si>
  <si>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</si>
  <si>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</si>
  <si>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</si>
  <si>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</si>
  <si>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</si>
  <si>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</si>
  <si>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</si>
  <si>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</si>
  <si>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</si>
  <si>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</si>
  <si>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</si>
  <si>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</si>
  <si>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</si>
  <si>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</si>
  <si>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</si>
  <si>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</si>
  <si>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</si>
  <si>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</si>
  <si>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</si>
  <si>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</si>
  <si>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</si>
  <si>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</si>
  <si>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</si>
  <si>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</si>
  <si>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</si>
  <si>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</si>
  <si>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</si>
  <si>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</si>
  <si>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</si>
  <si>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</si>
  <si>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</si>
  <si>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</si>
  <si>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</si>
  <si>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</si>
  <si>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</si>
  <si>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</si>
  <si>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</si>
  <si>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</si>
  <si>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</si>
  <si>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</si>
  <si>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</si>
  <si>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</si>
  <si>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</si>
  <si>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</si>
  <si>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</si>
  <si>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</si>
  <si>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</si>
  <si>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</si>
  <si>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</si>
  <si>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</si>
  <si>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</si>
  <si>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</si>
  <si>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</si>
  <si>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</si>
  <si>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</si>
  <si>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</si>
  <si>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</si>
  <si>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</si>
  <si>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</si>
  <si>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</si>
  <si>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</si>
  <si>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</si>
  <si>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</si>
  <si>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</si>
  <si>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</si>
  <si>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</si>
  <si>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</si>
  <si>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</si>
  <si>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</si>
  <si>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</si>
  <si>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</si>
  <si>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</si>
  <si>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</si>
  <si>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</si>
  <si>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</si>
  <si>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</si>
  <si>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</si>
  <si>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</si>
  <si>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</si>
  <si>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</si>
  <si>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</si>
  <si>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</si>
  <si>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</si>
  <si>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</si>
  <si>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</si>
  <si>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</si>
  <si>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</si>
  <si>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</si>
  <si>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</si>
  <si>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</si>
  <si>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</si>
  <si>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</si>
  <si>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</si>
  <si>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</si>
  <si>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</si>
  <si>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</si>
  <si>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</si>
  <si>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</si>
  <si>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</si>
  <si>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</si>
  <si>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</si>
  <si>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</si>
  <si>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</si>
  <si>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</si>
  <si>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</si>
  <si>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</si>
  <si>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</si>
  <si>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</si>
  <si>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</si>
  <si>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</si>
  <si>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</si>
  <si>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</si>
  <si>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</si>
  <si>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</si>
  <si>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</si>
  <si>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</si>
  <si>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</si>
  <si>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</si>
  <si>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</si>
  <si>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</si>
  <si>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</si>
  <si>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</si>
  <si>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</si>
  <si>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</si>
  <si>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</si>
  <si>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</si>
  <si>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</si>
  <si>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</si>
  <si>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</si>
  <si>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</si>
  <si>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</si>
  <si>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</si>
  <si>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</si>
  <si>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</si>
  <si>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</si>
  <si>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</si>
  <si>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</si>
  <si>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</si>
  <si>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</si>
  <si>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</si>
  <si>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</si>
  <si>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</si>
  <si>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</si>
  <si>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</si>
  <si>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</si>
  <si>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</si>
  <si>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</si>
  <si>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</si>
  <si>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</si>
  <si>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</si>
  <si>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</si>
  <si>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</si>
  <si>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</si>
  <si>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</si>
  <si>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</si>
  <si>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</si>
  <si>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</si>
  <si>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</si>
  <si>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</si>
  <si>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</si>
  <si>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</si>
  <si>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</si>
  <si>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</si>
  <si>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</si>
  <si>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</si>
  <si>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</si>
  <si>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</si>
  <si>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</si>
  <si>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</si>
  <si>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</si>
  <si>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</si>
  <si>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</si>
  <si>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</si>
  <si>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</si>
  <si>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</si>
  <si>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</si>
  <si>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</si>
  <si>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</si>
  <si>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</si>
  <si>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</si>
  <si>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</si>
  <si>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</si>
  <si>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</si>
  <si>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</si>
  <si>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</si>
  <si>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</si>
  <si>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</si>
  <si>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</si>
  <si>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</si>
  <si>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</si>
  <si>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</si>
  <si>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</si>
  <si>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</si>
  <si>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</si>
  <si>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</si>
  <si>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</si>
  <si>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</si>
  <si>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</si>
  <si>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</si>
  <si>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</si>
  <si>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</si>
  <si>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</si>
  <si>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</si>
  <si>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</si>
  <si>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</si>
  <si>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</si>
  <si>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</si>
  <si>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</si>
  <si>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</si>
  <si>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</si>
  <si>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</si>
  <si>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</si>
  <si>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</si>
  <si>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</si>
  <si>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</si>
  <si>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</si>
  <si>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</si>
  <si>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</si>
  <si>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</si>
  <si>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</si>
  <si>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</si>
  <si>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</si>
  <si>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</si>
  <si>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</si>
  <si>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</si>
  <si>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</si>
  <si>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</si>
  <si>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</si>
  <si>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</si>
  <si>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</si>
  <si>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</si>
  <si>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</si>
  <si>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</si>
  <si>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</si>
  <si>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</si>
  <si>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</si>
  <si>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</si>
  <si>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</si>
  <si>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</si>
  <si>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</si>
  <si>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</si>
  <si>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</si>
  <si>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</si>
  <si>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</si>
  <si>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</si>
  <si>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</si>
  <si>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</si>
  <si>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</si>
  <si>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</si>
  <si>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</si>
  <si>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</si>
  <si>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</si>
  <si>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</si>
  <si>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</si>
  <si>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</si>
  <si>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</si>
  <si>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</si>
  <si>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</si>
  <si>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</si>
  <si>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</si>
  <si>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</si>
  <si>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</si>
  <si>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</si>
  <si>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</si>
  <si>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</si>
  <si>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</si>
  <si>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</si>
  <si>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</si>
  <si>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</si>
  <si>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</si>
  <si>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</si>
  <si>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</si>
  <si>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</si>
  <si>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</si>
  <si>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</si>
  <si>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</si>
  <si>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</si>
  <si>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</si>
  <si>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</si>
  <si>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</si>
  <si>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</si>
  <si>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</si>
  <si>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</si>
  <si>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</si>
  <si>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</si>
  <si>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</si>
  <si>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</si>
  <si>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</si>
  <si>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</si>
  <si>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</si>
  <si>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</si>
  <si>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</si>
  <si>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</si>
  <si>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</si>
  <si>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</si>
  <si>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</si>
  <si>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</si>
  <si>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</si>
  <si>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</si>
  <si>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</si>
  <si>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</si>
  <si>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</si>
  <si>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</si>
  <si>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</si>
  <si>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</si>
  <si>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</si>
  <si>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</si>
  <si>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</si>
  <si>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</si>
  <si>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</si>
  <si>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</si>
  <si>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</si>
  <si>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</si>
  <si>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</si>
  <si>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</si>
  <si>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</si>
  <si>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</si>
  <si>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</si>
  <si>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</si>
  <si>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</si>
  <si>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</si>
  <si>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</si>
  <si>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</si>
  <si>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</si>
  <si>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</si>
  <si>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</si>
  <si>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</si>
  <si>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</si>
  <si>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</si>
  <si>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</si>
  <si>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</si>
  <si>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</si>
  <si>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</si>
  <si>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</si>
  <si>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</si>
  <si>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</si>
  <si>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</si>
  <si>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</si>
  <si>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</si>
  <si>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</si>
  <si>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</si>
  <si>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</si>
  <si>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</si>
  <si>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</si>
  <si>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</si>
  <si>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</si>
  <si>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</si>
  <si>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</si>
  <si>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</si>
  <si>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</si>
  <si>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</si>
  <si>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</si>
  <si>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</si>
  <si>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</si>
  <si>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</si>
  <si>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</si>
  <si>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</si>
  <si>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</si>
  <si>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</si>
  <si>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</si>
  <si>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</si>
  <si>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</si>
  <si>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</si>
  <si>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</si>
  <si>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</si>
  <si>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</si>
  <si>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</si>
  <si>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</si>
  <si>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</si>
  <si>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</si>
  <si>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</si>
  <si>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</si>
  <si>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</si>
  <si>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</si>
  <si>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</si>
  <si>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</si>
  <si>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</si>
  <si>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</si>
  <si>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</si>
  <si>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</si>
  <si>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</si>
  <si>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</si>
  <si>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</si>
  <si>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</si>
  <si>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</si>
  <si>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</si>
  <si>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</si>
  <si>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</si>
  <si>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</si>
  <si>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</si>
  <si>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</si>
  <si>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</si>
  <si>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</si>
  <si>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</si>
  <si>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</si>
  <si>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</si>
  <si>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</si>
  <si>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</si>
  <si>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</si>
  <si>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</si>
  <si>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</si>
  <si>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</si>
  <si>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</si>
  <si>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</si>
  <si>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</si>
  <si>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</si>
  <si>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</si>
  <si>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</si>
  <si>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</si>
  <si>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</si>
  <si>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</si>
  <si>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</si>
  <si>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</si>
  <si>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</si>
  <si>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</si>
  <si>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</si>
  <si>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</si>
  <si>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</si>
  <si>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</si>
  <si>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</si>
  <si>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</si>
  <si>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</si>
  <si>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</si>
  <si>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</si>
  <si>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</si>
  <si>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</si>
  <si>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</si>
  <si>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</si>
  <si>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</si>
  <si>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</si>
  <si>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</si>
  <si>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</si>
  <si>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</si>
  <si>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</si>
  <si>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</si>
  <si>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</si>
  <si>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</si>
  <si>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</si>
  <si>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</si>
  <si>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</si>
  <si>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</si>
  <si>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</si>
  <si>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</si>
  <si>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</si>
  <si>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</si>
  <si>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</si>
  <si>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</si>
  <si>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</si>
  <si>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</si>
  <si>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</si>
  <si>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</si>
  <si>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</si>
  <si>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</si>
  <si>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</si>
  <si>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</si>
  <si>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</si>
  <si>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</si>
  <si>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</si>
  <si>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</si>
  <si>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</si>
  <si>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</si>
  <si>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</si>
  <si>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</si>
  <si>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</si>
  <si>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</si>
  <si>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</si>
  <si>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</si>
  <si>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</si>
  <si>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</si>
  <si>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</si>
  <si>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</si>
  <si>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</si>
  <si>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</si>
  <si>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</si>
  <si>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</si>
  <si>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</si>
  <si>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</si>
  <si>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</si>
  <si>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</si>
  <si>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</si>
  <si>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</si>
  <si>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</si>
  <si>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</si>
  <si>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</si>
  <si>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</si>
  <si>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</si>
  <si>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</si>
  <si>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</si>
  <si>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</si>
  <si>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</si>
  <si>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</si>
  <si>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</si>
  <si>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</si>
  <si>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</si>
  <si>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</si>
  <si>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</si>
  <si>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</si>
  <si>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</si>
  <si>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</si>
  <si>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</si>
  <si>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</si>
  <si>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</si>
  <si>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</si>
  <si>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</si>
  <si>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</si>
  <si>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</si>
  <si>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</si>
  <si>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</si>
  <si>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</si>
  <si>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</si>
  <si>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</si>
  <si>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</si>
  <si>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</si>
  <si>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</si>
  <si>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</si>
  <si>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</si>
  <si>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</si>
  <si>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</si>
  <si>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</si>
  <si>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</si>
  <si>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</si>
  <si>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</si>
  <si>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</si>
  <si>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</si>
  <si>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</si>
  <si>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</si>
  <si>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</si>
  <si>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</si>
  <si>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</si>
  <si>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</si>
  <si>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</si>
  <si>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</si>
  <si>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</si>
  <si>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</si>
  <si>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</si>
  <si>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</si>
  <si>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</si>
  <si>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</si>
  <si>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</si>
  <si>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</si>
  <si>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</si>
  <si>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</si>
  <si>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</si>
  <si>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</si>
  <si>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</si>
  <si>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</si>
  <si>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</si>
  <si>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</si>
  <si>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</si>
  <si>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</si>
  <si>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</si>
  <si>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</si>
  <si>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</si>
  <si>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</si>
  <si>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</si>
  <si>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</si>
  <si>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</si>
  <si>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</si>
  <si>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</si>
  <si>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</si>
  <si>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</si>
  <si>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</si>
  <si>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</si>
  <si>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</si>
  <si>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</si>
  <si>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</si>
  <si>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</si>
  <si>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</si>
  <si>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</si>
  <si>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</si>
  <si>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</si>
  <si>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</si>
  <si>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</si>
  <si>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</si>
  <si>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</si>
  <si>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</si>
  <si>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</si>
  <si>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</si>
  <si>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</si>
  <si>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</si>
  <si>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</si>
  <si>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</si>
  <si>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</si>
  <si>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</si>
  <si>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</si>
  <si>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</si>
  <si>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</si>
  <si>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</si>
  <si>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</si>
  <si>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</si>
  <si>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</si>
  <si>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</si>
  <si>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</si>
  <si>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</si>
  <si>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</si>
  <si>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</si>
  <si>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</si>
  <si>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</si>
  <si>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</si>
  <si>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</si>
  <si>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</si>
  <si>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</si>
  <si>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</si>
  <si>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</si>
  <si>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</si>
  <si>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</si>
  <si>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</si>
  <si>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</si>
  <si>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</si>
  <si>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</si>
  <si>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</si>
  <si>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</si>
  <si>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</si>
  <si>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</si>
  <si>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</si>
  <si>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</si>
  <si>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</si>
  <si>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</si>
  <si>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</si>
  <si>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</si>
  <si>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</si>
  <si>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</si>
  <si>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</si>
  <si>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</si>
  <si>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</si>
  <si>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</si>
  <si>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</si>
  <si>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</si>
  <si>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</si>
  <si>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</si>
  <si>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</si>
  <si>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</si>
  <si>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</si>
  <si>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</si>
  <si>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</si>
  <si>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</si>
  <si>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</si>
  <si>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</si>
  <si>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</si>
  <si>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</si>
  <si>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</si>
  <si>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</si>
  <si>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</si>
  <si>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</si>
  <si>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</si>
  <si>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</si>
  <si>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</si>
  <si>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</si>
  <si>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</si>
  <si>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</si>
  <si>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</si>
  <si>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</si>
  <si>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</si>
  <si>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</si>
  <si>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</si>
  <si>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</si>
  <si>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</si>
  <si>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</si>
  <si>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</si>
  <si>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</si>
  <si>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</si>
  <si>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</si>
  <si>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</si>
  <si>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</si>
  <si>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</si>
  <si>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</si>
  <si>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</si>
  <si>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</si>
  <si>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</si>
  <si>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</si>
  <si>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</si>
  <si>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</si>
  <si>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</si>
  <si>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</si>
  <si>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</si>
  <si>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</si>
  <si>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</si>
  <si>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</si>
  <si>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</si>
  <si>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</si>
  <si>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</si>
  <si>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</si>
  <si>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</si>
  <si>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</si>
  <si>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</si>
  <si>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</si>
  <si>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</si>
  <si>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</si>
  <si>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</si>
  <si>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</si>
  <si>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</si>
  <si>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</si>
  <si>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</si>
  <si>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</si>
  <si>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</si>
  <si>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</si>
  <si>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</si>
  <si>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</si>
  <si>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</si>
  <si>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</si>
  <si>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</si>
  <si>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</si>
  <si>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</si>
  <si>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</si>
  <si>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</si>
  <si>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</si>
  <si>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</si>
  <si>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</si>
  <si>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</si>
  <si>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</si>
  <si>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</si>
  <si>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</si>
  <si>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</si>
  <si>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</si>
  <si>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</si>
  <si>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</si>
  <si>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</si>
  <si>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</si>
  <si>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</si>
  <si>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</si>
  <si>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</si>
  <si>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</si>
  <si>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</si>
  <si>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</si>
  <si>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</si>
  <si>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</si>
  <si>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</si>
  <si>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</si>
  <si>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</si>
  <si>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</si>
  <si>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</si>
  <si>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</si>
  <si>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</si>
  <si>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</si>
  <si>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</si>
  <si>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</si>
  <si>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</si>
  <si>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</si>
  <si>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</si>
  <si>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</si>
  <si>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</si>
  <si>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</si>
  <si>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</si>
  <si>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</si>
  <si>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</si>
  <si>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</si>
  <si>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</si>
  <si>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</si>
  <si>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</si>
  <si>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41082</t>
  </si>
  <si>
    <t>ERPE-MERE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</si>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</sst>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7F06A0FD-7F2D-4A89-9852-E1EA2DC47D1B}"/>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41082</v>
      </c>
      <c r="B6" s="382"/>
      <c r="C6" s="383"/>
    </row>
    <row r="7" spans="1:7" s="380" customFormat="1" ht="15.75" customHeight="1">
      <c r="A7" s="384" t="str">
        <f>txtMunicipality</f>
        <v>ERPE-MERE</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0.21262707504173611</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0.21262707504173611</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8112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1484</v>
      </c>
      <c r="C14" s="324"/>
      <c r="D14" s="324"/>
      <c r="E14" s="324"/>
      <c r="F14" s="324"/>
    </row>
    <row r="15" spans="1:6">
      <c r="A15" s="1235" t="s">
        <v>177</v>
      </c>
      <c r="B15" s="1236">
        <v>14</v>
      </c>
      <c r="C15" s="324"/>
      <c r="D15" s="324"/>
      <c r="E15" s="324"/>
      <c r="F15" s="324"/>
    </row>
    <row r="16" spans="1:6">
      <c r="A16" s="1235" t="s">
        <v>6</v>
      </c>
      <c r="B16" s="1236">
        <v>601</v>
      </c>
      <c r="C16" s="324"/>
      <c r="D16" s="324"/>
      <c r="E16" s="324"/>
      <c r="F16" s="324"/>
    </row>
    <row r="17" spans="1:6">
      <c r="A17" s="1235" t="s">
        <v>7</v>
      </c>
      <c r="B17" s="1236">
        <v>524</v>
      </c>
      <c r="C17" s="324"/>
      <c r="D17" s="324"/>
      <c r="E17" s="324"/>
      <c r="F17" s="324"/>
    </row>
    <row r="18" spans="1:6">
      <c r="A18" s="1235" t="s">
        <v>8</v>
      </c>
      <c r="B18" s="1236">
        <v>718</v>
      </c>
      <c r="C18" s="324"/>
      <c r="D18" s="324"/>
      <c r="E18" s="324"/>
      <c r="F18" s="324"/>
    </row>
    <row r="19" spans="1:6">
      <c r="A19" s="1235" t="s">
        <v>9</v>
      </c>
      <c r="B19" s="1236">
        <v>618</v>
      </c>
      <c r="C19" s="324"/>
      <c r="D19" s="324"/>
      <c r="E19" s="324"/>
      <c r="F19" s="324"/>
    </row>
    <row r="20" spans="1:6">
      <c r="A20" s="1235" t="s">
        <v>10</v>
      </c>
      <c r="B20" s="1236">
        <v>543</v>
      </c>
      <c r="C20" s="324"/>
      <c r="D20" s="324"/>
      <c r="E20" s="324"/>
      <c r="F20" s="324"/>
    </row>
    <row r="21" spans="1:6">
      <c r="A21" s="1235" t="s">
        <v>11</v>
      </c>
      <c r="B21" s="1236">
        <v>779</v>
      </c>
      <c r="C21" s="324"/>
      <c r="D21" s="324"/>
      <c r="E21" s="324"/>
      <c r="F21" s="324"/>
    </row>
    <row r="22" spans="1:6">
      <c r="A22" s="1235" t="s">
        <v>12</v>
      </c>
      <c r="B22" s="1236">
        <v>3198</v>
      </c>
      <c r="C22" s="324"/>
      <c r="D22" s="324"/>
      <c r="E22" s="324"/>
      <c r="F22" s="324"/>
    </row>
    <row r="23" spans="1:6">
      <c r="A23" s="1235" t="s">
        <v>13</v>
      </c>
      <c r="B23" s="1236">
        <v>46</v>
      </c>
      <c r="C23" s="324"/>
      <c r="D23" s="324"/>
      <c r="E23" s="324"/>
      <c r="F23" s="324"/>
    </row>
    <row r="24" spans="1:6">
      <c r="A24" s="1235" t="s">
        <v>14</v>
      </c>
      <c r="B24" s="1236">
        <v>3</v>
      </c>
      <c r="C24" s="324"/>
      <c r="D24" s="324"/>
      <c r="E24" s="324"/>
      <c r="F24" s="324"/>
    </row>
    <row r="25" spans="1:6">
      <c r="A25" s="1235" t="s">
        <v>15</v>
      </c>
      <c r="B25" s="1236">
        <v>217</v>
      </c>
      <c r="C25" s="324"/>
      <c r="D25" s="324"/>
      <c r="E25" s="324"/>
      <c r="F25" s="324"/>
    </row>
    <row r="26" spans="1:6">
      <c r="A26" s="1235" t="s">
        <v>16</v>
      </c>
      <c r="B26" s="1236">
        <v>56</v>
      </c>
      <c r="C26" s="324"/>
      <c r="D26" s="324"/>
      <c r="E26" s="324"/>
      <c r="F26" s="324"/>
    </row>
    <row r="27" spans="1:6">
      <c r="A27" s="1235" t="s">
        <v>17</v>
      </c>
      <c r="B27" s="1236">
        <v>15</v>
      </c>
      <c r="C27" s="324"/>
      <c r="D27" s="324"/>
      <c r="E27" s="324"/>
      <c r="F27" s="324"/>
    </row>
    <row r="28" spans="1:6">
      <c r="A28" s="1235" t="s">
        <v>18</v>
      </c>
      <c r="B28" s="1237">
        <v>22700</v>
      </c>
      <c r="C28" s="324"/>
      <c r="D28" s="324"/>
      <c r="E28" s="324"/>
      <c r="F28" s="324"/>
    </row>
    <row r="29" spans="1:6">
      <c r="A29" s="1235" t="s">
        <v>959</v>
      </c>
      <c r="B29" s="1237">
        <v>135</v>
      </c>
      <c r="C29" s="324"/>
      <c r="D29" s="324"/>
      <c r="E29" s="324"/>
      <c r="F29" s="324"/>
    </row>
    <row r="30" spans="1:6">
      <c r="A30" s="1230" t="s">
        <v>960</v>
      </c>
      <c r="B30" s="1238">
        <v>33</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4</v>
      </c>
      <c r="D36" s="1236">
        <v>178365.00039673099</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1</v>
      </c>
      <c r="F38" s="1236">
        <v>4190.8924496872996</v>
      </c>
    </row>
    <row r="39" spans="1:6">
      <c r="A39" s="1235" t="s">
        <v>29</v>
      </c>
      <c r="B39" s="1235" t="s">
        <v>30</v>
      </c>
      <c r="C39" s="1236">
        <v>2704</v>
      </c>
      <c r="D39" s="1236">
        <v>41969528.977243103</v>
      </c>
      <c r="E39" s="1236">
        <v>7796</v>
      </c>
      <c r="F39" s="1236">
        <v>41388268.207460098</v>
      </c>
    </row>
    <row r="40" spans="1:6">
      <c r="A40" s="1235" t="s">
        <v>29</v>
      </c>
      <c r="B40" s="1235" t="s">
        <v>28</v>
      </c>
      <c r="C40" s="1236">
        <v>0</v>
      </c>
      <c r="D40" s="1236">
        <v>0</v>
      </c>
      <c r="E40" s="1236">
        <v>1</v>
      </c>
      <c r="F40" s="1236">
        <v>10069</v>
      </c>
    </row>
    <row r="41" spans="1:6">
      <c r="A41" s="1235" t="s">
        <v>31</v>
      </c>
      <c r="B41" s="1235" t="s">
        <v>32</v>
      </c>
      <c r="C41" s="1236">
        <v>26</v>
      </c>
      <c r="D41" s="1236">
        <v>697733.05004467198</v>
      </c>
      <c r="E41" s="1236">
        <v>142</v>
      </c>
      <c r="F41" s="1236">
        <v>3942607.6865466498</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3</v>
      </c>
      <c r="D44" s="1236">
        <v>463586.99771473999</v>
      </c>
      <c r="E44" s="1236">
        <v>7</v>
      </c>
      <c r="F44" s="1236">
        <v>388175.56799850601</v>
      </c>
    </row>
    <row r="45" spans="1:6">
      <c r="A45" s="1235" t="s">
        <v>31</v>
      </c>
      <c r="B45" s="1235" t="s">
        <v>36</v>
      </c>
      <c r="C45" s="1236">
        <v>0</v>
      </c>
      <c r="D45" s="1236">
        <v>0</v>
      </c>
      <c r="E45" s="1236">
        <v>3</v>
      </c>
      <c r="F45" s="1236">
        <v>51159.414856811702</v>
      </c>
    </row>
    <row r="46" spans="1:6">
      <c r="A46" s="1235" t="s">
        <v>31</v>
      </c>
      <c r="B46" s="1235" t="s">
        <v>37</v>
      </c>
      <c r="C46" s="1236">
        <v>0</v>
      </c>
      <c r="D46" s="1236">
        <v>0</v>
      </c>
      <c r="E46" s="1236">
        <v>0</v>
      </c>
      <c r="F46" s="1236">
        <v>0</v>
      </c>
    </row>
    <row r="47" spans="1:6">
      <c r="A47" s="1235" t="s">
        <v>31</v>
      </c>
      <c r="B47" s="1235" t="s">
        <v>38</v>
      </c>
      <c r="C47" s="1236">
        <v>3</v>
      </c>
      <c r="D47" s="1236">
        <v>97868.7412797992</v>
      </c>
      <c r="E47" s="1236">
        <v>10</v>
      </c>
      <c r="F47" s="1236">
        <v>7204540.3781456295</v>
      </c>
    </row>
    <row r="48" spans="1:6">
      <c r="A48" s="1235" t="s">
        <v>31</v>
      </c>
      <c r="B48" s="1235" t="s">
        <v>28</v>
      </c>
      <c r="C48" s="1236">
        <v>24</v>
      </c>
      <c r="D48" s="1236">
        <v>5932359.0416041603</v>
      </c>
      <c r="E48" s="1236">
        <v>50</v>
      </c>
      <c r="F48" s="1236">
        <v>5041711.1824623598</v>
      </c>
    </row>
    <row r="49" spans="1:6">
      <c r="A49" s="1235" t="s">
        <v>31</v>
      </c>
      <c r="B49" s="1235" t="s">
        <v>39</v>
      </c>
      <c r="C49" s="1236">
        <v>0</v>
      </c>
      <c r="D49" s="1236">
        <v>0</v>
      </c>
      <c r="E49" s="1236">
        <v>4</v>
      </c>
      <c r="F49" s="1236">
        <v>145188.24268731</v>
      </c>
    </row>
    <row r="50" spans="1:6">
      <c r="A50" s="1235" t="s">
        <v>31</v>
      </c>
      <c r="B50" s="1235" t="s">
        <v>40</v>
      </c>
      <c r="C50" s="1236">
        <v>6</v>
      </c>
      <c r="D50" s="1236">
        <v>781667.28426764999</v>
      </c>
      <c r="E50" s="1236">
        <v>14</v>
      </c>
      <c r="F50" s="1236">
        <v>16406187.729962699</v>
      </c>
    </row>
    <row r="51" spans="1:6">
      <c r="A51" s="1235" t="s">
        <v>41</v>
      </c>
      <c r="B51" s="1235" t="s">
        <v>42</v>
      </c>
      <c r="C51" s="1236">
        <v>3</v>
      </c>
      <c r="D51" s="1236">
        <v>41973.814977392001</v>
      </c>
      <c r="E51" s="1236">
        <v>75</v>
      </c>
      <c r="F51" s="1236">
        <v>1110618.1599914201</v>
      </c>
    </row>
    <row r="52" spans="1:6">
      <c r="A52" s="1235" t="s">
        <v>41</v>
      </c>
      <c r="B52" s="1235" t="s">
        <v>28</v>
      </c>
      <c r="C52" s="1236">
        <v>2</v>
      </c>
      <c r="D52" s="1236">
        <v>1486519.52205815</v>
      </c>
      <c r="E52" s="1236">
        <v>3</v>
      </c>
      <c r="F52" s="1236">
        <v>108605.723795849</v>
      </c>
    </row>
    <row r="53" spans="1:6">
      <c r="A53" s="1235" t="s">
        <v>43</v>
      </c>
      <c r="B53" s="1235" t="s">
        <v>44</v>
      </c>
      <c r="C53" s="1236">
        <v>95</v>
      </c>
      <c r="D53" s="1236">
        <v>1765779.28676852</v>
      </c>
      <c r="E53" s="1236">
        <v>317</v>
      </c>
      <c r="F53" s="1236">
        <v>1917245.3343209301</v>
      </c>
    </row>
    <row r="54" spans="1:6">
      <c r="A54" s="1235" t="s">
        <v>45</v>
      </c>
      <c r="B54" s="1235" t="s">
        <v>46</v>
      </c>
      <c r="C54" s="1236">
        <v>0</v>
      </c>
      <c r="D54" s="1236">
        <v>0</v>
      </c>
      <c r="E54" s="1236">
        <v>1</v>
      </c>
      <c r="F54" s="1236">
        <v>1384956</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17</v>
      </c>
      <c r="D57" s="1236">
        <v>676963.49297228595</v>
      </c>
      <c r="E57" s="1236">
        <v>102</v>
      </c>
      <c r="F57" s="1236">
        <v>1625841.19955928</v>
      </c>
    </row>
    <row r="58" spans="1:6">
      <c r="A58" s="1235" t="s">
        <v>48</v>
      </c>
      <c r="B58" s="1235" t="s">
        <v>50</v>
      </c>
      <c r="C58" s="1236">
        <v>13</v>
      </c>
      <c r="D58" s="1236">
        <v>2970354.8168894998</v>
      </c>
      <c r="E58" s="1236">
        <v>74</v>
      </c>
      <c r="F58" s="1236">
        <v>2215817.9927339</v>
      </c>
    </row>
    <row r="59" spans="1:6">
      <c r="A59" s="1235" t="s">
        <v>48</v>
      </c>
      <c r="B59" s="1235" t="s">
        <v>51</v>
      </c>
      <c r="C59" s="1236">
        <v>51</v>
      </c>
      <c r="D59" s="1236">
        <v>4241312.5814958801</v>
      </c>
      <c r="E59" s="1236">
        <v>232</v>
      </c>
      <c r="F59" s="1236">
        <v>5739231.4684496997</v>
      </c>
    </row>
    <row r="60" spans="1:6">
      <c r="A60" s="1235" t="s">
        <v>48</v>
      </c>
      <c r="B60" s="1235" t="s">
        <v>52</v>
      </c>
      <c r="C60" s="1236">
        <v>22</v>
      </c>
      <c r="D60" s="1236">
        <v>581382.80553518399</v>
      </c>
      <c r="E60" s="1236">
        <v>68</v>
      </c>
      <c r="F60" s="1236">
        <v>1323264.7633450199</v>
      </c>
    </row>
    <row r="61" spans="1:6">
      <c r="A61" s="1235" t="s">
        <v>48</v>
      </c>
      <c r="B61" s="1235" t="s">
        <v>53</v>
      </c>
      <c r="C61" s="1236">
        <v>55</v>
      </c>
      <c r="D61" s="1236">
        <v>2967122.9134101402</v>
      </c>
      <c r="E61" s="1236">
        <v>221</v>
      </c>
      <c r="F61" s="1236">
        <v>2432000.1237629601</v>
      </c>
    </row>
    <row r="62" spans="1:6">
      <c r="A62" s="1235" t="s">
        <v>48</v>
      </c>
      <c r="B62" s="1235" t="s">
        <v>54</v>
      </c>
      <c r="C62" s="1236">
        <v>0</v>
      </c>
      <c r="D62" s="1236">
        <v>0</v>
      </c>
      <c r="E62" s="1236">
        <v>8</v>
      </c>
      <c r="F62" s="1236">
        <v>210018.89821552101</v>
      </c>
    </row>
    <row r="63" spans="1:6">
      <c r="A63" s="1235" t="s">
        <v>48</v>
      </c>
      <c r="B63" s="1235" t="s">
        <v>28</v>
      </c>
      <c r="C63" s="1236">
        <v>71</v>
      </c>
      <c r="D63" s="1236">
        <v>4039432.0184794399</v>
      </c>
      <c r="E63" s="1236">
        <v>75</v>
      </c>
      <c r="F63" s="1236">
        <v>2349616.9528478002</v>
      </c>
    </row>
    <row r="64" spans="1:6">
      <c r="A64" s="1235" t="s">
        <v>55</v>
      </c>
      <c r="B64" s="1235" t="s">
        <v>56</v>
      </c>
      <c r="C64" s="1236">
        <v>0</v>
      </c>
      <c r="D64" s="1236">
        <v>0</v>
      </c>
      <c r="E64" s="1236">
        <v>0</v>
      </c>
      <c r="F64" s="1236">
        <v>0</v>
      </c>
    </row>
    <row r="65" spans="1:6">
      <c r="A65" s="1235" t="s">
        <v>55</v>
      </c>
      <c r="B65" s="1235" t="s">
        <v>28</v>
      </c>
      <c r="C65" s="1236">
        <v>0</v>
      </c>
      <c r="D65" s="1236">
        <v>0</v>
      </c>
      <c r="E65" s="1236">
        <v>1</v>
      </c>
      <c r="F65" s="1236">
        <v>413.20243905960001</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4</v>
      </c>
      <c r="F68" s="1238">
        <v>59145.069166333698</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69866395</v>
      </c>
      <c r="E73" s="443"/>
      <c r="F73" s="324"/>
    </row>
    <row r="74" spans="1:6">
      <c r="A74" s="1235" t="s">
        <v>63</v>
      </c>
      <c r="B74" s="1235" t="s">
        <v>730</v>
      </c>
      <c r="C74" s="1248" t="s">
        <v>731</v>
      </c>
      <c r="D74" s="1236">
        <v>7765677.5314293196</v>
      </c>
      <c r="E74" s="443"/>
      <c r="F74" s="324"/>
    </row>
    <row r="75" spans="1:6">
      <c r="A75" s="1235" t="s">
        <v>64</v>
      </c>
      <c r="B75" s="1235" t="s">
        <v>728</v>
      </c>
      <c r="C75" s="1248" t="s">
        <v>732</v>
      </c>
      <c r="D75" s="1236">
        <v>45855163</v>
      </c>
      <c r="E75" s="443"/>
      <c r="F75" s="324"/>
    </row>
    <row r="76" spans="1:6">
      <c r="A76" s="1235" t="s">
        <v>64</v>
      </c>
      <c r="B76" s="1235" t="s">
        <v>730</v>
      </c>
      <c r="C76" s="1248" t="s">
        <v>733</v>
      </c>
      <c r="D76" s="1236">
        <v>2973729.5314293192</v>
      </c>
      <c r="E76" s="443"/>
      <c r="F76" s="324"/>
    </row>
    <row r="77" spans="1:6">
      <c r="A77" s="1235" t="s">
        <v>65</v>
      </c>
      <c r="B77" s="1235" t="s">
        <v>728</v>
      </c>
      <c r="C77" s="1248" t="s">
        <v>734</v>
      </c>
      <c r="D77" s="1236">
        <v>170721668</v>
      </c>
      <c r="E77" s="443"/>
      <c r="F77" s="324"/>
    </row>
    <row r="78" spans="1:6">
      <c r="A78" s="1230" t="s">
        <v>65</v>
      </c>
      <c r="B78" s="1230" t="s">
        <v>730</v>
      </c>
      <c r="C78" s="1230" t="s">
        <v>735</v>
      </c>
      <c r="D78" s="1238">
        <v>21506490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340886.93714136141</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2113.8159499969443</v>
      </c>
      <c r="C91" s="324"/>
      <c r="D91" s="324"/>
      <c r="E91" s="324"/>
      <c r="F91" s="324"/>
    </row>
    <row r="92" spans="1:6">
      <c r="A92" s="1230" t="s">
        <v>68</v>
      </c>
      <c r="B92" s="1231">
        <v>1565.6442928349504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829</v>
      </c>
      <c r="C97" s="324"/>
      <c r="D97" s="324"/>
      <c r="E97" s="324"/>
      <c r="F97" s="324"/>
    </row>
    <row r="98" spans="1:6">
      <c r="A98" s="1235" t="s">
        <v>71</v>
      </c>
      <c r="B98" s="1236">
        <v>1</v>
      </c>
      <c r="C98" s="324"/>
      <c r="D98" s="324"/>
      <c r="E98" s="324"/>
      <c r="F98" s="324"/>
    </row>
    <row r="99" spans="1:6">
      <c r="A99" s="1235" t="s">
        <v>72</v>
      </c>
      <c r="B99" s="1236">
        <v>208</v>
      </c>
      <c r="C99" s="324"/>
      <c r="D99" s="324"/>
      <c r="E99" s="324"/>
      <c r="F99" s="324"/>
    </row>
    <row r="100" spans="1:6">
      <c r="A100" s="1235" t="s">
        <v>73</v>
      </c>
      <c r="B100" s="1236">
        <v>1005</v>
      </c>
      <c r="C100" s="324"/>
      <c r="D100" s="324"/>
      <c r="E100" s="324"/>
      <c r="F100" s="324"/>
    </row>
    <row r="101" spans="1:6">
      <c r="A101" s="1235" t="s">
        <v>74</v>
      </c>
      <c r="B101" s="1236">
        <v>123</v>
      </c>
      <c r="C101" s="324"/>
      <c r="D101" s="324"/>
      <c r="E101" s="324"/>
      <c r="F101" s="324"/>
    </row>
    <row r="102" spans="1:6">
      <c r="A102" s="1235" t="s">
        <v>75</v>
      </c>
      <c r="B102" s="1236">
        <v>133</v>
      </c>
      <c r="C102" s="324"/>
      <c r="D102" s="324"/>
      <c r="E102" s="324"/>
      <c r="F102" s="324"/>
    </row>
    <row r="103" spans="1:6">
      <c r="A103" s="1235" t="s">
        <v>76</v>
      </c>
      <c r="B103" s="1236">
        <v>495</v>
      </c>
      <c r="C103" s="324"/>
      <c r="D103" s="324"/>
      <c r="E103" s="324"/>
      <c r="F103" s="324"/>
    </row>
    <row r="104" spans="1:6">
      <c r="A104" s="1235" t="s">
        <v>77</v>
      </c>
      <c r="B104" s="1236">
        <v>4513</v>
      </c>
      <c r="C104" s="324"/>
      <c r="D104" s="324"/>
      <c r="E104" s="324"/>
      <c r="F104" s="324"/>
    </row>
    <row r="105" spans="1:6">
      <c r="A105" s="1230" t="s">
        <v>78</v>
      </c>
      <c r="B105" s="1238">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10</v>
      </c>
      <c r="C123" s="1236">
        <v>3</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43</v>
      </c>
      <c r="C129" s="324"/>
      <c r="D129" s="324"/>
      <c r="E129" s="324"/>
      <c r="F129" s="324"/>
    </row>
    <row r="130" spans="1:6">
      <c r="A130" s="1235" t="s">
        <v>284</v>
      </c>
      <c r="B130" s="1236">
        <v>2</v>
      </c>
      <c r="C130" s="324"/>
      <c r="D130" s="324"/>
      <c r="E130" s="324"/>
      <c r="F130" s="324"/>
    </row>
    <row r="131" spans="1:6">
      <c r="A131" s="1235" t="s">
        <v>285</v>
      </c>
      <c r="B131" s="1236">
        <v>0</v>
      </c>
      <c r="C131" s="324"/>
      <c r="D131" s="324"/>
      <c r="E131" s="324"/>
      <c r="F131" s="324"/>
    </row>
    <row r="132" spans="1:6">
      <c r="A132" s="1230" t="s">
        <v>286</v>
      </c>
      <c r="B132" s="1231">
        <v>9</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97117.879082778178</v>
      </c>
      <c r="C3" s="43" t="s">
        <v>163</v>
      </c>
      <c r="D3" s="43"/>
      <c r="E3" s="155"/>
      <c r="F3" s="43"/>
      <c r="G3" s="43"/>
      <c r="H3" s="43"/>
      <c r="I3" s="43"/>
      <c r="J3" s="43"/>
      <c r="K3" s="96"/>
    </row>
    <row r="4" spans="1:11">
      <c r="A4" s="350" t="s">
        <v>164</v>
      </c>
      <c r="B4" s="49">
        <f>IF(ISERROR('SEAP template'!B78+'SEAP template'!C78),0,'SEAP template'!B78+'SEAP template'!C78)</f>
        <v>3679.4602428318949</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0.21262707504173611</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1384.9559999999999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1384.9559999999999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0.21262707504173611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294.47914334150266</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41398.337207460099</v>
      </c>
      <c r="C5" s="17">
        <f>IF(ISERROR('Eigen informatie GS &amp; warmtenet'!B57),0,'Eigen informatie GS &amp; warmtenet'!B57)</f>
        <v>0</v>
      </c>
      <c r="D5" s="30">
        <f>(SUM(HH_hh_gas_kWh,HH_rest_gas_kWh)/1000)*0.902</f>
        <v>37856.515137473281</v>
      </c>
      <c r="E5" s="17">
        <f>B32*B41</f>
        <v>2666.4386120623581</v>
      </c>
      <c r="F5" s="17">
        <f>B36*B45</f>
        <v>91017.270537863718</v>
      </c>
      <c r="G5" s="18"/>
      <c r="H5" s="17"/>
      <c r="I5" s="17"/>
      <c r="J5" s="17">
        <f>B35*B44+C35*C44</f>
        <v>2049.4781775932661</v>
      </c>
      <c r="K5" s="17"/>
      <c r="L5" s="17"/>
      <c r="M5" s="17"/>
      <c r="N5" s="17">
        <f>B34*B43+C34*C43</f>
        <v>10545.723156497666</v>
      </c>
      <c r="O5" s="17">
        <f>B52*B53*B54</f>
        <v>71.913333333333341</v>
      </c>
      <c r="P5" s="17">
        <f>B60*B61*B62/1000-B60*B61*B62/1000/B63</f>
        <v>362.26666666666665</v>
      </c>
    </row>
    <row r="6" spans="1:16">
      <c r="A6" s="16" t="s">
        <v>591</v>
      </c>
      <c r="B6" s="727">
        <f>kWh_PV_kleiner_dan_10kW</f>
        <v>2113.8159499969443</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43512.15315745704</v>
      </c>
      <c r="C8" s="21">
        <f>C5</f>
        <v>0</v>
      </c>
      <c r="D8" s="21">
        <f>D5</f>
        <v>37856.515137473281</v>
      </c>
      <c r="E8" s="21">
        <f>E5</f>
        <v>2666.4386120623581</v>
      </c>
      <c r="F8" s="21">
        <f>F5</f>
        <v>91017.270537863718</v>
      </c>
      <c r="G8" s="21"/>
      <c r="H8" s="21"/>
      <c r="I8" s="21"/>
      <c r="J8" s="21">
        <f>J5</f>
        <v>2049.4781775932661</v>
      </c>
      <c r="K8" s="21"/>
      <c r="L8" s="21">
        <f>L5</f>
        <v>0</v>
      </c>
      <c r="M8" s="21">
        <f>M5</f>
        <v>0</v>
      </c>
      <c r="N8" s="21">
        <f>N5</f>
        <v>10545.723156497666</v>
      </c>
      <c r="O8" s="21">
        <f>O5</f>
        <v>71.913333333333341</v>
      </c>
      <c r="P8" s="21">
        <f>P5</f>
        <v>362.26666666666665</v>
      </c>
    </row>
    <row r="9" spans="1:16">
      <c r="B9" s="19"/>
      <c r="C9" s="19"/>
      <c r="D9" s="255"/>
      <c r="E9" s="19"/>
      <c r="F9" s="19"/>
      <c r="G9" s="19"/>
      <c r="H9" s="19"/>
      <c r="I9" s="19"/>
      <c r="J9" s="19"/>
      <c r="K9" s="19"/>
      <c r="L9" s="19"/>
      <c r="M9" s="19"/>
      <c r="N9" s="19"/>
      <c r="O9" s="19"/>
      <c r="P9" s="19"/>
    </row>
    <row r="10" spans="1:16">
      <c r="A10" s="24" t="s">
        <v>207</v>
      </c>
      <c r="B10" s="25">
        <f ca="1">'EF ele_warmte'!B12</f>
        <v>0.21262707504173611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9251.8618546381331</v>
      </c>
      <c r="C12" s="23">
        <f ca="1">C10*C8</f>
        <v>0</v>
      </c>
      <c r="D12" s="23">
        <f>D8*D10</f>
        <v>7647.0160577696033</v>
      </c>
      <c r="E12" s="23">
        <f>E10*E8</f>
        <v>605.28156493815527</v>
      </c>
      <c r="F12" s="23">
        <f>F10*F8</f>
        <v>24301.611233609616</v>
      </c>
      <c r="G12" s="23"/>
      <c r="H12" s="23"/>
      <c r="I12" s="23"/>
      <c r="J12" s="23">
        <f>J10*J8</f>
        <v>725.51527486801615</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8112</v>
      </c>
      <c r="C26" s="36"/>
      <c r="D26" s="225"/>
    </row>
    <row r="27" spans="1:5" s="15" customFormat="1">
      <c r="A27" s="227" t="s">
        <v>671</v>
      </c>
      <c r="B27" s="37">
        <f>SUM(HH_hh_gas_aantal,HH_rest_gas_aantal)</f>
        <v>2704</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2568.8000000000002</v>
      </c>
      <c r="C31" s="34" t="s">
        <v>104</v>
      </c>
      <c r="D31" s="171"/>
    </row>
    <row r="32" spans="1:5">
      <c r="A32" s="168" t="s">
        <v>72</v>
      </c>
      <c r="B32" s="33">
        <f>IF((B21*($B$26-($B$27-0.05*$B$27)-$B$60))&lt;0,0,B21*($B$26-($B$27-0.05*$B$27)-$B$60))</f>
        <v>39.164195143610144</v>
      </c>
      <c r="C32" s="34" t="s">
        <v>104</v>
      </c>
      <c r="D32" s="171"/>
    </row>
    <row r="33" spans="1:6">
      <c r="A33" s="168" t="s">
        <v>73</v>
      </c>
      <c r="B33" s="33">
        <f>IF((B22*($B$26-($B$27-0.05*$B$27)-$B$60))&lt;0,0,B22*($B$26-($B$27-0.05*$B$27)-$B$60))</f>
        <v>1122.4405043539427</v>
      </c>
      <c r="C33" s="34" t="s">
        <v>104</v>
      </c>
      <c r="D33" s="171"/>
    </row>
    <row r="34" spans="1:6">
      <c r="A34" s="168" t="s">
        <v>74</v>
      </c>
      <c r="B34" s="33">
        <f>IF((B24*($B$26-($B$27-0.05*$B$27)-$B$60))&lt;0,0,B24*($B$26-($B$27-0.05*$B$27)-$B$60))</f>
        <v>223.82649887760149</v>
      </c>
      <c r="C34" s="33">
        <f>B26*C24</f>
        <v>1658.7224106897538</v>
      </c>
      <c r="D34" s="230"/>
    </row>
    <row r="35" spans="1:6">
      <c r="A35" s="168" t="s">
        <v>76</v>
      </c>
      <c r="B35" s="33">
        <f>IF((B19*($B$26-($B$27-0.05*$B$27)-$B$60))&lt;0,0,B19*($B$26-($B$27-0.05*$B$27)-$B$60))</f>
        <v>116.56010459407783</v>
      </c>
      <c r="C35" s="33">
        <f>B35/2</f>
        <v>58.280052297038914</v>
      </c>
      <c r="D35" s="230"/>
    </row>
    <row r="36" spans="1:6">
      <c r="A36" s="168" t="s">
        <v>77</v>
      </c>
      <c r="B36" s="33">
        <f>IF((B18*($B$26-($B$27-0.05*$B$27)-$B$60))&lt;0,0,B18*($B$26-($B$27-0.05*$B$27)-$B$60))</f>
        <v>4022.2086970307678</v>
      </c>
      <c r="C36" s="34" t="s">
        <v>104</v>
      </c>
      <c r="D36" s="171"/>
    </row>
    <row r="37" spans="1:6">
      <c r="A37" s="168" t="s">
        <v>78</v>
      </c>
      <c r="B37" s="33">
        <f>B60</f>
        <v>19</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46</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19</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15895.791398914182</v>
      </c>
      <c r="C5" s="17">
        <f>IF(ISERROR('Eigen informatie GS &amp; warmtenet'!B58),0,'Eigen informatie GS &amp; warmtenet'!B58)</f>
        <v>0</v>
      </c>
      <c r="D5" s="30">
        <f>SUM(D6:D12)</f>
        <v>13959.864903161753</v>
      </c>
      <c r="E5" s="17">
        <f>SUM(E6:E12)</f>
        <v>246.98922236677396</v>
      </c>
      <c r="F5" s="17">
        <f>SUM(F6:F12)</f>
        <v>3088.6990964938327</v>
      </c>
      <c r="G5" s="18"/>
      <c r="H5" s="17"/>
      <c r="I5" s="17"/>
      <c r="J5" s="17">
        <f>SUM(J6:J12)</f>
        <v>0</v>
      </c>
      <c r="K5" s="17"/>
      <c r="L5" s="17"/>
      <c r="M5" s="17"/>
      <c r="N5" s="17">
        <f>SUM(N6:N12)</f>
        <v>465.01453933258955</v>
      </c>
      <c r="O5" s="17">
        <f>B38*B39*B40</f>
        <v>3.1266666666666669</v>
      </c>
      <c r="P5" s="17">
        <f>B46*B47*B48/1000-B46*B47*B48/1000/B49</f>
        <v>0</v>
      </c>
      <c r="R5" s="32"/>
    </row>
    <row r="6" spans="1:18">
      <c r="A6" s="32" t="s">
        <v>53</v>
      </c>
      <c r="B6" s="37">
        <f>B26</f>
        <v>2432.0001237629599</v>
      </c>
      <c r="C6" s="33"/>
      <c r="D6" s="37">
        <f>IF(ISERROR(TER_kantoor_gas_kWh/1000),0,TER_kantoor_gas_kWh/1000)*0.902</f>
        <v>2676.3448678959467</v>
      </c>
      <c r="E6" s="33">
        <f>$C$26*'E Balans VL '!I12/100/3.6*1000000</f>
        <v>84.127774908380815</v>
      </c>
      <c r="F6" s="33">
        <f>$C$26*('E Balans VL '!L12+'E Balans VL '!N12)/100/3.6*1000000</f>
        <v>371.27064298745023</v>
      </c>
      <c r="G6" s="34"/>
      <c r="H6" s="33"/>
      <c r="I6" s="33"/>
      <c r="J6" s="33">
        <f>$C$26*('E Balans VL '!D12+'E Balans VL '!E12)/100/3.6*1000000</f>
        <v>0</v>
      </c>
      <c r="K6" s="33"/>
      <c r="L6" s="33"/>
      <c r="M6" s="33"/>
      <c r="N6" s="33">
        <f>$C$26*'E Balans VL '!Y12/100/3.6*1000000</f>
        <v>37.490438000272434</v>
      </c>
      <c r="O6" s="33"/>
      <c r="P6" s="33"/>
      <c r="R6" s="32"/>
    </row>
    <row r="7" spans="1:18">
      <c r="A7" s="32" t="s">
        <v>52</v>
      </c>
      <c r="B7" s="37">
        <f t="shared" ref="B7:B12" si="0">B27</f>
        <v>1323.2647633450199</v>
      </c>
      <c r="C7" s="33"/>
      <c r="D7" s="37">
        <f>IF(ISERROR(TER_horeca_gas_kWh/1000),0,TER_horeca_gas_kWh/1000)*0.902</f>
        <v>524.40729059273588</v>
      </c>
      <c r="E7" s="33">
        <f>$C$27*'E Balans VL '!I9/100/3.6*1000000</f>
        <v>72.519113881179834</v>
      </c>
      <c r="F7" s="33">
        <f>$C$27*('E Balans VL '!L9+'E Balans VL '!N9)/100/3.6*1000000</f>
        <v>223.94066096505335</v>
      </c>
      <c r="G7" s="34"/>
      <c r="H7" s="33"/>
      <c r="I7" s="33"/>
      <c r="J7" s="33">
        <f>$C$27*('E Balans VL '!D9+'E Balans VL '!E9)/100/3.6*1000000</f>
        <v>0</v>
      </c>
      <c r="K7" s="33"/>
      <c r="L7" s="33"/>
      <c r="M7" s="33"/>
      <c r="N7" s="33">
        <f>$C$27*'E Balans VL '!Y9/100/3.6*1000000</f>
        <v>0</v>
      </c>
      <c r="O7" s="33"/>
      <c r="P7" s="33"/>
      <c r="R7" s="32"/>
    </row>
    <row r="8" spans="1:18">
      <c r="A8" s="6" t="s">
        <v>51</v>
      </c>
      <c r="B8" s="37">
        <f t="shared" si="0"/>
        <v>5739.2314684496996</v>
      </c>
      <c r="C8" s="33"/>
      <c r="D8" s="37">
        <f>IF(ISERROR(TER_handel_gas_kWh/1000),0,TER_handel_gas_kWh/1000)*0.902</f>
        <v>3825.6639485092842</v>
      </c>
      <c r="E8" s="33">
        <f>$C$28*'E Balans VL '!I13/100/3.6*1000000</f>
        <v>29.035751969470642</v>
      </c>
      <c r="F8" s="33">
        <f>$C$28*('E Balans VL '!L13+'E Balans VL '!N13)/100/3.6*1000000</f>
        <v>872.0313338307941</v>
      </c>
      <c r="G8" s="34"/>
      <c r="H8" s="33"/>
      <c r="I8" s="33"/>
      <c r="J8" s="33">
        <f>$C$28*('E Balans VL '!D13+'E Balans VL '!E13)/100/3.6*1000000</f>
        <v>0</v>
      </c>
      <c r="K8" s="33"/>
      <c r="L8" s="33"/>
      <c r="M8" s="33"/>
      <c r="N8" s="33">
        <f>$C$28*'E Balans VL '!Y13/100/3.6*1000000</f>
        <v>2.6838182697540525</v>
      </c>
      <c r="O8" s="33"/>
      <c r="P8" s="33"/>
      <c r="R8" s="32"/>
    </row>
    <row r="9" spans="1:18">
      <c r="A9" s="32" t="s">
        <v>50</v>
      </c>
      <c r="B9" s="37">
        <f t="shared" si="0"/>
        <v>2215.8179927339002</v>
      </c>
      <c r="C9" s="33"/>
      <c r="D9" s="37">
        <f>IF(ISERROR(TER_gezond_gas_kWh/1000),0,TER_gezond_gas_kWh/1000)*0.902</f>
        <v>2679.2600448343292</v>
      </c>
      <c r="E9" s="33">
        <f>$C$29*'E Balans VL '!I10/100/3.6*1000000</f>
        <v>0.80577259475286089</v>
      </c>
      <c r="F9" s="33">
        <f>$C$29*('E Balans VL '!L10+'E Balans VL '!N10)/100/3.6*1000000</f>
        <v>478.77839204969365</v>
      </c>
      <c r="G9" s="34"/>
      <c r="H9" s="33"/>
      <c r="I9" s="33"/>
      <c r="J9" s="33">
        <f>$C$29*('E Balans VL '!D10+'E Balans VL '!E10)/100/3.6*1000000</f>
        <v>0</v>
      </c>
      <c r="K9" s="33"/>
      <c r="L9" s="33"/>
      <c r="M9" s="33"/>
      <c r="N9" s="33">
        <f>$C$29*'E Balans VL '!Y10/100/3.6*1000000</f>
        <v>16.800939104109194</v>
      </c>
      <c r="O9" s="33"/>
      <c r="P9" s="33"/>
      <c r="R9" s="32"/>
    </row>
    <row r="10" spans="1:18">
      <c r="A10" s="32" t="s">
        <v>49</v>
      </c>
      <c r="B10" s="37">
        <f t="shared" si="0"/>
        <v>1625.8411995592799</v>
      </c>
      <c r="C10" s="33"/>
      <c r="D10" s="37">
        <f>IF(ISERROR(TER_ander_gas_kWh/1000),0,TER_ander_gas_kWh/1000)*0.902</f>
        <v>610.62107066100191</v>
      </c>
      <c r="E10" s="33">
        <f>$C$30*'E Balans VL '!I14/100/3.6*1000000</f>
        <v>9.8975500991452403</v>
      </c>
      <c r="F10" s="33">
        <f>$C$30*('E Balans VL '!L14+'E Balans VL '!N14)/100/3.6*1000000</f>
        <v>430.44052605989526</v>
      </c>
      <c r="G10" s="34"/>
      <c r="H10" s="33"/>
      <c r="I10" s="33"/>
      <c r="J10" s="33">
        <f>$C$30*('E Balans VL '!D14+'E Balans VL '!E14)/100/3.6*1000000</f>
        <v>0</v>
      </c>
      <c r="K10" s="33"/>
      <c r="L10" s="33"/>
      <c r="M10" s="33"/>
      <c r="N10" s="33">
        <f>$C$30*'E Balans VL '!Y14/100/3.6*1000000</f>
        <v>338.62055772736767</v>
      </c>
      <c r="O10" s="33"/>
      <c r="P10" s="33"/>
      <c r="R10" s="32"/>
    </row>
    <row r="11" spans="1:18">
      <c r="A11" s="32" t="s">
        <v>54</v>
      </c>
      <c r="B11" s="37">
        <f t="shared" si="0"/>
        <v>210.01889821552101</v>
      </c>
      <c r="C11" s="33"/>
      <c r="D11" s="37">
        <f>IF(ISERROR(TER_onderwijs_gas_kWh/1000),0,TER_onderwijs_gas_kWh/1000)*0.902</f>
        <v>0</v>
      </c>
      <c r="E11" s="33">
        <f>$C$31*'E Balans VL '!I11/100/3.6*1000000</f>
        <v>0.26065163611535269</v>
      </c>
      <c r="F11" s="33">
        <f>$C$31*('E Balans VL '!L11+'E Balans VL '!N11)/100/3.6*1000000</f>
        <v>247.51826743402157</v>
      </c>
      <c r="G11" s="34"/>
      <c r="H11" s="33"/>
      <c r="I11" s="33"/>
      <c r="J11" s="33">
        <f>$C$31*('E Balans VL '!D11+'E Balans VL '!E11)/100/3.6*1000000</f>
        <v>0</v>
      </c>
      <c r="K11" s="33"/>
      <c r="L11" s="33"/>
      <c r="M11" s="33"/>
      <c r="N11" s="33">
        <f>$C$31*'E Balans VL '!Y11/100/3.6*1000000</f>
        <v>1.0080710963534489</v>
      </c>
      <c r="O11" s="33"/>
      <c r="P11" s="33"/>
      <c r="R11" s="32"/>
    </row>
    <row r="12" spans="1:18">
      <c r="A12" s="32" t="s">
        <v>249</v>
      </c>
      <c r="B12" s="37">
        <f t="shared" si="0"/>
        <v>2349.6169528478003</v>
      </c>
      <c r="C12" s="33"/>
      <c r="D12" s="37">
        <f>IF(ISERROR(TER_rest_gas_kWh/1000),0,TER_rest_gas_kWh/1000)*0.902</f>
        <v>3643.5676806684551</v>
      </c>
      <c r="E12" s="33">
        <f>$C$32*'E Balans VL '!I8/100/3.6*1000000</f>
        <v>50.342607277729229</v>
      </c>
      <c r="F12" s="33">
        <f>$C$32*('E Balans VL '!L8+'E Balans VL '!N8)/100/3.6*1000000</f>
        <v>464.71927316692489</v>
      </c>
      <c r="G12" s="34"/>
      <c r="H12" s="33"/>
      <c r="I12" s="33"/>
      <c r="J12" s="33">
        <f>$C$32*('E Balans VL '!D8+'E Balans VL '!E8)/100/3.6*1000000</f>
        <v>0</v>
      </c>
      <c r="K12" s="33"/>
      <c r="L12" s="33"/>
      <c r="M12" s="33"/>
      <c r="N12" s="33">
        <f>$C$32*'E Balans VL '!Y8/100/3.6*1000000</f>
        <v>68.41071513473274</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15895.791398914182</v>
      </c>
      <c r="C16" s="21">
        <f ca="1">C5+C13+C14</f>
        <v>0</v>
      </c>
      <c r="D16" s="21">
        <f t="shared" ref="D16:N16" ca="1" si="1">MAX((D5+D13+D14),0)</f>
        <v>13959.864903161753</v>
      </c>
      <c r="E16" s="21">
        <f t="shared" si="1"/>
        <v>246.98922236677396</v>
      </c>
      <c r="F16" s="21">
        <f t="shared" ca="1" si="1"/>
        <v>3088.6990964938327</v>
      </c>
      <c r="G16" s="21">
        <f t="shared" si="1"/>
        <v>0</v>
      </c>
      <c r="H16" s="21">
        <f t="shared" si="1"/>
        <v>0</v>
      </c>
      <c r="I16" s="21">
        <f t="shared" si="1"/>
        <v>0</v>
      </c>
      <c r="J16" s="21">
        <f t="shared" si="1"/>
        <v>0</v>
      </c>
      <c r="K16" s="21">
        <f t="shared" si="1"/>
        <v>0</v>
      </c>
      <c r="L16" s="21">
        <f t="shared" ca="1" si="1"/>
        <v>0</v>
      </c>
      <c r="M16" s="21">
        <f t="shared" si="1"/>
        <v>0</v>
      </c>
      <c r="N16" s="21">
        <f t="shared" ca="1" si="1"/>
        <v>465.01453933258955</v>
      </c>
      <c r="O16" s="21">
        <f>O5</f>
        <v>3.1266666666666669</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0.21262707504173611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3379.8756306247092</v>
      </c>
      <c r="C20" s="23">
        <f t="shared" ref="C20:P20" ca="1" si="2">C16*C18</f>
        <v>0</v>
      </c>
      <c r="D20" s="23">
        <f t="shared" ca="1" si="2"/>
        <v>2819.8927104386744</v>
      </c>
      <c r="E20" s="23">
        <f t="shared" si="2"/>
        <v>56.066553477257692</v>
      </c>
      <c r="F20" s="23">
        <f t="shared" ca="1" si="2"/>
        <v>824.6826587638534</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2432.0001237629599</v>
      </c>
      <c r="C26" s="39">
        <f>IF(ISERROR(B26*3.6/1000000/'E Balans VL '!Z12*100),0,B26*3.6/1000000/'E Balans VL '!Z12*100)</f>
        <v>5.0575158790660893E-2</v>
      </c>
      <c r="D26" s="233" t="s">
        <v>676</v>
      </c>
      <c r="F26" s="6"/>
    </row>
    <row r="27" spans="1:18">
      <c r="A27" s="228" t="s">
        <v>52</v>
      </c>
      <c r="B27" s="33">
        <f>IF(ISERROR(TER_horeca_ele_kWh/1000),0,TER_horeca_ele_kWh/1000)</f>
        <v>1323.2647633450199</v>
      </c>
      <c r="C27" s="39">
        <f>IF(ISERROR(B27*3.6/1000000/'E Balans VL '!Z9*100),0,B27*3.6/1000000/'E Balans VL '!Z9*100)</f>
        <v>0.10883946583983221</v>
      </c>
      <c r="D27" s="233" t="s">
        <v>676</v>
      </c>
      <c r="F27" s="6"/>
    </row>
    <row r="28" spans="1:18">
      <c r="A28" s="168" t="s">
        <v>51</v>
      </c>
      <c r="B28" s="33">
        <f>IF(ISERROR(TER_handel_ele_kWh/1000),0,TER_handel_ele_kWh/1000)</f>
        <v>5739.2314684496996</v>
      </c>
      <c r="C28" s="39">
        <f>IF(ISERROR(B28*3.6/1000000/'E Balans VL '!Z13*100),0,B28*3.6/1000000/'E Balans VL '!Z13*100)</f>
        <v>0.15886080505701988</v>
      </c>
      <c r="D28" s="233" t="s">
        <v>676</v>
      </c>
      <c r="F28" s="6"/>
    </row>
    <row r="29" spans="1:18">
      <c r="A29" s="228" t="s">
        <v>50</v>
      </c>
      <c r="B29" s="33">
        <f>IF(ISERROR(TER_gezond_ele_kWh/1000),0,TER_gezond_ele_kWh/1000)</f>
        <v>2215.8179927339002</v>
      </c>
      <c r="C29" s="39">
        <f>IF(ISERROR(B29*3.6/1000000/'E Balans VL '!Z10*100),0,B29*3.6/1000000/'E Balans VL '!Z10*100)</f>
        <v>0.2526979588360031</v>
      </c>
      <c r="D29" s="233" t="s">
        <v>676</v>
      </c>
      <c r="F29" s="6"/>
    </row>
    <row r="30" spans="1:18">
      <c r="A30" s="228" t="s">
        <v>49</v>
      </c>
      <c r="B30" s="33">
        <f>IF(ISERROR(TER_ander_ele_kWh/1000),0,TER_ander_ele_kWh/1000)</f>
        <v>1625.8411995592799</v>
      </c>
      <c r="C30" s="39">
        <f>IF(ISERROR(B30*3.6/1000000/'E Balans VL '!Z14*100),0,B30*3.6/1000000/'E Balans VL '!Z14*100)</f>
        <v>0.12584451898179991</v>
      </c>
      <c r="D30" s="233" t="s">
        <v>676</v>
      </c>
      <c r="F30" s="6"/>
    </row>
    <row r="31" spans="1:18">
      <c r="A31" s="228" t="s">
        <v>54</v>
      </c>
      <c r="B31" s="33">
        <f>IF(ISERROR(TER_onderwijs_ele_kWh/1000),0,TER_onderwijs_ele_kWh/1000)</f>
        <v>210.01889821552101</v>
      </c>
      <c r="C31" s="39">
        <f>IF(ISERROR(B31*3.6/1000000/'E Balans VL '!Z11*100),0,B31*3.6/1000000/'E Balans VL '!Z11*100)</f>
        <v>6.5437916024242065E-2</v>
      </c>
      <c r="D31" s="233" t="s">
        <v>676</v>
      </c>
    </row>
    <row r="32" spans="1:18">
      <c r="A32" s="228" t="s">
        <v>249</v>
      </c>
      <c r="B32" s="33">
        <f>IF(ISERROR(TER_rest_ele_kWh/1000),0,TER_rest_ele_kWh/1000)</f>
        <v>2349.6169528478003</v>
      </c>
      <c r="C32" s="39">
        <f>IF(ISERROR(B32*3.6/1000000/'E Balans VL '!Z8*100),0,B32*3.6/1000000/'E Balans VL '!Z8*100)</f>
        <v>1.9375128658447312E-2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2</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33179.570202659961</v>
      </c>
      <c r="C5" s="17">
        <f>IF(ISERROR('Eigen informatie GS &amp; warmtenet'!B59),0,'Eigen informatie GS &amp; warmtenet'!B59)</f>
        <v>0</v>
      </c>
      <c r="D5" s="30">
        <f>SUM(D6:D15)</f>
        <v>7191.8400336497416</v>
      </c>
      <c r="E5" s="17">
        <f>SUM(E6:E15)</f>
        <v>487.3970128587809</v>
      </c>
      <c r="F5" s="17">
        <f>SUM(F6:F15)</f>
        <v>8317.7507445348147</v>
      </c>
      <c r="G5" s="18"/>
      <c r="H5" s="17"/>
      <c r="I5" s="17"/>
      <c r="J5" s="17">
        <f>SUM(J6:J15)</f>
        <v>110.17415723040423</v>
      </c>
      <c r="K5" s="17"/>
      <c r="L5" s="17"/>
      <c r="M5" s="17"/>
      <c r="N5" s="17">
        <f>SUM(N6:N15)</f>
        <v>625.43484188603043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388.17556799850604</v>
      </c>
      <c r="C8" s="33"/>
      <c r="D8" s="37">
        <f>IF( ISERROR(IND_metaal_Gas_kWH/1000),0,IND_metaal_Gas_kWH/1000)*0.902</f>
        <v>418.15547193869548</v>
      </c>
      <c r="E8" s="33">
        <f>C30*'E Balans VL '!I18/100/3.6*1000000</f>
        <v>2.7276240692713958</v>
      </c>
      <c r="F8" s="33">
        <f>C30*'E Balans VL '!L18/100/3.6*1000000+C30*'E Balans VL '!N18/100/3.6*1000000</f>
        <v>42.619406315626989</v>
      </c>
      <c r="G8" s="34"/>
      <c r="H8" s="33"/>
      <c r="I8" s="33"/>
      <c r="J8" s="40">
        <f>C30*'E Balans VL '!D18/100/3.6*1000000+C30*'E Balans VL '!E18/100/3.6*1000000</f>
        <v>8.0088986382346938</v>
      </c>
      <c r="K8" s="33"/>
      <c r="L8" s="33"/>
      <c r="M8" s="33"/>
      <c r="N8" s="33">
        <f>C30*'E Balans VL '!Y18/100/3.6*1000000</f>
        <v>1.4549099852328218</v>
      </c>
      <c r="O8" s="33"/>
      <c r="P8" s="33"/>
      <c r="R8" s="32"/>
    </row>
    <row r="9" spans="1:18">
      <c r="A9" s="6" t="s">
        <v>32</v>
      </c>
      <c r="B9" s="37">
        <f t="shared" si="0"/>
        <v>3942.6076865466498</v>
      </c>
      <c r="C9" s="33"/>
      <c r="D9" s="37">
        <f>IF( ISERROR(IND_andere_gas_kWh/1000),0,IND_andere_gas_kWh/1000)*0.902</f>
        <v>629.35521114029405</v>
      </c>
      <c r="E9" s="33">
        <f>C31*'E Balans VL '!I19/100/3.6*1000000</f>
        <v>66.220925944175505</v>
      </c>
      <c r="F9" s="33">
        <f>C31*'E Balans VL '!L19/100/3.6*1000000+C31*'E Balans VL '!N19/100/3.6*1000000</f>
        <v>3082.106135175261</v>
      </c>
      <c r="G9" s="34"/>
      <c r="H9" s="33"/>
      <c r="I9" s="33"/>
      <c r="J9" s="40">
        <f>C31*'E Balans VL '!D19/100/3.6*1000000+C31*'E Balans VL '!E19/100/3.6*1000000</f>
        <v>0.3555884104108949</v>
      </c>
      <c r="K9" s="33"/>
      <c r="L9" s="33"/>
      <c r="M9" s="33"/>
      <c r="N9" s="33">
        <f>C31*'E Balans VL '!Y19/100/3.6*1000000</f>
        <v>292.21048314476576</v>
      </c>
      <c r="O9" s="33"/>
      <c r="P9" s="33"/>
      <c r="R9" s="32"/>
    </row>
    <row r="10" spans="1:18">
      <c r="A10" s="6" t="s">
        <v>40</v>
      </c>
      <c r="B10" s="37">
        <f t="shared" si="0"/>
        <v>16406.187729962698</v>
      </c>
      <c r="C10" s="33"/>
      <c r="D10" s="37">
        <f>IF( ISERROR(IND_voed_gas_kWh/1000),0,IND_voed_gas_kWh/1000)*0.902</f>
        <v>705.06389040942031</v>
      </c>
      <c r="E10" s="33">
        <f>C32*'E Balans VL '!I20/100/3.6*1000000</f>
        <v>149.68323925719625</v>
      </c>
      <c r="F10" s="33">
        <f>C32*'E Balans VL '!L20/100/3.6*1000000+C32*'E Balans VL '!N20/100/3.6*1000000</f>
        <v>2646.8312363642699</v>
      </c>
      <c r="G10" s="34"/>
      <c r="H10" s="33"/>
      <c r="I10" s="33"/>
      <c r="J10" s="40">
        <f>C32*'E Balans VL '!D20/100/3.6*1000000+C32*'E Balans VL '!E20/100/3.6*1000000</f>
        <v>67.571437489327408</v>
      </c>
      <c r="K10" s="33"/>
      <c r="L10" s="33"/>
      <c r="M10" s="33"/>
      <c r="N10" s="33">
        <f>C32*'E Balans VL '!Y20/100/3.6*1000000</f>
        <v>240.00958984724852</v>
      </c>
      <c r="O10" s="33"/>
      <c r="P10" s="33"/>
      <c r="R10" s="32"/>
    </row>
    <row r="11" spans="1:18">
      <c r="A11" s="6" t="s">
        <v>39</v>
      </c>
      <c r="B11" s="37">
        <f t="shared" si="0"/>
        <v>145.18824268731001</v>
      </c>
      <c r="C11" s="33"/>
      <c r="D11" s="37">
        <f>IF( ISERROR(IND_textiel_gas_kWh/1000),0,IND_textiel_gas_kWh/1000)*0.902</f>
        <v>0</v>
      </c>
      <c r="E11" s="33">
        <f>C33*'E Balans VL '!I21/100/3.6*1000000</f>
        <v>0.33114745030218823</v>
      </c>
      <c r="F11" s="33">
        <f>C33*'E Balans VL '!L21/100/3.6*1000000+C33*'E Balans VL '!N21/100/3.6*1000000</f>
        <v>3.1035333489296746</v>
      </c>
      <c r="G11" s="34"/>
      <c r="H11" s="33"/>
      <c r="I11" s="33"/>
      <c r="J11" s="40">
        <f>C33*'E Balans VL '!D21/100/3.6*1000000+C33*'E Balans VL '!E21/100/3.6*1000000</f>
        <v>0</v>
      </c>
      <c r="K11" s="33"/>
      <c r="L11" s="33"/>
      <c r="M11" s="33"/>
      <c r="N11" s="33">
        <f>C33*'E Balans VL '!Y21/100/3.6*1000000</f>
        <v>1.029945806343896</v>
      </c>
      <c r="O11" s="33"/>
      <c r="P11" s="33"/>
      <c r="R11" s="32"/>
    </row>
    <row r="12" spans="1:18">
      <c r="A12" s="6" t="s">
        <v>36</v>
      </c>
      <c r="B12" s="37">
        <f t="shared" si="0"/>
        <v>51.159414856811701</v>
      </c>
      <c r="C12" s="33"/>
      <c r="D12" s="37">
        <f>IF( ISERROR(IND_min_gas_kWh/1000),0,IND_min_gas_kWh/1000)*0.902</f>
        <v>0</v>
      </c>
      <c r="E12" s="33">
        <f>C34*'E Balans VL '!I22/100/3.6*1000000</f>
        <v>1.2689198101784462</v>
      </c>
      <c r="F12" s="33">
        <f>C34*'E Balans VL '!L22/100/3.6*1000000+C34*'E Balans VL '!N22/100/3.6*1000000</f>
        <v>5.436177679742177</v>
      </c>
      <c r="G12" s="34"/>
      <c r="H12" s="33"/>
      <c r="I12" s="33"/>
      <c r="J12" s="40">
        <f>C34*'E Balans VL '!D22/100/3.6*1000000+C34*'E Balans VL '!E22/100/3.6*1000000</f>
        <v>0.29061549479761234</v>
      </c>
      <c r="K12" s="33"/>
      <c r="L12" s="33"/>
      <c r="M12" s="33"/>
      <c r="N12" s="33">
        <f>C34*'E Balans VL '!Y22/100/3.6*1000000</f>
        <v>0</v>
      </c>
      <c r="O12" s="33"/>
      <c r="P12" s="33"/>
      <c r="R12" s="32"/>
    </row>
    <row r="13" spans="1:18">
      <c r="A13" s="6" t="s">
        <v>38</v>
      </c>
      <c r="B13" s="37">
        <f t="shared" si="0"/>
        <v>7204.5403781456298</v>
      </c>
      <c r="C13" s="33"/>
      <c r="D13" s="37">
        <f>IF( ISERROR(IND_papier_gas_kWh/1000),0,IND_papier_gas_kWh/1000)*0.902</f>
        <v>88.277604634378875</v>
      </c>
      <c r="E13" s="33">
        <f>C35*'E Balans VL '!I23/100/3.6*1000000</f>
        <v>221.66490525972293</v>
      </c>
      <c r="F13" s="33">
        <f>C35*'E Balans VL '!L23/100/3.6*1000000+C35*'E Balans VL '!N23/100/3.6*1000000</f>
        <v>1529.7757060905449</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5041.7111824623598</v>
      </c>
      <c r="C15" s="33"/>
      <c r="D15" s="37">
        <f>IF( ISERROR(IND_rest_gas_kWh/1000),0,IND_rest_gas_kWh/1000)*0.902</f>
        <v>5350.9878555269534</v>
      </c>
      <c r="E15" s="33">
        <f>C37*'E Balans VL '!I15/100/3.6*1000000</f>
        <v>45.500251067934201</v>
      </c>
      <c r="F15" s="33">
        <f>C37*'E Balans VL '!L15/100/3.6*1000000+C37*'E Balans VL '!N15/100/3.6*1000000</f>
        <v>1007.8785495604391</v>
      </c>
      <c r="G15" s="34"/>
      <c r="H15" s="33"/>
      <c r="I15" s="33"/>
      <c r="J15" s="40">
        <f>C37*'E Balans VL '!D15/100/3.6*1000000+C37*'E Balans VL '!E15/100/3.6*1000000</f>
        <v>33.947617197633633</v>
      </c>
      <c r="K15" s="33"/>
      <c r="L15" s="33"/>
      <c r="M15" s="33"/>
      <c r="N15" s="33">
        <f>C37*'E Balans VL '!Y15/100/3.6*1000000</f>
        <v>90.729913102439482</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33179.570202659961</v>
      </c>
      <c r="C18" s="21">
        <f>C5+C16</f>
        <v>0</v>
      </c>
      <c r="D18" s="21">
        <f>MAX((D5+D16),0)</f>
        <v>7191.8400336497416</v>
      </c>
      <c r="E18" s="21">
        <f>MAX((E5+E16),0)</f>
        <v>487.3970128587809</v>
      </c>
      <c r="F18" s="21">
        <f>MAX((F5+F16),0)</f>
        <v>8317.7507445348147</v>
      </c>
      <c r="G18" s="21"/>
      <c r="H18" s="21"/>
      <c r="I18" s="21"/>
      <c r="J18" s="21">
        <f>MAX((J5+J16),0)</f>
        <v>110.17415723040423</v>
      </c>
      <c r="K18" s="21"/>
      <c r="L18" s="21">
        <f>MAX((L5+L16),0)</f>
        <v>0</v>
      </c>
      <c r="M18" s="21"/>
      <c r="N18" s="21">
        <f>MAX((N5+N16),0)</f>
        <v>625.43484188603043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0.21262707504173611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7054.874963333531</v>
      </c>
      <c r="C22" s="23">
        <f ca="1">C18*C20</f>
        <v>0</v>
      </c>
      <c r="D22" s="23">
        <f>D18*D20</f>
        <v>1452.7516867972479</v>
      </c>
      <c r="E22" s="23">
        <f>E18*E20</f>
        <v>110.63912191894326</v>
      </c>
      <c r="F22" s="23">
        <f>F18*F20</f>
        <v>2220.8394487907958</v>
      </c>
      <c r="G22" s="23"/>
      <c r="H22" s="23"/>
      <c r="I22" s="23"/>
      <c r="J22" s="23">
        <f>J18*J20</f>
        <v>39.001651659563095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388.17556799850604</v>
      </c>
      <c r="C30" s="39">
        <f>IF(ISERROR(B30*3.6/1000000/'E Balans VL '!Z18*100),0,B30*3.6/1000000/'E Balans VL '!Z18*100)</f>
        <v>2.5841084601525892E-2</v>
      </c>
      <c r="D30" s="233" t="s">
        <v>676</v>
      </c>
    </row>
    <row r="31" spans="1:18">
      <c r="A31" s="6" t="s">
        <v>32</v>
      </c>
      <c r="B31" s="37">
        <f>IF( ISERROR(IND_ander_ele_kWh/1000),0,IND_ander_ele_kWh/1000)</f>
        <v>3942.6076865466498</v>
      </c>
      <c r="C31" s="39">
        <f>IF(ISERROR(B31*3.6/1000000/'E Balans VL '!Z19*100),0,B31*3.6/1000000/'E Balans VL '!Z19*100)</f>
        <v>0.17476017439989378</v>
      </c>
      <c r="D31" s="233" t="s">
        <v>676</v>
      </c>
    </row>
    <row r="32" spans="1:18">
      <c r="A32" s="168" t="s">
        <v>40</v>
      </c>
      <c r="B32" s="37">
        <f>IF( ISERROR(IND_voed_ele_kWh/1000),0,IND_voed_ele_kWh/1000)</f>
        <v>16406.187729962698</v>
      </c>
      <c r="C32" s="39">
        <f>IF(ISERROR(B32*3.6/1000000/'E Balans VL '!Z20*100),0,B32*3.6/1000000/'E Balans VL '!Z20*100)</f>
        <v>0.54801373344217497</v>
      </c>
      <c r="D32" s="233" t="s">
        <v>676</v>
      </c>
    </row>
    <row r="33" spans="1:5">
      <c r="A33" s="168" t="s">
        <v>39</v>
      </c>
      <c r="B33" s="37">
        <f>IF( ISERROR(IND_textiel_ele_kWh/1000),0,IND_textiel_ele_kWh/1000)</f>
        <v>145.18824268731001</v>
      </c>
      <c r="C33" s="39">
        <f>IF(ISERROR(B33*3.6/1000000/'E Balans VL '!Z21*100),0,B33*3.6/1000000/'E Balans VL '!Z21*100)</f>
        <v>1.9114366959676391E-2</v>
      </c>
      <c r="D33" s="233" t="s">
        <v>676</v>
      </c>
    </row>
    <row r="34" spans="1:5">
      <c r="A34" s="168" t="s">
        <v>36</v>
      </c>
      <c r="B34" s="37">
        <f>IF( ISERROR(IND_min_ele_kWh/1000),0,IND_min_ele_kWh/1000)</f>
        <v>51.159414856811701</v>
      </c>
      <c r="C34" s="39">
        <f>IF(ISERROR(B34*3.6/1000000/'E Balans VL '!Z22*100),0,B34*3.6/1000000/'E Balans VL '!Z22*100)</f>
        <v>9.9499442354210824E-3</v>
      </c>
      <c r="D34" s="233" t="s">
        <v>676</v>
      </c>
    </row>
    <row r="35" spans="1:5">
      <c r="A35" s="168" t="s">
        <v>38</v>
      </c>
      <c r="B35" s="37">
        <f>IF( ISERROR(IND_papier_ele_kWh/1000),0,IND_papier_ele_kWh/1000)</f>
        <v>7204.5403781456298</v>
      </c>
      <c r="C35" s="39">
        <f>IF(ISERROR(B35*3.6/1000000/'E Balans VL '!Z22*100),0,B35*3.6/1000000/'E Balans VL '!Z22*100)</f>
        <v>1.4012039661717117</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5041.7111824623598</v>
      </c>
      <c r="C37" s="39">
        <f>IF(ISERROR(B37*3.6/1000000/'E Balans VL '!Z15*100),0,B37*3.6/1000000/'E Balans VL '!Z15*100)</f>
        <v>3.7502117547414303E-2</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1219.223883787269</v>
      </c>
      <c r="C5" s="17">
        <f>'Eigen informatie GS &amp; warmtenet'!B60</f>
        <v>0</v>
      </c>
      <c r="D5" s="30">
        <f>IF(ISERROR(SUM(LB_lb_gas_kWh,LB_rest_gas_kWh)/1000),0,SUM(LB_lb_gas_kWh,LB_rest_gas_kWh)/1000)*0.902</f>
        <v>1378.7009900060589</v>
      </c>
      <c r="E5" s="17">
        <f>B17*'E Balans VL '!I25/3.6*1000000/100</f>
        <v>10.986754251677182</v>
      </c>
      <c r="F5" s="17">
        <f>B17*('E Balans VL '!L25/3.6*1000000+'E Balans VL '!N25/3.6*1000000)/100</f>
        <v>4568.4690776480156</v>
      </c>
      <c r="G5" s="18"/>
      <c r="H5" s="17"/>
      <c r="I5" s="17"/>
      <c r="J5" s="17">
        <f>('E Balans VL '!D25+'E Balans VL '!E25)/3.6*1000000*landbouw!B17/100</f>
        <v>123.38041447009331</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1219.223883787269</v>
      </c>
      <c r="C8" s="21">
        <f>C5+C6</f>
        <v>0</v>
      </c>
      <c r="D8" s="21">
        <f>MAX((D5+D6),0)</f>
        <v>1378.7009900060589</v>
      </c>
      <c r="E8" s="21">
        <f>MAX((E5+E6),0)</f>
        <v>10.986754251677182</v>
      </c>
      <c r="F8" s="21">
        <f>MAX((F5+F6),0)</f>
        <v>4568.4690776480156</v>
      </c>
      <c r="G8" s="21"/>
      <c r="H8" s="21"/>
      <c r="I8" s="21"/>
      <c r="J8" s="21">
        <f>MAX((J5+J6),0)</f>
        <v>123.38041447009331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0.21262707504173611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259.24000823071259</v>
      </c>
      <c r="C12" s="23">
        <f ca="1">C8*C10</f>
        <v>0</v>
      </c>
      <c r="D12" s="23">
        <f>D8*D10</f>
        <v>278.49759998122391</v>
      </c>
      <c r="E12" s="23">
        <f>E8*E10</f>
        <v>2.4939932151307205</v>
      </c>
      <c r="F12" s="23">
        <f>F8*F10</f>
        <v>1219.7812437320201</v>
      </c>
      <c r="G12" s="23"/>
      <c r="H12" s="23"/>
      <c r="I12" s="23"/>
      <c r="J12" s="23">
        <f>J8*J10</f>
        <v>43.676666722413032</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0.18766209108511747</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194.81134692466739</v>
      </c>
      <c r="C26" s="243">
        <f>B26*'GWP N2O_CH4'!B5</f>
        <v>4091.0382854180152</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45.532943738908251</v>
      </c>
      <c r="C27" s="243">
        <f>B27*'GWP N2O_CH4'!B5</f>
        <v>956.19181851707333</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2.9344851128955463</v>
      </c>
      <c r="C28" s="243">
        <f>B28*'GWP N2O_CH4'!B4</f>
        <v>909.69038499761939</v>
      </c>
      <c r="D28" s="50"/>
    </row>
    <row r="29" spans="1:4">
      <c r="A29" s="41" t="s">
        <v>266</v>
      </c>
      <c r="B29" s="243">
        <f>B34*'ha_N2O bodem landbouw'!B4</f>
        <v>8.4987302703569103</v>
      </c>
      <c r="C29" s="243">
        <f>B29*'GWP N2O_CH4'!B4</f>
        <v>2634.606383810642</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2.206533957427574E-3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1.1555843614539664E-5</v>
      </c>
      <c r="C5" s="431" t="s">
        <v>204</v>
      </c>
      <c r="D5" s="416">
        <f>SUM(D6:D11)</f>
        <v>3.7941153240217527E-5</v>
      </c>
      <c r="E5" s="416">
        <f>SUM(E6:E11)</f>
        <v>4.385997262537647E-3</v>
      </c>
      <c r="F5" s="429" t="s">
        <v>204</v>
      </c>
      <c r="G5" s="416">
        <f>SUM(G6:G11)</f>
        <v>0.86073649750122361</v>
      </c>
      <c r="H5" s="416">
        <f>SUM(H6:H11)</f>
        <v>0.13503671440765913</v>
      </c>
      <c r="I5" s="431" t="s">
        <v>204</v>
      </c>
      <c r="J5" s="431" t="s">
        <v>204</v>
      </c>
      <c r="K5" s="431" t="s">
        <v>204</v>
      </c>
      <c r="L5" s="431" t="s">
        <v>204</v>
      </c>
      <c r="M5" s="416">
        <f>SUM(M6:M11)</f>
        <v>4.3294892556360869E-2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2.6550277653481231E-6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8.3805337174015011E-6</v>
      </c>
      <c r="E6" s="419">
        <f>vkm_GW_PW*SUMIFS(TableVerdeelsleutelVkm[LPG],TableVerdeelsleutelVkm[Voertuigtype],"Lichte voertuigen")*SUMIFS(TableECFTransport[EnergieConsumptieFactor (PJ per km)],TableECFTransport[Index],CONCATENATE($A6,"_LPG_LPG"))</f>
        <v>8.7038934661615457E-4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0.11618173955141513</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2.9179846306642464E-2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6.3480183537684299E-3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1.614916265251496E-7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7.2796473220589381E-2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2.1419891609721897E-6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3.1361102093602458E-3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1.7425649477057452E-6</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9.3290754283796016E-6</v>
      </c>
      <c r="E8" s="419">
        <f>vkm_NGW_PW*SUMIFS(TableVerdeelsleutelVkm[LPG],TableVerdeelsleutelVkm[Voertuigtype],"Lichte voertuigen")*SUMIFS(TableECFTransport[EnergieConsumptieFactor (PJ per km)],TableECFTransport[Index],CONCATENATE($A8,"_LPG_LPG"))</f>
        <v>9.1191844402652112E-4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0.11579527472345355</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3.0678411042005853E-2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6.4003413685568547E-3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6.1840376056408573E-8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3.8612815417458E-2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9.9004703679554647E-7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1.663453595328658E-3</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6.4876793583888818E-6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2.0231544094436426E-5</v>
      </c>
      <c r="E10" s="419">
        <f>vkm_SW_PW*SUMIFS(TableVerdeelsleutelVkm[LPG],TableVerdeelsleutelVkm[Voertuigtype],"Lichte voertuigen")*SUMIFS(TableECFTransport[EnergieConsumptieFactor (PJ per km)],TableECFTransport[Index],CONCATENATE($A10,"_LPG_LPG"))</f>
        <v>2.6036894718949712E-3</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0.32281852476712086</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7.5169219288643854E-2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1.7366425194294537E-2</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4.4723954051535486E-7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0.19453166982118661</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6.1057341691964731E-6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8.3805438350521514E-3</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3.2099565595943513</v>
      </c>
      <c r="C14" s="21"/>
      <c r="D14" s="21">
        <f t="shared" ref="D14:M14" si="0">((D5)*10^9/3600)+D12</f>
        <v>10.539209233393757</v>
      </c>
      <c r="E14" s="21">
        <f t="shared" si="0"/>
        <v>1218.3325729271241</v>
      </c>
      <c r="F14" s="21"/>
      <c r="G14" s="21">
        <f t="shared" si="0"/>
        <v>239093.47152811766</v>
      </c>
      <c r="H14" s="21">
        <f t="shared" si="0"/>
        <v>37510.198446571987</v>
      </c>
      <c r="I14" s="21"/>
      <c r="J14" s="21"/>
      <c r="K14" s="21"/>
      <c r="L14" s="21"/>
      <c r="M14" s="21">
        <f t="shared" si="0"/>
        <v>12026.359043433575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0.21262707504173611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0.6825236742775812</v>
      </c>
      <c r="C18" s="23"/>
      <c r="D18" s="23">
        <f t="shared" ref="D18:M18" si="1">D14*D16</f>
        <v>2.1289202651455392</v>
      </c>
      <c r="E18" s="23">
        <f t="shared" si="1"/>
        <v>276.56149405445717</v>
      </c>
      <c r="F18" s="23"/>
      <c r="G18" s="23">
        <f t="shared" si="1"/>
        <v>63837.956898007418</v>
      </c>
      <c r="H18" s="23">
        <f t="shared" si="1"/>
        <v>9340.039413196424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2.0624936685085413E-5</v>
      </c>
      <c r="C50" s="313">
        <f t="shared" ref="C50:P50" si="2">SUM(C51:C52)</f>
        <v>0</v>
      </c>
      <c r="D50" s="313">
        <f t="shared" si="2"/>
        <v>0</v>
      </c>
      <c r="E50" s="313">
        <f t="shared" si="2"/>
        <v>0</v>
      </c>
      <c r="F50" s="313">
        <f t="shared" si="2"/>
        <v>0</v>
      </c>
      <c r="G50" s="313">
        <f t="shared" si="2"/>
        <v>4.4743729423863962E-3</v>
      </c>
      <c r="H50" s="313">
        <f t="shared" si="2"/>
        <v>0</v>
      </c>
      <c r="I50" s="313">
        <f t="shared" si="2"/>
        <v>0</v>
      </c>
      <c r="J50" s="313">
        <f t="shared" si="2"/>
        <v>0</v>
      </c>
      <c r="K50" s="313">
        <f t="shared" si="2"/>
        <v>0</v>
      </c>
      <c r="L50" s="313">
        <f t="shared" si="2"/>
        <v>0</v>
      </c>
      <c r="M50" s="313">
        <f t="shared" si="2"/>
        <v>1.9157546221227083E-4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2.0624936685085413E-5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4.4743729423863962E-3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1.9157546221227083E-4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5.7291490791903925</v>
      </c>
      <c r="C54" s="21">
        <f t="shared" ref="C54:P54" si="3">(C50)*10^9/3600</f>
        <v>0</v>
      </c>
      <c r="D54" s="21">
        <f t="shared" si="3"/>
        <v>0</v>
      </c>
      <c r="E54" s="21">
        <f t="shared" si="3"/>
        <v>0</v>
      </c>
      <c r="F54" s="21">
        <f t="shared" si="3"/>
        <v>0</v>
      </c>
      <c r="G54" s="21">
        <f t="shared" si="3"/>
        <v>1242.8813728851101</v>
      </c>
      <c r="H54" s="21">
        <f t="shared" si="3"/>
        <v>0</v>
      </c>
      <c r="I54" s="21">
        <f t="shared" si="3"/>
        <v>0</v>
      </c>
      <c r="J54" s="21">
        <f t="shared" si="3"/>
        <v>0</v>
      </c>
      <c r="K54" s="21">
        <f t="shared" si="3"/>
        <v>0</v>
      </c>
      <c r="L54" s="21">
        <f t="shared" si="3"/>
        <v>0</v>
      </c>
      <c r="M54" s="21">
        <f t="shared" si="3"/>
        <v>53.215406170075227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0.21262707504173611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1.2181722111863089</v>
      </c>
      <c r="C58" s="23">
        <f t="shared" ref="C58:P58" ca="1" si="4">C54*C56</f>
        <v>0</v>
      </c>
      <c r="D58" s="23">
        <f t="shared" si="4"/>
        <v>0</v>
      </c>
      <c r="E58" s="23">
        <f t="shared" si="4"/>
        <v>0</v>
      </c>
      <c r="F58" s="23">
        <f t="shared" si="4"/>
        <v>0</v>
      </c>
      <c r="G58" s="23">
        <f t="shared" si="4"/>
        <v>331.84932656032441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3679.4602428318949</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3679.4602428318949</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17280.74739891418</v>
      </c>
      <c r="D10" s="635">
        <f ca="1">tertiair!C16</f>
        <v>0</v>
      </c>
      <c r="E10" s="635">
        <f ca="1">tertiair!D16</f>
        <v>13959.864903161753</v>
      </c>
      <c r="F10" s="635">
        <f>tertiair!E16</f>
        <v>246.98922236677396</v>
      </c>
      <c r="G10" s="635">
        <f ca="1">tertiair!F16</f>
        <v>3088.6990964938327</v>
      </c>
      <c r="H10" s="635">
        <f>tertiair!G16</f>
        <v>0</v>
      </c>
      <c r="I10" s="635">
        <f>tertiair!H16</f>
        <v>0</v>
      </c>
      <c r="J10" s="635">
        <f>tertiair!I16</f>
        <v>0</v>
      </c>
      <c r="K10" s="635">
        <f>tertiair!J16</f>
        <v>0</v>
      </c>
      <c r="L10" s="635">
        <f>tertiair!K16</f>
        <v>0</v>
      </c>
      <c r="M10" s="635">
        <f ca="1">tertiair!L16</f>
        <v>0</v>
      </c>
      <c r="N10" s="635">
        <f>tertiair!M16</f>
        <v>0</v>
      </c>
      <c r="O10" s="635">
        <f ca="1">tertiair!N16</f>
        <v>465.01453933258955</v>
      </c>
      <c r="P10" s="635">
        <f>tertiair!O16</f>
        <v>3.1266666666666669</v>
      </c>
      <c r="Q10" s="636">
        <f>tertiair!P16</f>
        <v>0</v>
      </c>
      <c r="R10" s="638">
        <f ca="1">SUM(C10:Q10)</f>
        <v>35044.441826935792</v>
      </c>
      <c r="S10" s="67"/>
    </row>
    <row r="11" spans="1:19" s="441" customFormat="1">
      <c r="A11" s="749" t="s">
        <v>214</v>
      </c>
      <c r="B11" s="754"/>
      <c r="C11" s="635">
        <f>huishoudens!B8</f>
        <v>43512.15315745704</v>
      </c>
      <c r="D11" s="635">
        <f>huishoudens!C8</f>
        <v>0</v>
      </c>
      <c r="E11" s="635">
        <f>huishoudens!D8</f>
        <v>37856.515137473281</v>
      </c>
      <c r="F11" s="635">
        <f>huishoudens!E8</f>
        <v>2666.4386120623581</v>
      </c>
      <c r="G11" s="635">
        <f>huishoudens!F8</f>
        <v>91017.270537863718</v>
      </c>
      <c r="H11" s="635">
        <f>huishoudens!G8</f>
        <v>0</v>
      </c>
      <c r="I11" s="635">
        <f>huishoudens!H8</f>
        <v>0</v>
      </c>
      <c r="J11" s="635">
        <f>huishoudens!I8</f>
        <v>0</v>
      </c>
      <c r="K11" s="635">
        <f>huishoudens!J8</f>
        <v>2049.4781775932661</v>
      </c>
      <c r="L11" s="635">
        <f>huishoudens!K8</f>
        <v>0</v>
      </c>
      <c r="M11" s="635">
        <f>huishoudens!L8</f>
        <v>0</v>
      </c>
      <c r="N11" s="635">
        <f>huishoudens!M8</f>
        <v>0</v>
      </c>
      <c r="O11" s="635">
        <f>huishoudens!N8</f>
        <v>10545.723156497666</v>
      </c>
      <c r="P11" s="635">
        <f>huishoudens!O8</f>
        <v>71.913333333333341</v>
      </c>
      <c r="Q11" s="636">
        <f>huishoudens!P8</f>
        <v>362.26666666666665</v>
      </c>
      <c r="R11" s="638">
        <f>SUM(C11:Q11)</f>
        <v>188081.75877894732</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33179.570202659961</v>
      </c>
      <c r="D13" s="635">
        <f>industrie!C18</f>
        <v>0</v>
      </c>
      <c r="E13" s="635">
        <f>industrie!D18</f>
        <v>7191.8400336497416</v>
      </c>
      <c r="F13" s="635">
        <f>industrie!E18</f>
        <v>487.3970128587809</v>
      </c>
      <c r="G13" s="635">
        <f>industrie!F18</f>
        <v>8317.7507445348147</v>
      </c>
      <c r="H13" s="635">
        <f>industrie!G18</f>
        <v>0</v>
      </c>
      <c r="I13" s="635">
        <f>industrie!H18</f>
        <v>0</v>
      </c>
      <c r="J13" s="635">
        <f>industrie!I18</f>
        <v>0</v>
      </c>
      <c r="K13" s="635">
        <f>industrie!J18</f>
        <v>110.17415723040423</v>
      </c>
      <c r="L13" s="635">
        <f>industrie!K18</f>
        <v>0</v>
      </c>
      <c r="M13" s="635">
        <f>industrie!L18</f>
        <v>0</v>
      </c>
      <c r="N13" s="635">
        <f>industrie!M18</f>
        <v>0</v>
      </c>
      <c r="O13" s="635">
        <f>industrie!N18</f>
        <v>625.43484188603043</v>
      </c>
      <c r="P13" s="635">
        <f>industrie!O18</f>
        <v>0</v>
      </c>
      <c r="Q13" s="636">
        <f>industrie!P18</f>
        <v>0</v>
      </c>
      <c r="R13" s="638">
        <f>SUM(C13:Q13)</f>
        <v>49912.166992819737</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93972.470759031188</v>
      </c>
      <c r="D16" s="668">
        <f t="shared" ref="D16:R16" ca="1" si="0">SUM(D9:D15)</f>
        <v>0</v>
      </c>
      <c r="E16" s="668">
        <f t="shared" ca="1" si="0"/>
        <v>59008.220074284778</v>
      </c>
      <c r="F16" s="668">
        <f t="shared" si="0"/>
        <v>3400.8248472879127</v>
      </c>
      <c r="G16" s="668">
        <f t="shared" ca="1" si="0"/>
        <v>102423.72037889237</v>
      </c>
      <c r="H16" s="668">
        <f t="shared" si="0"/>
        <v>0</v>
      </c>
      <c r="I16" s="668">
        <f t="shared" si="0"/>
        <v>0</v>
      </c>
      <c r="J16" s="668">
        <f t="shared" si="0"/>
        <v>0</v>
      </c>
      <c r="K16" s="668">
        <f t="shared" si="0"/>
        <v>2159.6523348236701</v>
      </c>
      <c r="L16" s="668">
        <f t="shared" si="0"/>
        <v>0</v>
      </c>
      <c r="M16" s="668">
        <f t="shared" ca="1" si="0"/>
        <v>0</v>
      </c>
      <c r="N16" s="668">
        <f t="shared" si="0"/>
        <v>0</v>
      </c>
      <c r="O16" s="668">
        <f t="shared" ca="1" si="0"/>
        <v>11636.172537716286</v>
      </c>
      <c r="P16" s="668">
        <f t="shared" si="0"/>
        <v>75.040000000000006</v>
      </c>
      <c r="Q16" s="668">
        <f t="shared" si="0"/>
        <v>362.26666666666665</v>
      </c>
      <c r="R16" s="668">
        <f t="shared" ca="1" si="0"/>
        <v>273038.36759870284</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5.7291490791903925</v>
      </c>
      <c r="D19" s="635">
        <f>transport!C54</f>
        <v>0</v>
      </c>
      <c r="E19" s="635">
        <f>transport!D54</f>
        <v>0</v>
      </c>
      <c r="F19" s="635">
        <f>transport!E54</f>
        <v>0</v>
      </c>
      <c r="G19" s="635">
        <f>transport!F54</f>
        <v>0</v>
      </c>
      <c r="H19" s="635">
        <f>transport!G54</f>
        <v>1242.8813728851101</v>
      </c>
      <c r="I19" s="635">
        <f>transport!H54</f>
        <v>0</v>
      </c>
      <c r="J19" s="635">
        <f>transport!I54</f>
        <v>0</v>
      </c>
      <c r="K19" s="635">
        <f>transport!J54</f>
        <v>0</v>
      </c>
      <c r="L19" s="635">
        <f>transport!K54</f>
        <v>0</v>
      </c>
      <c r="M19" s="635">
        <f>transport!L54</f>
        <v>0</v>
      </c>
      <c r="N19" s="635">
        <f>transport!M54</f>
        <v>53.215406170075227</v>
      </c>
      <c r="O19" s="635">
        <f>transport!N54</f>
        <v>0</v>
      </c>
      <c r="P19" s="635">
        <f>transport!O54</f>
        <v>0</v>
      </c>
      <c r="Q19" s="636">
        <f>transport!P54</f>
        <v>0</v>
      </c>
      <c r="R19" s="638">
        <f>SUM(C19:Q19)</f>
        <v>1301.8259281343758</v>
      </c>
      <c r="S19" s="67"/>
    </row>
    <row r="20" spans="1:19" s="441" customFormat="1">
      <c r="A20" s="749" t="s">
        <v>296</v>
      </c>
      <c r="B20" s="754"/>
      <c r="C20" s="635">
        <f>transport!B14</f>
        <v>3.2099565595943513</v>
      </c>
      <c r="D20" s="635">
        <f>transport!C14</f>
        <v>0</v>
      </c>
      <c r="E20" s="635">
        <f>transport!D14</f>
        <v>10.539209233393757</v>
      </c>
      <c r="F20" s="635">
        <f>transport!E14</f>
        <v>1218.3325729271241</v>
      </c>
      <c r="G20" s="635">
        <f>transport!F14</f>
        <v>0</v>
      </c>
      <c r="H20" s="635">
        <f>transport!G14</f>
        <v>239093.47152811766</v>
      </c>
      <c r="I20" s="635">
        <f>transport!H14</f>
        <v>37510.198446571987</v>
      </c>
      <c r="J20" s="635">
        <f>transport!I14</f>
        <v>0</v>
      </c>
      <c r="K20" s="635">
        <f>transport!J14</f>
        <v>0</v>
      </c>
      <c r="L20" s="635">
        <f>transport!K14</f>
        <v>0</v>
      </c>
      <c r="M20" s="635">
        <f>transport!L14</f>
        <v>0</v>
      </c>
      <c r="N20" s="635">
        <f>transport!M14</f>
        <v>12026.359043433575</v>
      </c>
      <c r="O20" s="635">
        <f>transport!N14</f>
        <v>0</v>
      </c>
      <c r="P20" s="635">
        <f>transport!O14</f>
        <v>0</v>
      </c>
      <c r="Q20" s="636">
        <f>transport!P14</f>
        <v>0</v>
      </c>
      <c r="R20" s="638">
        <f>SUM(C20:Q20)</f>
        <v>289862.11075684335</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8.9391056387847438</v>
      </c>
      <c r="D22" s="752">
        <f t="shared" ref="D22:R22" si="1">SUM(D18:D21)</f>
        <v>0</v>
      </c>
      <c r="E22" s="752">
        <f t="shared" si="1"/>
        <v>10.539209233393757</v>
      </c>
      <c r="F22" s="752">
        <f t="shared" si="1"/>
        <v>1218.3325729271241</v>
      </c>
      <c r="G22" s="752">
        <f t="shared" si="1"/>
        <v>0</v>
      </c>
      <c r="H22" s="752">
        <f t="shared" si="1"/>
        <v>240336.35290100277</v>
      </c>
      <c r="I22" s="752">
        <f t="shared" si="1"/>
        <v>37510.198446571987</v>
      </c>
      <c r="J22" s="752">
        <f t="shared" si="1"/>
        <v>0</v>
      </c>
      <c r="K22" s="752">
        <f t="shared" si="1"/>
        <v>0</v>
      </c>
      <c r="L22" s="752">
        <f t="shared" si="1"/>
        <v>0</v>
      </c>
      <c r="M22" s="752">
        <f t="shared" si="1"/>
        <v>0</v>
      </c>
      <c r="N22" s="752">
        <f t="shared" si="1"/>
        <v>12079.57444960365</v>
      </c>
      <c r="O22" s="752">
        <f t="shared" si="1"/>
        <v>0</v>
      </c>
      <c r="P22" s="752">
        <f t="shared" si="1"/>
        <v>0</v>
      </c>
      <c r="Q22" s="752">
        <f t="shared" si="1"/>
        <v>0</v>
      </c>
      <c r="R22" s="752">
        <f t="shared" si="1"/>
        <v>291163.93668497773</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1219.223883787269</v>
      </c>
      <c r="D24" s="635">
        <f>+landbouw!C8</f>
        <v>0</v>
      </c>
      <c r="E24" s="635">
        <f>+landbouw!D8</f>
        <v>1378.7009900060589</v>
      </c>
      <c r="F24" s="635">
        <f>+landbouw!E8</f>
        <v>10.986754251677182</v>
      </c>
      <c r="G24" s="635">
        <f>+landbouw!F8</f>
        <v>4568.4690776480156</v>
      </c>
      <c r="H24" s="635">
        <f>+landbouw!G8</f>
        <v>0</v>
      </c>
      <c r="I24" s="635">
        <f>+landbouw!H8</f>
        <v>0</v>
      </c>
      <c r="J24" s="635">
        <f>+landbouw!I8</f>
        <v>0</v>
      </c>
      <c r="K24" s="635">
        <f>+landbouw!J8</f>
        <v>123.38041447009331</v>
      </c>
      <c r="L24" s="635">
        <f>+landbouw!K8</f>
        <v>0</v>
      </c>
      <c r="M24" s="635">
        <f>+landbouw!L8</f>
        <v>0</v>
      </c>
      <c r="N24" s="635">
        <f>+landbouw!M8</f>
        <v>0</v>
      </c>
      <c r="O24" s="635">
        <f>+landbouw!N8</f>
        <v>0</v>
      </c>
      <c r="P24" s="635">
        <f>+landbouw!O8</f>
        <v>0</v>
      </c>
      <c r="Q24" s="636">
        <f>+landbouw!P8</f>
        <v>0</v>
      </c>
      <c r="R24" s="638">
        <f>SUM(C24:Q24)</f>
        <v>7300.7611201631134</v>
      </c>
      <c r="S24" s="67"/>
    </row>
    <row r="25" spans="1:19" s="441" customFormat="1" ht="15" thickBot="1">
      <c r="A25" s="771" t="s">
        <v>864</v>
      </c>
      <c r="B25" s="923"/>
      <c r="C25" s="924">
        <f>IF(Onbekend_ele_kWh="---",0,Onbekend_ele_kWh)/1000+IF(REST_rest_ele_kWh="---",0,REST_rest_ele_kWh)/1000</f>
        <v>1917.2453343209302</v>
      </c>
      <c r="D25" s="924"/>
      <c r="E25" s="924">
        <f>IF(onbekend_gas_kWh="---",0,onbekend_gas_kWh)/1000+IF(REST_rest_gas_kWh="---",0,REST_rest_gas_kWh)/1000</f>
        <v>1765.77928676852</v>
      </c>
      <c r="F25" s="924"/>
      <c r="G25" s="924"/>
      <c r="H25" s="924"/>
      <c r="I25" s="924"/>
      <c r="J25" s="924"/>
      <c r="K25" s="924"/>
      <c r="L25" s="924"/>
      <c r="M25" s="924"/>
      <c r="N25" s="924"/>
      <c r="O25" s="924"/>
      <c r="P25" s="924"/>
      <c r="Q25" s="925"/>
      <c r="R25" s="638">
        <f>SUM(C25:Q25)</f>
        <v>3683.0246210894502</v>
      </c>
      <c r="S25" s="67"/>
    </row>
    <row r="26" spans="1:19" s="441" customFormat="1" ht="15.75" thickBot="1">
      <c r="A26" s="641" t="s">
        <v>865</v>
      </c>
      <c r="B26" s="757"/>
      <c r="C26" s="752">
        <f>SUM(C24:C25)</f>
        <v>3136.4692181081991</v>
      </c>
      <c r="D26" s="752">
        <f t="shared" ref="D26:R26" si="2">SUM(D24:D25)</f>
        <v>0</v>
      </c>
      <c r="E26" s="752">
        <f t="shared" si="2"/>
        <v>3144.4802767745787</v>
      </c>
      <c r="F26" s="752">
        <f t="shared" si="2"/>
        <v>10.986754251677182</v>
      </c>
      <c r="G26" s="752">
        <f t="shared" si="2"/>
        <v>4568.4690776480156</v>
      </c>
      <c r="H26" s="752">
        <f t="shared" si="2"/>
        <v>0</v>
      </c>
      <c r="I26" s="752">
        <f t="shared" si="2"/>
        <v>0</v>
      </c>
      <c r="J26" s="752">
        <f t="shared" si="2"/>
        <v>0</v>
      </c>
      <c r="K26" s="752">
        <f t="shared" si="2"/>
        <v>123.38041447009331</v>
      </c>
      <c r="L26" s="752">
        <f t="shared" si="2"/>
        <v>0</v>
      </c>
      <c r="M26" s="752">
        <f t="shared" si="2"/>
        <v>0</v>
      </c>
      <c r="N26" s="752">
        <f t="shared" si="2"/>
        <v>0</v>
      </c>
      <c r="O26" s="752">
        <f t="shared" si="2"/>
        <v>0</v>
      </c>
      <c r="P26" s="752">
        <f t="shared" si="2"/>
        <v>0</v>
      </c>
      <c r="Q26" s="752">
        <f t="shared" si="2"/>
        <v>0</v>
      </c>
      <c r="R26" s="752">
        <f t="shared" si="2"/>
        <v>10983.785741252563</v>
      </c>
      <c r="S26" s="67"/>
    </row>
    <row r="27" spans="1:19" s="441" customFormat="1" ht="17.25" thickTop="1" thickBot="1">
      <c r="A27" s="642" t="s">
        <v>109</v>
      </c>
      <c r="B27" s="744"/>
      <c r="C27" s="643">
        <f ca="1">C22+C16+C26</f>
        <v>97117.879082778178</v>
      </c>
      <c r="D27" s="643">
        <f t="shared" ref="D27:R27" ca="1" si="3">D22+D16+D26</f>
        <v>0</v>
      </c>
      <c r="E27" s="643">
        <f t="shared" ca="1" si="3"/>
        <v>62163.23956029275</v>
      </c>
      <c r="F27" s="643">
        <f t="shared" si="3"/>
        <v>4630.1441744667136</v>
      </c>
      <c r="G27" s="643">
        <f t="shared" ca="1" si="3"/>
        <v>106992.18945654038</v>
      </c>
      <c r="H27" s="643">
        <f t="shared" si="3"/>
        <v>240336.35290100277</v>
      </c>
      <c r="I27" s="643">
        <f t="shared" si="3"/>
        <v>37510.198446571987</v>
      </c>
      <c r="J27" s="643">
        <f t="shared" si="3"/>
        <v>0</v>
      </c>
      <c r="K27" s="643">
        <f t="shared" si="3"/>
        <v>2283.0327492937636</v>
      </c>
      <c r="L27" s="643">
        <f t="shared" si="3"/>
        <v>0</v>
      </c>
      <c r="M27" s="643">
        <f t="shared" ca="1" si="3"/>
        <v>0</v>
      </c>
      <c r="N27" s="643">
        <f t="shared" si="3"/>
        <v>12079.57444960365</v>
      </c>
      <c r="O27" s="643">
        <f t="shared" ca="1" si="3"/>
        <v>11636.172537716286</v>
      </c>
      <c r="P27" s="643">
        <f t="shared" si="3"/>
        <v>75.040000000000006</v>
      </c>
      <c r="Q27" s="643">
        <f t="shared" si="3"/>
        <v>362.26666666666665</v>
      </c>
      <c r="R27" s="643">
        <f t="shared" ca="1" si="3"/>
        <v>575186.09002493322</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3674.3547739662117</v>
      </c>
      <c r="D40" s="635">
        <f ca="1">tertiair!C20</f>
        <v>0</v>
      </c>
      <c r="E40" s="635">
        <f ca="1">tertiair!D20</f>
        <v>2819.8927104386744</v>
      </c>
      <c r="F40" s="635">
        <f>tertiair!E20</f>
        <v>56.066553477257692</v>
      </c>
      <c r="G40" s="635">
        <f ca="1">tertiair!F20</f>
        <v>824.6826587638534</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7374.9966966459979</v>
      </c>
    </row>
    <row r="41" spans="1:18">
      <c r="A41" s="762" t="s">
        <v>214</v>
      </c>
      <c r="B41" s="769"/>
      <c r="C41" s="635">
        <f ca="1">huishoudens!B12</f>
        <v>9251.8618546381331</v>
      </c>
      <c r="D41" s="635">
        <f ca="1">huishoudens!C12</f>
        <v>0</v>
      </c>
      <c r="E41" s="635">
        <f>huishoudens!D12</f>
        <v>7647.0160577696033</v>
      </c>
      <c r="F41" s="635">
        <f>huishoudens!E12</f>
        <v>605.28156493815527</v>
      </c>
      <c r="G41" s="635">
        <f>huishoudens!F12</f>
        <v>24301.611233609616</v>
      </c>
      <c r="H41" s="635">
        <f>huishoudens!G12</f>
        <v>0</v>
      </c>
      <c r="I41" s="635">
        <f>huishoudens!H12</f>
        <v>0</v>
      </c>
      <c r="J41" s="635">
        <f>huishoudens!I12</f>
        <v>0</v>
      </c>
      <c r="K41" s="635">
        <f>huishoudens!J12</f>
        <v>725.51527486801615</v>
      </c>
      <c r="L41" s="635">
        <f>huishoudens!K12</f>
        <v>0</v>
      </c>
      <c r="M41" s="635">
        <f>huishoudens!L12</f>
        <v>0</v>
      </c>
      <c r="N41" s="635">
        <f>huishoudens!M12</f>
        <v>0</v>
      </c>
      <c r="O41" s="635">
        <f>huishoudens!N12</f>
        <v>0</v>
      </c>
      <c r="P41" s="635">
        <f>huishoudens!O12</f>
        <v>0</v>
      </c>
      <c r="Q41" s="710">
        <f>huishoudens!P12</f>
        <v>0</v>
      </c>
      <c r="R41" s="790">
        <f t="shared" ca="1" si="4"/>
        <v>42531.285985823524</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7054.874963333531</v>
      </c>
      <c r="D43" s="635">
        <f ca="1">industrie!C22</f>
        <v>0</v>
      </c>
      <c r="E43" s="635">
        <f>industrie!D22</f>
        <v>1452.7516867972479</v>
      </c>
      <c r="F43" s="635">
        <f>industrie!E22</f>
        <v>110.63912191894326</v>
      </c>
      <c r="G43" s="635">
        <f>industrie!F22</f>
        <v>2220.8394487907958</v>
      </c>
      <c r="H43" s="635">
        <f>industrie!G22</f>
        <v>0</v>
      </c>
      <c r="I43" s="635">
        <f>industrie!H22</f>
        <v>0</v>
      </c>
      <c r="J43" s="635">
        <f>industrie!I22</f>
        <v>0</v>
      </c>
      <c r="K43" s="635">
        <f>industrie!J22</f>
        <v>39.001651659563095</v>
      </c>
      <c r="L43" s="635">
        <f>industrie!K22</f>
        <v>0</v>
      </c>
      <c r="M43" s="635">
        <f>industrie!L22</f>
        <v>0</v>
      </c>
      <c r="N43" s="635">
        <f>industrie!M22</f>
        <v>0</v>
      </c>
      <c r="O43" s="635">
        <f>industrie!N22</f>
        <v>0</v>
      </c>
      <c r="P43" s="635">
        <f>industrie!O22</f>
        <v>0</v>
      </c>
      <c r="Q43" s="710">
        <f>industrie!P22</f>
        <v>0</v>
      </c>
      <c r="R43" s="789">
        <f t="shared" ca="1" si="4"/>
        <v>10878.106872500079</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19981.091591937875</v>
      </c>
      <c r="D46" s="668">
        <f t="shared" ref="D46:Q46" ca="1" si="5">SUM(D39:D45)</f>
        <v>0</v>
      </c>
      <c r="E46" s="668">
        <f t="shared" ca="1" si="5"/>
        <v>11919.660455005525</v>
      </c>
      <c r="F46" s="668">
        <f t="shared" si="5"/>
        <v>771.98724033435622</v>
      </c>
      <c r="G46" s="668">
        <f t="shared" ca="1" si="5"/>
        <v>27347.133341164266</v>
      </c>
      <c r="H46" s="668">
        <f t="shared" si="5"/>
        <v>0</v>
      </c>
      <c r="I46" s="668">
        <f t="shared" si="5"/>
        <v>0</v>
      </c>
      <c r="J46" s="668">
        <f t="shared" si="5"/>
        <v>0</v>
      </c>
      <c r="K46" s="668">
        <f t="shared" si="5"/>
        <v>764.51692652757924</v>
      </c>
      <c r="L46" s="668">
        <f t="shared" si="5"/>
        <v>0</v>
      </c>
      <c r="M46" s="668">
        <f t="shared" ca="1" si="5"/>
        <v>0</v>
      </c>
      <c r="N46" s="668">
        <f t="shared" si="5"/>
        <v>0</v>
      </c>
      <c r="O46" s="668">
        <f t="shared" ca="1" si="5"/>
        <v>0</v>
      </c>
      <c r="P46" s="668">
        <f t="shared" si="5"/>
        <v>0</v>
      </c>
      <c r="Q46" s="668">
        <f t="shared" si="5"/>
        <v>0</v>
      </c>
      <c r="R46" s="668">
        <f ca="1">SUM(R39:R45)</f>
        <v>60784.389554969603</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1.2181722111863089</v>
      </c>
      <c r="D49" s="635">
        <f ca="1">transport!C58</f>
        <v>0</v>
      </c>
      <c r="E49" s="635">
        <f>transport!D58</f>
        <v>0</v>
      </c>
      <c r="F49" s="635">
        <f>transport!E58</f>
        <v>0</v>
      </c>
      <c r="G49" s="635">
        <f>transport!F58</f>
        <v>0</v>
      </c>
      <c r="H49" s="635">
        <f>transport!G58</f>
        <v>331.84932656032441</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333.06749877151071</v>
      </c>
    </row>
    <row r="50" spans="1:18">
      <c r="A50" s="765" t="s">
        <v>296</v>
      </c>
      <c r="B50" s="775"/>
      <c r="C50" s="930">
        <f ca="1">transport!B18</f>
        <v>0.6825236742775812</v>
      </c>
      <c r="D50" s="930">
        <f>transport!C18</f>
        <v>0</v>
      </c>
      <c r="E50" s="930">
        <f>transport!D18</f>
        <v>2.1289202651455392</v>
      </c>
      <c r="F50" s="930">
        <f>transport!E18</f>
        <v>276.56149405445717</v>
      </c>
      <c r="G50" s="930">
        <f>transport!F18</f>
        <v>0</v>
      </c>
      <c r="H50" s="930">
        <f>transport!G18</f>
        <v>63837.956898007418</v>
      </c>
      <c r="I50" s="930">
        <f>transport!H18</f>
        <v>9340.039413196424</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73457.369249197727</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1.90069588546389</v>
      </c>
      <c r="D52" s="668">
        <f t="shared" ref="D52:Q52" ca="1" si="6">SUM(D48:D51)</f>
        <v>0</v>
      </c>
      <c r="E52" s="668">
        <f t="shared" si="6"/>
        <v>2.1289202651455392</v>
      </c>
      <c r="F52" s="668">
        <f t="shared" si="6"/>
        <v>276.56149405445717</v>
      </c>
      <c r="G52" s="668">
        <f t="shared" si="6"/>
        <v>0</v>
      </c>
      <c r="H52" s="668">
        <f t="shared" si="6"/>
        <v>64169.806224567743</v>
      </c>
      <c r="I52" s="668">
        <f t="shared" si="6"/>
        <v>9340.039413196424</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73790.436747969245</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259.24000823071259</v>
      </c>
      <c r="D54" s="930">
        <f ca="1">+landbouw!C12</f>
        <v>0</v>
      </c>
      <c r="E54" s="930">
        <f>+landbouw!D12</f>
        <v>278.49759998122391</v>
      </c>
      <c r="F54" s="930">
        <f>+landbouw!E12</f>
        <v>2.4939932151307205</v>
      </c>
      <c r="G54" s="930">
        <f>+landbouw!F12</f>
        <v>1219.7812437320201</v>
      </c>
      <c r="H54" s="930">
        <f>+landbouw!G12</f>
        <v>0</v>
      </c>
      <c r="I54" s="930">
        <f>+landbouw!H12</f>
        <v>0</v>
      </c>
      <c r="J54" s="930">
        <f>+landbouw!I12</f>
        <v>0</v>
      </c>
      <c r="K54" s="930">
        <f>+landbouw!J12</f>
        <v>43.676666722413032</v>
      </c>
      <c r="L54" s="930">
        <f>+landbouw!K12</f>
        <v>0</v>
      </c>
      <c r="M54" s="930">
        <f>+landbouw!L12</f>
        <v>0</v>
      </c>
      <c r="N54" s="930">
        <f>+landbouw!M12</f>
        <v>0</v>
      </c>
      <c r="O54" s="930">
        <f>+landbouw!N12</f>
        <v>0</v>
      </c>
      <c r="P54" s="930">
        <f>+landbouw!O12</f>
        <v>0</v>
      </c>
      <c r="Q54" s="931">
        <f>+landbouw!P12</f>
        <v>0</v>
      </c>
      <c r="R54" s="667">
        <f ca="1">SUM(C54:Q54)</f>
        <v>1803.6895118815003</v>
      </c>
    </row>
    <row r="55" spans="1:18" ht="15" thickBot="1">
      <c r="A55" s="765" t="s">
        <v>864</v>
      </c>
      <c r="B55" s="775"/>
      <c r="C55" s="930">
        <f ca="1">C25*'EF ele_warmte'!B12</f>
        <v>407.65826757407484</v>
      </c>
      <c r="D55" s="930"/>
      <c r="E55" s="930">
        <f>E25*EF_CO2_aardgas</f>
        <v>356.68741592724109</v>
      </c>
      <c r="F55" s="930"/>
      <c r="G55" s="930"/>
      <c r="H55" s="930"/>
      <c r="I55" s="930"/>
      <c r="J55" s="930"/>
      <c r="K55" s="930"/>
      <c r="L55" s="930"/>
      <c r="M55" s="930"/>
      <c r="N55" s="930"/>
      <c r="O55" s="930"/>
      <c r="P55" s="930"/>
      <c r="Q55" s="931"/>
      <c r="R55" s="667">
        <f ca="1">SUM(C55:Q55)</f>
        <v>764.34568350131599</v>
      </c>
    </row>
    <row r="56" spans="1:18" ht="15.75" thickBot="1">
      <c r="A56" s="763" t="s">
        <v>865</v>
      </c>
      <c r="B56" s="776"/>
      <c r="C56" s="668">
        <f ca="1">SUM(C54:C55)</f>
        <v>666.89827580478743</v>
      </c>
      <c r="D56" s="668">
        <f t="shared" ref="D56:Q56" ca="1" si="7">SUM(D54:D55)</f>
        <v>0</v>
      </c>
      <c r="E56" s="668">
        <f t="shared" si="7"/>
        <v>635.18501590846495</v>
      </c>
      <c r="F56" s="668">
        <f t="shared" si="7"/>
        <v>2.4939932151307205</v>
      </c>
      <c r="G56" s="668">
        <f t="shared" si="7"/>
        <v>1219.7812437320201</v>
      </c>
      <c r="H56" s="668">
        <f t="shared" si="7"/>
        <v>0</v>
      </c>
      <c r="I56" s="668">
        <f t="shared" si="7"/>
        <v>0</v>
      </c>
      <c r="J56" s="668">
        <f t="shared" si="7"/>
        <v>0</v>
      </c>
      <c r="K56" s="668">
        <f t="shared" si="7"/>
        <v>43.676666722413032</v>
      </c>
      <c r="L56" s="668">
        <f t="shared" si="7"/>
        <v>0</v>
      </c>
      <c r="M56" s="668">
        <f t="shared" si="7"/>
        <v>0</v>
      </c>
      <c r="N56" s="668">
        <f t="shared" si="7"/>
        <v>0</v>
      </c>
      <c r="O56" s="668">
        <f t="shared" si="7"/>
        <v>0</v>
      </c>
      <c r="P56" s="668">
        <f t="shared" si="7"/>
        <v>0</v>
      </c>
      <c r="Q56" s="669">
        <f t="shared" si="7"/>
        <v>0</v>
      </c>
      <c r="R56" s="670">
        <f ca="1">SUM(R54:R55)</f>
        <v>2568.0351953828163</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20649.890563628123</v>
      </c>
      <c r="D61" s="676">
        <f t="shared" ref="D61:Q61" ca="1" si="8">D46+D52+D56</f>
        <v>0</v>
      </c>
      <c r="E61" s="676">
        <f t="shared" ca="1" si="8"/>
        <v>12556.974391179136</v>
      </c>
      <c r="F61" s="676">
        <f t="shared" si="8"/>
        <v>1051.0427276039443</v>
      </c>
      <c r="G61" s="676">
        <f t="shared" ca="1" si="8"/>
        <v>28566.914584896287</v>
      </c>
      <c r="H61" s="676">
        <f t="shared" si="8"/>
        <v>64169.806224567743</v>
      </c>
      <c r="I61" s="676">
        <f t="shared" si="8"/>
        <v>9340.039413196424</v>
      </c>
      <c r="J61" s="676">
        <f t="shared" si="8"/>
        <v>0</v>
      </c>
      <c r="K61" s="676">
        <f t="shared" si="8"/>
        <v>808.19359324999232</v>
      </c>
      <c r="L61" s="676">
        <f t="shared" si="8"/>
        <v>0</v>
      </c>
      <c r="M61" s="676">
        <f t="shared" ca="1" si="8"/>
        <v>0</v>
      </c>
      <c r="N61" s="676">
        <f t="shared" si="8"/>
        <v>0</v>
      </c>
      <c r="O61" s="676">
        <f t="shared" ca="1" si="8"/>
        <v>0</v>
      </c>
      <c r="P61" s="676">
        <f t="shared" si="8"/>
        <v>0</v>
      </c>
      <c r="Q61" s="676">
        <f t="shared" si="8"/>
        <v>0</v>
      </c>
      <c r="R61" s="676">
        <f ca="1">R46+R52+R56</f>
        <v>137142.86149832167</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0.21262707504173606</v>
      </c>
      <c r="D63" s="720">
        <f t="shared" ca="1" si="9"/>
        <v>0</v>
      </c>
      <c r="E63" s="932">
        <f t="shared" ca="1" si="9"/>
        <v>0.20200000000000001</v>
      </c>
      <c r="F63" s="720">
        <f t="shared" si="9"/>
        <v>0.22700000000000006</v>
      </c>
      <c r="G63" s="720">
        <f t="shared" ca="1" si="9"/>
        <v>0.26700000000000007</v>
      </c>
      <c r="H63" s="720">
        <f t="shared" si="9"/>
        <v>0.26700000000000002</v>
      </c>
      <c r="I63" s="720">
        <f t="shared" si="9"/>
        <v>0.24899999999999997</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3679.4602428318949</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3679.4602428318949</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43512.15315745704</v>
      </c>
      <c r="C4" s="445">
        <f>huishoudens!C8</f>
        <v>0</v>
      </c>
      <c r="D4" s="445">
        <f>huishoudens!D8</f>
        <v>37856.515137473281</v>
      </c>
      <c r="E4" s="445">
        <f>huishoudens!E8</f>
        <v>2666.4386120623581</v>
      </c>
      <c r="F4" s="445">
        <f>huishoudens!F8</f>
        <v>91017.270537863718</v>
      </c>
      <c r="G4" s="445">
        <f>huishoudens!G8</f>
        <v>0</v>
      </c>
      <c r="H4" s="445">
        <f>huishoudens!H8</f>
        <v>0</v>
      </c>
      <c r="I4" s="445">
        <f>huishoudens!I8</f>
        <v>0</v>
      </c>
      <c r="J4" s="445">
        <f>huishoudens!J8</f>
        <v>2049.4781775932661</v>
      </c>
      <c r="K4" s="445">
        <f>huishoudens!K8</f>
        <v>0</v>
      </c>
      <c r="L4" s="445">
        <f>huishoudens!L8</f>
        <v>0</v>
      </c>
      <c r="M4" s="445">
        <f>huishoudens!M8</f>
        <v>0</v>
      </c>
      <c r="N4" s="445">
        <f>huishoudens!N8</f>
        <v>10545.723156497666</v>
      </c>
      <c r="O4" s="445">
        <f>huishoudens!O8</f>
        <v>71.913333333333341</v>
      </c>
      <c r="P4" s="446">
        <f>huishoudens!P8</f>
        <v>362.26666666666665</v>
      </c>
      <c r="Q4" s="447">
        <f>SUM(B4:P4)</f>
        <v>188081.75877894732</v>
      </c>
    </row>
    <row r="5" spans="1:17">
      <c r="A5" s="444" t="s">
        <v>149</v>
      </c>
      <c r="B5" s="445">
        <f ca="1">tertiair!B16</f>
        <v>15895.791398914182</v>
      </c>
      <c r="C5" s="445">
        <f ca="1">tertiair!C16</f>
        <v>0</v>
      </c>
      <c r="D5" s="445">
        <f ca="1">tertiair!D16</f>
        <v>13959.864903161753</v>
      </c>
      <c r="E5" s="445">
        <f>tertiair!E16</f>
        <v>246.98922236677396</v>
      </c>
      <c r="F5" s="445">
        <f ca="1">tertiair!F16</f>
        <v>3088.6990964938327</v>
      </c>
      <c r="G5" s="445">
        <f>tertiair!G16</f>
        <v>0</v>
      </c>
      <c r="H5" s="445">
        <f>tertiair!H16</f>
        <v>0</v>
      </c>
      <c r="I5" s="445">
        <f>tertiair!I16</f>
        <v>0</v>
      </c>
      <c r="J5" s="445">
        <f>tertiair!J16</f>
        <v>0</v>
      </c>
      <c r="K5" s="445">
        <f>tertiair!K16</f>
        <v>0</v>
      </c>
      <c r="L5" s="445">
        <f ca="1">tertiair!L16</f>
        <v>0</v>
      </c>
      <c r="M5" s="445">
        <f>tertiair!M16</f>
        <v>0</v>
      </c>
      <c r="N5" s="445">
        <f ca="1">tertiair!N16</f>
        <v>465.01453933258955</v>
      </c>
      <c r="O5" s="445">
        <f>tertiair!O16</f>
        <v>3.1266666666666669</v>
      </c>
      <c r="P5" s="446">
        <f>tertiair!P16</f>
        <v>0</v>
      </c>
      <c r="Q5" s="444">
        <f t="shared" ref="Q5:Q14" ca="1" si="0">SUM(B5:P5)</f>
        <v>33659.485826935794</v>
      </c>
    </row>
    <row r="6" spans="1:17">
      <c r="A6" s="444" t="s">
        <v>187</v>
      </c>
      <c r="B6" s="445">
        <f>'openbare verlichting'!B8</f>
        <v>1384.9559999999999</v>
      </c>
      <c r="C6" s="445"/>
      <c r="D6" s="445"/>
      <c r="E6" s="445"/>
      <c r="F6" s="445"/>
      <c r="G6" s="445"/>
      <c r="H6" s="445"/>
      <c r="I6" s="445"/>
      <c r="J6" s="445"/>
      <c r="K6" s="445"/>
      <c r="L6" s="445"/>
      <c r="M6" s="445"/>
      <c r="N6" s="445"/>
      <c r="O6" s="445"/>
      <c r="P6" s="446"/>
      <c r="Q6" s="444">
        <f t="shared" si="0"/>
        <v>1384.9559999999999</v>
      </c>
    </row>
    <row r="7" spans="1:17">
      <c r="A7" s="444" t="s">
        <v>105</v>
      </c>
      <c r="B7" s="445">
        <f>landbouw!B8</f>
        <v>1219.223883787269</v>
      </c>
      <c r="C7" s="445">
        <f>landbouw!C8</f>
        <v>0</v>
      </c>
      <c r="D7" s="445">
        <f>landbouw!D8</f>
        <v>1378.7009900060589</v>
      </c>
      <c r="E7" s="445">
        <f>landbouw!E8</f>
        <v>10.986754251677182</v>
      </c>
      <c r="F7" s="445">
        <f>landbouw!F8</f>
        <v>4568.4690776480156</v>
      </c>
      <c r="G7" s="445">
        <f>landbouw!G8</f>
        <v>0</v>
      </c>
      <c r="H7" s="445">
        <f>landbouw!H8</f>
        <v>0</v>
      </c>
      <c r="I7" s="445">
        <f>landbouw!I8</f>
        <v>0</v>
      </c>
      <c r="J7" s="445">
        <f>landbouw!J8</f>
        <v>123.38041447009331</v>
      </c>
      <c r="K7" s="445">
        <f>landbouw!K8</f>
        <v>0</v>
      </c>
      <c r="L7" s="445">
        <f>landbouw!L8</f>
        <v>0</v>
      </c>
      <c r="M7" s="445">
        <f>landbouw!M8</f>
        <v>0</v>
      </c>
      <c r="N7" s="445">
        <f>landbouw!N8</f>
        <v>0</v>
      </c>
      <c r="O7" s="445">
        <f>landbouw!O8</f>
        <v>0</v>
      </c>
      <c r="P7" s="446">
        <f>landbouw!P8</f>
        <v>0</v>
      </c>
      <c r="Q7" s="444">
        <f t="shared" si="0"/>
        <v>7300.7611201631134</v>
      </c>
    </row>
    <row r="8" spans="1:17">
      <c r="A8" s="444" t="s">
        <v>613</v>
      </c>
      <c r="B8" s="445">
        <f>industrie!B18</f>
        <v>33179.570202659961</v>
      </c>
      <c r="C8" s="445">
        <f>industrie!C18</f>
        <v>0</v>
      </c>
      <c r="D8" s="445">
        <f>industrie!D18</f>
        <v>7191.8400336497416</v>
      </c>
      <c r="E8" s="445">
        <f>industrie!E18</f>
        <v>487.3970128587809</v>
      </c>
      <c r="F8" s="445">
        <f>industrie!F18</f>
        <v>8317.7507445348147</v>
      </c>
      <c r="G8" s="445">
        <f>industrie!G18</f>
        <v>0</v>
      </c>
      <c r="H8" s="445">
        <f>industrie!H18</f>
        <v>0</v>
      </c>
      <c r="I8" s="445">
        <f>industrie!I18</f>
        <v>0</v>
      </c>
      <c r="J8" s="445">
        <f>industrie!J18</f>
        <v>110.17415723040423</v>
      </c>
      <c r="K8" s="445">
        <f>industrie!K18</f>
        <v>0</v>
      </c>
      <c r="L8" s="445">
        <f>industrie!L18</f>
        <v>0</v>
      </c>
      <c r="M8" s="445">
        <f>industrie!M18</f>
        <v>0</v>
      </c>
      <c r="N8" s="445">
        <f>industrie!N18</f>
        <v>625.43484188603043</v>
      </c>
      <c r="O8" s="445">
        <f>industrie!O18</f>
        <v>0</v>
      </c>
      <c r="P8" s="446">
        <f>industrie!P18</f>
        <v>0</v>
      </c>
      <c r="Q8" s="444">
        <f t="shared" si="0"/>
        <v>49912.166992819737</v>
      </c>
    </row>
    <row r="9" spans="1:17" s="450" customFormat="1">
      <c r="A9" s="448" t="s">
        <v>555</v>
      </c>
      <c r="B9" s="449">
        <f>transport!B14</f>
        <v>3.2099565595943513</v>
      </c>
      <c r="C9" s="449">
        <f>transport!C14</f>
        <v>0</v>
      </c>
      <c r="D9" s="449">
        <f>transport!D14</f>
        <v>10.539209233393757</v>
      </c>
      <c r="E9" s="449">
        <f>transport!E14</f>
        <v>1218.3325729271241</v>
      </c>
      <c r="F9" s="449">
        <f>transport!F14</f>
        <v>0</v>
      </c>
      <c r="G9" s="449">
        <f>transport!G14</f>
        <v>239093.47152811766</v>
      </c>
      <c r="H9" s="449">
        <f>transport!H14</f>
        <v>37510.198446571987</v>
      </c>
      <c r="I9" s="449">
        <f>transport!I14</f>
        <v>0</v>
      </c>
      <c r="J9" s="449">
        <f>transport!J14</f>
        <v>0</v>
      </c>
      <c r="K9" s="449">
        <f>transport!K14</f>
        <v>0</v>
      </c>
      <c r="L9" s="449">
        <f>transport!L14</f>
        <v>0</v>
      </c>
      <c r="M9" s="449">
        <f>transport!M14</f>
        <v>12026.359043433575</v>
      </c>
      <c r="N9" s="449">
        <f>transport!N14</f>
        <v>0</v>
      </c>
      <c r="O9" s="449">
        <f>transport!O14</f>
        <v>0</v>
      </c>
      <c r="P9" s="449">
        <f>transport!P14</f>
        <v>0</v>
      </c>
      <c r="Q9" s="448">
        <f>SUM(B9:P9)</f>
        <v>289862.11075684335</v>
      </c>
    </row>
    <row r="10" spans="1:17">
      <c r="A10" s="444" t="s">
        <v>545</v>
      </c>
      <c r="B10" s="445">
        <f>transport!B54</f>
        <v>5.7291490791903925</v>
      </c>
      <c r="C10" s="445">
        <f>transport!C54</f>
        <v>0</v>
      </c>
      <c r="D10" s="445">
        <f>transport!D54</f>
        <v>0</v>
      </c>
      <c r="E10" s="445">
        <f>transport!E54</f>
        <v>0</v>
      </c>
      <c r="F10" s="445">
        <f>transport!F54</f>
        <v>0</v>
      </c>
      <c r="G10" s="445">
        <f>transport!G54</f>
        <v>1242.8813728851101</v>
      </c>
      <c r="H10" s="445">
        <f>transport!H54</f>
        <v>0</v>
      </c>
      <c r="I10" s="445">
        <f>transport!I54</f>
        <v>0</v>
      </c>
      <c r="J10" s="445">
        <f>transport!J54</f>
        <v>0</v>
      </c>
      <c r="K10" s="445">
        <f>transport!K54</f>
        <v>0</v>
      </c>
      <c r="L10" s="445">
        <f>transport!L54</f>
        <v>0</v>
      </c>
      <c r="M10" s="445">
        <f>transport!M54</f>
        <v>53.215406170075227</v>
      </c>
      <c r="N10" s="445">
        <f>transport!N54</f>
        <v>0</v>
      </c>
      <c r="O10" s="445">
        <f>transport!O54</f>
        <v>0</v>
      </c>
      <c r="P10" s="446">
        <f>transport!P54</f>
        <v>0</v>
      </c>
      <c r="Q10" s="444">
        <f t="shared" si="0"/>
        <v>1301.8259281343758</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1917.2453343209302</v>
      </c>
      <c r="C14" s="452"/>
      <c r="D14" s="452">
        <f>'SEAP template'!E25</f>
        <v>1765.77928676852</v>
      </c>
      <c r="E14" s="452"/>
      <c r="F14" s="452"/>
      <c r="G14" s="452"/>
      <c r="H14" s="452"/>
      <c r="I14" s="452"/>
      <c r="J14" s="452"/>
      <c r="K14" s="452"/>
      <c r="L14" s="452"/>
      <c r="M14" s="452"/>
      <c r="N14" s="452"/>
      <c r="O14" s="452"/>
      <c r="P14" s="453"/>
      <c r="Q14" s="444">
        <f t="shared" si="0"/>
        <v>3683.0246210894502</v>
      </c>
    </row>
    <row r="15" spans="1:17" s="457" customFormat="1">
      <c r="A15" s="454" t="s">
        <v>549</v>
      </c>
      <c r="B15" s="455">
        <f ca="1">SUM(B4:B14)</f>
        <v>97117.879082778178</v>
      </c>
      <c r="C15" s="455">
        <f t="shared" ref="C15:Q15" ca="1" si="1">SUM(C4:C14)</f>
        <v>0</v>
      </c>
      <c r="D15" s="455">
        <f t="shared" ca="1" si="1"/>
        <v>62163.23956029275</v>
      </c>
      <c r="E15" s="455">
        <f t="shared" si="1"/>
        <v>4630.1441744667136</v>
      </c>
      <c r="F15" s="455">
        <f t="shared" ca="1" si="1"/>
        <v>106992.18945654038</v>
      </c>
      <c r="G15" s="455">
        <f t="shared" si="1"/>
        <v>240336.35290100277</v>
      </c>
      <c r="H15" s="455">
        <f t="shared" si="1"/>
        <v>37510.198446571987</v>
      </c>
      <c r="I15" s="455">
        <f t="shared" si="1"/>
        <v>0</v>
      </c>
      <c r="J15" s="455">
        <f t="shared" si="1"/>
        <v>2283.0327492937636</v>
      </c>
      <c r="K15" s="455">
        <f t="shared" si="1"/>
        <v>0</v>
      </c>
      <c r="L15" s="455">
        <f t="shared" ca="1" si="1"/>
        <v>0</v>
      </c>
      <c r="M15" s="455">
        <f t="shared" si="1"/>
        <v>12079.57444960365</v>
      </c>
      <c r="N15" s="455">
        <f t="shared" ca="1" si="1"/>
        <v>11636.172537716286</v>
      </c>
      <c r="O15" s="455">
        <f t="shared" si="1"/>
        <v>75.040000000000006</v>
      </c>
      <c r="P15" s="455">
        <f t="shared" si="1"/>
        <v>362.26666666666665</v>
      </c>
      <c r="Q15" s="455">
        <f t="shared" ca="1" si="1"/>
        <v>575186.09002493322</v>
      </c>
    </row>
    <row r="17" spans="1:17">
      <c r="A17" s="458" t="s">
        <v>550</v>
      </c>
      <c r="B17" s="725">
        <f ca="1">huishoudens!B10</f>
        <v>0.21262707504173611</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9251.8618546381331</v>
      </c>
      <c r="C22" s="445">
        <f t="shared" ref="C22:C32" ca="1" si="3">C4*$C$17</f>
        <v>0</v>
      </c>
      <c r="D22" s="445">
        <f t="shared" ref="D22:D32" si="4">D4*$D$17</f>
        <v>7647.0160577696033</v>
      </c>
      <c r="E22" s="445">
        <f t="shared" ref="E22:E32" si="5">E4*$E$17</f>
        <v>605.28156493815527</v>
      </c>
      <c r="F22" s="445">
        <f t="shared" ref="F22:F32" si="6">F4*$F$17</f>
        <v>24301.611233609616</v>
      </c>
      <c r="G22" s="445">
        <f t="shared" ref="G22:G32" si="7">G4*$G$17</f>
        <v>0</v>
      </c>
      <c r="H22" s="445">
        <f t="shared" ref="H22:H32" si="8">H4*$H$17</f>
        <v>0</v>
      </c>
      <c r="I22" s="445">
        <f t="shared" ref="I22:I32" si="9">I4*$I$17</f>
        <v>0</v>
      </c>
      <c r="J22" s="445">
        <f t="shared" ref="J22:J32" si="10">J4*$J$17</f>
        <v>725.51527486801615</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42531.285985823524</v>
      </c>
    </row>
    <row r="23" spans="1:17">
      <c r="A23" s="444" t="s">
        <v>149</v>
      </c>
      <c r="B23" s="445">
        <f t="shared" ca="1" si="2"/>
        <v>3379.8756306247092</v>
      </c>
      <c r="C23" s="445">
        <f t="shared" ca="1" si="3"/>
        <v>0</v>
      </c>
      <c r="D23" s="445">
        <f t="shared" ca="1" si="4"/>
        <v>2819.8927104386744</v>
      </c>
      <c r="E23" s="445">
        <f t="shared" si="5"/>
        <v>56.066553477257692</v>
      </c>
      <c r="F23" s="445">
        <f t="shared" ca="1" si="6"/>
        <v>824.6826587638534</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7080.5175533044949</v>
      </c>
    </row>
    <row r="24" spans="1:17">
      <c r="A24" s="444" t="s">
        <v>187</v>
      </c>
      <c r="B24" s="445">
        <f t="shared" ca="1" si="2"/>
        <v>294.47914334150266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294.47914334150266</v>
      </c>
    </row>
    <row r="25" spans="1:17">
      <c r="A25" s="444" t="s">
        <v>105</v>
      </c>
      <c r="B25" s="445">
        <f t="shared" ca="1" si="2"/>
        <v>259.24000823071259</v>
      </c>
      <c r="C25" s="445">
        <f t="shared" ca="1" si="3"/>
        <v>0</v>
      </c>
      <c r="D25" s="445">
        <f t="shared" si="4"/>
        <v>278.49759998122391</v>
      </c>
      <c r="E25" s="445">
        <f t="shared" si="5"/>
        <v>2.4939932151307205</v>
      </c>
      <c r="F25" s="445">
        <f t="shared" si="6"/>
        <v>1219.7812437320201</v>
      </c>
      <c r="G25" s="445">
        <f t="shared" si="7"/>
        <v>0</v>
      </c>
      <c r="H25" s="445">
        <f t="shared" si="8"/>
        <v>0</v>
      </c>
      <c r="I25" s="445">
        <f t="shared" si="9"/>
        <v>0</v>
      </c>
      <c r="J25" s="445">
        <f t="shared" si="10"/>
        <v>43.676666722413032</v>
      </c>
      <c r="K25" s="445">
        <f t="shared" si="11"/>
        <v>0</v>
      </c>
      <c r="L25" s="445">
        <f t="shared" si="12"/>
        <v>0</v>
      </c>
      <c r="M25" s="445">
        <f t="shared" si="13"/>
        <v>0</v>
      </c>
      <c r="N25" s="445">
        <f t="shared" si="14"/>
        <v>0</v>
      </c>
      <c r="O25" s="445">
        <f t="shared" si="15"/>
        <v>0</v>
      </c>
      <c r="P25" s="446">
        <f t="shared" si="16"/>
        <v>0</v>
      </c>
      <c r="Q25" s="444">
        <f t="shared" ca="1" si="17"/>
        <v>1803.6895118815003</v>
      </c>
    </row>
    <row r="26" spans="1:17">
      <c r="A26" s="444" t="s">
        <v>613</v>
      </c>
      <c r="B26" s="445">
        <f t="shared" ca="1" si="2"/>
        <v>7054.874963333531</v>
      </c>
      <c r="C26" s="445">
        <f t="shared" ca="1" si="3"/>
        <v>0</v>
      </c>
      <c r="D26" s="445">
        <f t="shared" si="4"/>
        <v>1452.7516867972479</v>
      </c>
      <c r="E26" s="445">
        <f t="shared" si="5"/>
        <v>110.63912191894326</v>
      </c>
      <c r="F26" s="445">
        <f t="shared" si="6"/>
        <v>2220.8394487907958</v>
      </c>
      <c r="G26" s="445">
        <f t="shared" si="7"/>
        <v>0</v>
      </c>
      <c r="H26" s="445">
        <f t="shared" si="8"/>
        <v>0</v>
      </c>
      <c r="I26" s="445">
        <f t="shared" si="9"/>
        <v>0</v>
      </c>
      <c r="J26" s="445">
        <f t="shared" si="10"/>
        <v>39.001651659563095</v>
      </c>
      <c r="K26" s="445">
        <f t="shared" si="11"/>
        <v>0</v>
      </c>
      <c r="L26" s="445">
        <f t="shared" si="12"/>
        <v>0</v>
      </c>
      <c r="M26" s="445">
        <f t="shared" si="13"/>
        <v>0</v>
      </c>
      <c r="N26" s="445">
        <f t="shared" si="14"/>
        <v>0</v>
      </c>
      <c r="O26" s="445">
        <f t="shared" si="15"/>
        <v>0</v>
      </c>
      <c r="P26" s="446">
        <f t="shared" si="16"/>
        <v>0</v>
      </c>
      <c r="Q26" s="444">
        <f t="shared" ca="1" si="17"/>
        <v>10878.106872500079</v>
      </c>
    </row>
    <row r="27" spans="1:17" s="450" customFormat="1">
      <c r="A27" s="448" t="s">
        <v>555</v>
      </c>
      <c r="B27" s="719">
        <f t="shared" ca="1" si="2"/>
        <v>0.6825236742775812</v>
      </c>
      <c r="C27" s="449">
        <f t="shared" ca="1" si="3"/>
        <v>0</v>
      </c>
      <c r="D27" s="449">
        <f t="shared" si="4"/>
        <v>2.1289202651455392</v>
      </c>
      <c r="E27" s="449">
        <f t="shared" si="5"/>
        <v>276.56149405445717</v>
      </c>
      <c r="F27" s="449">
        <f t="shared" si="6"/>
        <v>0</v>
      </c>
      <c r="G27" s="449">
        <f t="shared" si="7"/>
        <v>63837.956898007418</v>
      </c>
      <c r="H27" s="449">
        <f t="shared" si="8"/>
        <v>9340.039413196424</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73457.369249197727</v>
      </c>
    </row>
    <row r="28" spans="1:17">
      <c r="A28" s="444" t="s">
        <v>545</v>
      </c>
      <c r="B28" s="445">
        <f t="shared" ca="1" si="2"/>
        <v>1.2181722111863089</v>
      </c>
      <c r="C28" s="445">
        <f t="shared" ca="1" si="3"/>
        <v>0</v>
      </c>
      <c r="D28" s="445">
        <f t="shared" si="4"/>
        <v>0</v>
      </c>
      <c r="E28" s="445">
        <f t="shared" si="5"/>
        <v>0</v>
      </c>
      <c r="F28" s="445">
        <f t="shared" si="6"/>
        <v>0</v>
      </c>
      <c r="G28" s="445">
        <f t="shared" si="7"/>
        <v>331.84932656032441</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333.06749877151071</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407.65826757407484</v>
      </c>
      <c r="C32" s="445">
        <f t="shared" ca="1" si="3"/>
        <v>0</v>
      </c>
      <c r="D32" s="445">
        <f t="shared" si="4"/>
        <v>356.68741592724109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764.34568350131599</v>
      </c>
    </row>
    <row r="33" spans="1:17" s="457" customFormat="1">
      <c r="A33" s="454" t="s">
        <v>549</v>
      </c>
      <c r="B33" s="455">
        <f ca="1">SUM(B22:B32)</f>
        <v>20649.890563628127</v>
      </c>
      <c r="C33" s="455">
        <f t="shared" ref="C33:Q33" ca="1" si="19">SUM(C22:C32)</f>
        <v>0</v>
      </c>
      <c r="D33" s="455">
        <f t="shared" ca="1" si="19"/>
        <v>12556.974391179136</v>
      </c>
      <c r="E33" s="455">
        <f t="shared" si="19"/>
        <v>1051.0427276039441</v>
      </c>
      <c r="F33" s="455">
        <f t="shared" ca="1" si="19"/>
        <v>28566.914584896287</v>
      </c>
      <c r="G33" s="455">
        <f t="shared" si="19"/>
        <v>64169.806224567743</v>
      </c>
      <c r="H33" s="455">
        <f t="shared" si="19"/>
        <v>9340.039413196424</v>
      </c>
      <c r="I33" s="455">
        <f t="shared" si="19"/>
        <v>0</v>
      </c>
      <c r="J33" s="455">
        <f t="shared" si="19"/>
        <v>808.19359324999232</v>
      </c>
      <c r="K33" s="455">
        <f t="shared" si="19"/>
        <v>0</v>
      </c>
      <c r="L33" s="455">
        <f t="shared" ca="1" si="19"/>
        <v>0</v>
      </c>
      <c r="M33" s="455">
        <f t="shared" si="19"/>
        <v>0</v>
      </c>
      <c r="N33" s="455">
        <f t="shared" ca="1" si="19"/>
        <v>0</v>
      </c>
      <c r="O33" s="455">
        <f t="shared" si="19"/>
        <v>0</v>
      </c>
      <c r="P33" s="455">
        <f t="shared" si="19"/>
        <v>0</v>
      </c>
      <c r="Q33" s="455">
        <f t="shared" ca="1" si="19"/>
        <v>137142.86149832164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3679.4602428318949</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3679.4602428318949</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0.21262707504173611</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0.21262707504173611</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2022-07-26T13:00:28Z</dcterms:modified>
</cp:coreProperties>
</file>