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48EBE60-3BA9-4FAB-ABC8-9C78A8ED4C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D20" i="18"/>
  <c r="G12" i="18"/>
  <c r="F12" i="18"/>
  <c r="E12" i="18"/>
  <c r="D12" i="18"/>
  <c r="C12" i="18"/>
  <c r="L10" i="18"/>
  <c r="K10" i="18"/>
  <c r="G10" i="18"/>
  <c r="D10" i="18"/>
  <c r="B6" i="18"/>
  <c r="B5" i="18"/>
  <c r="B4" i="18"/>
  <c r="G20" i="18"/>
  <c r="K20" i="18"/>
  <c r="B46" i="18"/>
  <c r="I50" i="18"/>
  <c r="H17" i="18"/>
  <c r="J9" i="18"/>
  <c r="O9" i="18"/>
  <c r="B17" i="18"/>
  <c r="B20" i="18"/>
  <c r="C46" i="18"/>
  <c r="H49" i="18"/>
  <c r="O19" i="18"/>
  <c r="O18" i="18"/>
  <c r="L20" i="18"/>
  <c r="B10" i="18"/>
  <c r="D50"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0" i="18"/>
  <c r="C17" i="18"/>
  <c r="D87" i="14"/>
  <c r="D17" i="55"/>
  <c r="D20" i="55"/>
  <c r="L20" i="55"/>
  <c r="F50" i="18"/>
  <c r="G50" i="18"/>
  <c r="I17" i="18"/>
  <c r="J77" i="14"/>
  <c r="J9" i="55"/>
  <c r="H50" i="18"/>
  <c r="H20" i="18"/>
  <c r="M87" i="14"/>
  <c r="M17" i="55"/>
  <c r="M20" i="55"/>
  <c r="C50" i="18"/>
  <c r="E50" i="18"/>
  <c r="E17" i="18"/>
  <c r="K10" i="55"/>
  <c r="C49" i="18"/>
  <c r="E49" i="18"/>
  <c r="E8" i="18"/>
  <c r="G49" i="18"/>
  <c r="I49" i="18"/>
  <c r="H8" i="18"/>
  <c r="B49" i="18"/>
  <c r="C8" i="18"/>
  <c r="D76" i="14"/>
  <c r="D8" i="55"/>
  <c r="D10" i="55"/>
  <c r="D49" i="18"/>
  <c r="F49"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<sst xmlns="http://schemas.openxmlformats.org/spreadsheetml/2006/main" count="2523" uniqueCount="965">
  <si>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</si>
  <si>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</si>
  <si>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</si>
  <si>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</si>
  <si>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</si>
  <si>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</si>
  <si>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</si>
  <si>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</si>
  <si>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</si>
  <si>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</si>
  <si>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</si>
  <si>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</si>
  <si>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</si>
  <si>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</si>
  <si>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</si>
  <si>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</si>
  <si>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</si>
  <si>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</si>
  <si>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</si>
  <si>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</si>
  <si>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</si>
  <si>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</si>
  <si>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</si>
  <si>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</si>
  <si>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</si>
  <si>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</si>
  <si>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</si>
  <si>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</si>
  <si>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</si>
  <si>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</si>
  <si>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</si>
  <si>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</si>
  <si>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</si>
  <si>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</si>
  <si>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</si>
  <si>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</si>
  <si>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</si>
  <si>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</si>
  <si>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</si>
  <si>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</si>
  <si>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</si>
  <si>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</si>
  <si>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</si>
  <si>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</si>
  <si>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</si>
  <si>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</si>
  <si>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</si>
  <si>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</si>
  <si>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</si>
  <si>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</si>
  <si>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</si>
  <si>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</si>
  <si>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</si>
  <si>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</si>
  <si>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</si>
  <si>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</si>
  <si>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</si>
  <si>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</si>
  <si>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</si>
  <si>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</si>
  <si>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</si>
  <si>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</si>
  <si>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</si>
  <si>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</si>
  <si>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</si>
  <si>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</si>
  <si>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</si>
  <si>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</si>
  <si>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</si>
  <si>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</si>
  <si>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</si>
  <si>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</si>
  <si>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</si>
  <si>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</si>
  <si>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</si>
  <si>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</si>
  <si>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</si>
  <si>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</si>
  <si>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</si>
  <si>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</si>
  <si>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</si>
  <si>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</si>
  <si>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</si>
  <si>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</si>
  <si>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</si>
  <si>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</si>
  <si>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</si>
  <si>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</si>
  <si>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</si>
  <si>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</si>
  <si>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</si>
  <si>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</si>
  <si>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</si>
  <si>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</si>
  <si>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</si>
  <si>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</si>
  <si>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</si>
  <si>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</si>
  <si>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</si>
  <si>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</si>
  <si>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</si>
  <si>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</si>
  <si>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</si>
  <si>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</si>
  <si>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</si>
  <si>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</si>
  <si>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</si>
  <si>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</si>
  <si>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</si>
  <si>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</si>
  <si>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</si>
  <si>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</si>
  <si>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</si>
  <si>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</si>
  <si>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</si>
  <si>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</si>
  <si>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</si>
  <si>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</si>
  <si>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</si>
  <si>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</si>
  <si>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</si>
  <si>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</si>
  <si>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</si>
  <si>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</si>
  <si>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</si>
  <si>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</si>
  <si>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</si>
  <si>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</si>
  <si>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</si>
  <si>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</si>
  <si>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</si>
  <si>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</si>
  <si>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</si>
  <si>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</si>
  <si>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</si>
  <si>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</si>
  <si>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</si>
  <si>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</si>
  <si>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</si>
  <si>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</si>
  <si>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</si>
  <si>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</si>
  <si>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</si>
  <si>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</si>
  <si>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</si>
  <si>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</si>
  <si>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</si>
  <si>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</si>
  <si>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</si>
  <si>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</si>
  <si>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</si>
  <si>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</si>
  <si>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</si>
  <si>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</si>
  <si>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</si>
  <si>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</si>
  <si>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</si>
  <si>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</si>
  <si>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</si>
  <si>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</si>
  <si>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</si>
  <si>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</si>
  <si>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</si>
  <si>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</si>
  <si>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</si>
  <si>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</si>
  <si>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</si>
  <si>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</si>
  <si>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</si>
  <si>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</si>
  <si>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</si>
  <si>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</si>
  <si>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</si>
  <si>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</si>
  <si>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</si>
  <si>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</si>
  <si>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</si>
  <si>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</si>
  <si>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</si>
  <si>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</si>
  <si>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</si>
  <si>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</si>
  <si>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</si>
  <si>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</si>
  <si>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</si>
  <si>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</si>
  <si>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</si>
  <si>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</si>
  <si>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</si>
  <si>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</si>
  <si>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</si>
  <si>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</si>
  <si>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</si>
  <si>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</si>
  <si>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</si>
  <si>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</si>
  <si>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</si>
  <si>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</si>
  <si>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</si>
  <si>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</si>
  <si>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</si>
  <si>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</si>
  <si>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</si>
  <si>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</si>
  <si>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</si>
  <si>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</si>
  <si>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</si>
  <si>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</si>
  <si>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</si>
  <si>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</si>
  <si>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</si>
  <si>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</si>
  <si>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</si>
  <si>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</si>
  <si>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</si>
  <si>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</si>
  <si>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</si>
  <si>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</si>
  <si>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</si>
  <si>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</si>
  <si>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</si>
  <si>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</si>
  <si>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</si>
  <si>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</si>
  <si>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</si>
  <si>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</si>
  <si>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</si>
  <si>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</si>
  <si>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</si>
  <si>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</si>
  <si>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</si>
  <si>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</si>
  <si>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</si>
  <si>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</si>
  <si>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</si>
  <si>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</si>
  <si>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</si>
  <si>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</si>
  <si>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</si>
  <si>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</si>
  <si>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</si>
  <si>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</si>
  <si>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</si>
  <si>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</si>
  <si>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</si>
  <si>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</si>
  <si>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</si>
  <si>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</si>
  <si>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</si>
  <si>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</si>
  <si>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</si>
  <si>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</si>
  <si>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</si>
  <si>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</si>
  <si>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</si>
  <si>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</si>
  <si>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</si>
  <si>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</si>
  <si>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</si>
  <si>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</si>
  <si>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</si>
  <si>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</si>
  <si>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</si>
  <si>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</si>
  <si>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</si>
  <si>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</si>
  <si>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</si>
  <si>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</si>
  <si>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</si>
  <si>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</si>
  <si>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</si>
  <si>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</si>
  <si>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</si>
  <si>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</si>
  <si>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</si>
  <si>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</si>
  <si>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</si>
  <si>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</si>
  <si>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</si>
  <si>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</si>
  <si>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</si>
  <si>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</si>
  <si>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</si>
  <si>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</si>
  <si>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</si>
  <si>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</si>
  <si>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</si>
  <si>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</si>
  <si>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</si>
  <si>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</si>
  <si>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</si>
  <si>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</si>
  <si>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</si>
  <si>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</si>
  <si>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</si>
  <si>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</si>
  <si>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</si>
  <si>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</si>
  <si>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</si>
  <si>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</si>
  <si>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</si>
  <si>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</si>
  <si>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</si>
  <si>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</si>
  <si>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</si>
  <si>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</si>
  <si>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</si>
  <si>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</si>
  <si>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</si>
  <si>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</si>
  <si>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</si>
  <si>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</si>
  <si>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</si>
  <si>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</si>
  <si>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</si>
  <si>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</si>
  <si>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</si>
  <si>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</si>
  <si>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</si>
  <si>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</si>
  <si>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</si>
  <si>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</si>
  <si>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</si>
  <si>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</si>
  <si>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</si>
  <si>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</si>
  <si>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</si>
  <si>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</si>
  <si>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</si>
  <si>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</si>
  <si>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</si>
  <si>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</si>
  <si>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</si>
  <si>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</si>
  <si>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</si>
  <si>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</si>
  <si>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</si>
  <si>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</si>
  <si>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</si>
  <si>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</si>
  <si>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</si>
  <si>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</si>
  <si>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</si>
  <si>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</si>
  <si>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</si>
  <si>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</si>
  <si>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</si>
  <si>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</si>
  <si>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</si>
  <si>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</si>
  <si>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</si>
  <si>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</si>
  <si>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</si>
  <si>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</si>
  <si>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</si>
  <si>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</si>
  <si>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</si>
  <si>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</si>
  <si>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</si>
  <si>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</si>
  <si>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</si>
  <si>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</si>
  <si>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</si>
  <si>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</si>
  <si>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</si>
  <si>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</si>
  <si>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</si>
  <si>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</si>
  <si>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</si>
  <si>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</si>
  <si>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</si>
  <si>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</si>
  <si>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</si>
  <si>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</si>
  <si>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</si>
  <si>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</si>
  <si>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</si>
  <si>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</si>
  <si>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</si>
  <si>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</si>
  <si>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</si>
  <si>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</si>
  <si>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</si>
  <si>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</si>
  <si>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</si>
  <si>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</si>
  <si>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</si>
  <si>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</si>
  <si>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</si>
  <si>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</si>
  <si>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</si>
  <si>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</si>
  <si>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</si>
  <si>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</si>
  <si>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</si>
  <si>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</si>
  <si>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</si>
  <si>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</si>
  <si>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</si>
  <si>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</si>
  <si>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</si>
  <si>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</si>
  <si>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</si>
  <si>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</si>
  <si>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</si>
  <si>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</si>
  <si>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</si>
  <si>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</si>
  <si>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</si>
  <si>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</si>
  <si>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</si>
  <si>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</si>
  <si>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</si>
  <si>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</si>
  <si>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</si>
  <si>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</si>
  <si>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</si>
  <si>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</si>
  <si>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</si>
  <si>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</si>
  <si>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</si>
  <si>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</si>
  <si>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</si>
  <si>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</si>
  <si>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</si>
  <si>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</si>
  <si>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</si>
  <si>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</si>
  <si>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</si>
  <si>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</si>
  <si>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</si>
  <si>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</si>
  <si>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</si>
  <si>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</si>
  <si>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</si>
  <si>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</si>
  <si>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</si>
  <si>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</si>
  <si>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</si>
  <si>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</si>
  <si>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</si>
  <si>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</si>
  <si>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</si>
  <si>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</si>
  <si>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</si>
  <si>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</si>
  <si>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</si>
  <si>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</si>
  <si>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</si>
  <si>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</si>
  <si>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</si>
  <si>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</si>
  <si>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</si>
  <si>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</si>
  <si>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</si>
  <si>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</si>
  <si>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</si>
  <si>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</si>
  <si>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</si>
  <si>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</si>
  <si>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</si>
  <si>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</si>
  <si>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</si>
  <si>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</si>
  <si>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</si>
  <si>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</si>
  <si>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</si>
  <si>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</si>
  <si>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</si>
  <si>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</si>
  <si>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</si>
  <si>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</si>
  <si>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</si>
  <si>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</si>
  <si>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</si>
  <si>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</si>
  <si>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</si>
  <si>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</si>
  <si>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</si>
  <si>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</si>
  <si>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</si>
  <si>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</si>
  <si>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</si>
  <si>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</si>
  <si>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</si>
  <si>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</si>
  <si>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</si>
  <si>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</si>
  <si>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</si>
  <si>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</si>
  <si>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</si>
  <si>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</si>
  <si>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</si>
  <si>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</si>
  <si>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</si>
  <si>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</si>
  <si>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</si>
  <si>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</si>
  <si>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</si>
  <si>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</si>
  <si>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</si>
  <si>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</si>
  <si>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</si>
  <si>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</si>
  <si>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</si>
  <si>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</si>
  <si>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</si>
  <si>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</si>
  <si>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</si>
  <si>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</si>
  <si>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</si>
  <si>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</si>
  <si>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</si>
  <si>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</si>
  <si>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</si>
  <si>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</si>
  <si>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</si>
  <si>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</si>
  <si>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</si>
  <si>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</si>
  <si>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</si>
  <si>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</si>
  <si>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</si>
  <si>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</si>
  <si>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</si>
  <si>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</si>
  <si>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</si>
  <si>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</si>
  <si>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</si>
  <si>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</si>
  <si>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</si>
  <si>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</si>
  <si>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</si>
  <si>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</si>
  <si>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</si>
  <si>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</si>
  <si>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</si>
  <si>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</si>
  <si>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</si>
  <si>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</si>
  <si>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</si>
  <si>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</si>
  <si>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</si>
  <si>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</si>
  <si>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</si>
  <si>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</si>
  <si>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</si>
  <si>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</si>
  <si>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</si>
  <si>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</si>
  <si>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</si>
  <si>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</si>
  <si>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</si>
  <si>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</si>
  <si>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</si>
  <si>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</si>
  <si>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</si>
  <si>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</si>
  <si>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</si>
  <si>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</si>
  <si>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</si>
  <si>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</si>
  <si>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</si>
  <si>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</si>
  <si>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</si>
  <si>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</si>
  <si>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</si>
  <si>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</si>
  <si>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</si>
  <si>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</si>
  <si>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</si>
  <si>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</si>
  <si>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</si>
  <si>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</si>
  <si>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</si>
  <si>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</si>
  <si>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</si>
  <si>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</si>
  <si>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</si>
  <si>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</si>
  <si>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</si>
  <si>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</si>
  <si>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</si>
  <si>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</si>
  <si>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</si>
  <si>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</si>
  <si>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</si>
  <si>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</si>
  <si>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</si>
  <si>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</si>
  <si>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</si>
  <si>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</si>
  <si>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</si>
  <si>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</si>
  <si>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</si>
  <si>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</si>
  <si>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</si>
  <si>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</si>
  <si>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</si>
  <si>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</si>
  <si>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</si>
  <si>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</si>
  <si>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</si>
  <si>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</si>
  <si>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</si>
  <si>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</si>
  <si>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</si>
  <si>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</si>
  <si>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</si>
  <si>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</si>
  <si>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</si>
  <si>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</si>
  <si>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</si>
  <si>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</si>
  <si>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</si>
  <si>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</si>
  <si>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</si>
  <si>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</si>
  <si>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</si>
  <si>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</si>
  <si>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</si>
  <si>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</si>
  <si>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</si>
  <si>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</si>
  <si>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</si>
  <si>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</si>
  <si>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</si>
  <si>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</si>
  <si>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</si>
  <si>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</si>
  <si>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</si>
  <si>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</si>
  <si>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</si>
  <si>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</si>
  <si>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</si>
  <si>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</si>
  <si>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</si>
  <si>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</si>
  <si>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</si>
  <si>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</si>
  <si>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</si>
  <si>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</si>
  <si>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</si>
  <si>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</si>
  <si>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</si>
  <si>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</si>
  <si>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</si>
  <si>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</si>
  <si>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</si>
  <si>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</si>
  <si>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</si>
  <si>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</si>
  <si>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</si>
  <si>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</si>
  <si>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</si>
  <si>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</si>
  <si>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</si>
  <si>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</si>
  <si>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</si>
  <si>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</si>
  <si>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</si>
  <si>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</si>
  <si>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</si>
  <si>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</si>
  <si>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</si>
  <si>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</si>
  <si>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</si>
  <si>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</si>
  <si>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</si>
  <si>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</si>
  <si>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</si>
  <si>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</si>
  <si>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</si>
  <si>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</si>
  <si>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</si>
  <si>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</si>
  <si>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</si>
  <si>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</si>
  <si>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</si>
  <si>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</si>
  <si>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</si>
  <si>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</si>
  <si>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</si>
  <si>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</si>
  <si>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</si>
  <si>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</si>
  <si>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</si>
  <si>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</si>
  <si>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</si>
  <si>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</si>
  <si>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</si>
  <si>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</si>
  <si>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</si>
  <si>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</si>
  <si>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</si>
  <si>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</si>
  <si>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</si>
  <si>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</si>
  <si>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</si>
  <si>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</si>
  <si>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</si>
  <si>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</si>
  <si>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</si>
  <si>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</si>
  <si>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</si>
  <si>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</si>
  <si>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</si>
  <si>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</si>
  <si>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</si>
  <si>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</si>
  <si>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</si>
  <si>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</si>
  <si>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</si>
  <si>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</si>
  <si>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</si>
  <si>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</si>
  <si>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</si>
  <si>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</si>
  <si>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</si>
  <si>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</si>
  <si>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</si>
  <si>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</si>
  <si>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</si>
  <si>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</si>
  <si>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</si>
  <si>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</si>
  <si>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</si>
  <si>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</si>
  <si>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</si>
  <si>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</si>
  <si>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</si>
  <si>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</si>
  <si>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</si>
  <si>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</si>
  <si>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</si>
  <si>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</si>
  <si>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</si>
  <si>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</si>
  <si>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</si>
  <si>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</si>
  <si>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</si>
  <si>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</si>
  <si>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</si>
  <si>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</si>
  <si>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</si>
  <si>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</si>
  <si>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</si>
  <si>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</si>
  <si>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</si>
  <si>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</si>
  <si>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</si>
  <si>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</si>
  <si>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</si>
  <si>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</si>
  <si>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</si>
  <si>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</si>
  <si>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</si>
  <si>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</si>
  <si>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</si>
  <si>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</si>
  <si>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</si>
  <si>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</si>
  <si>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</si>
  <si>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</si>
  <si>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</si>
  <si>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</si>
  <si>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</si>
  <si>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</si>
  <si>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</si>
  <si>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</si>
  <si>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</si>
  <si>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</si>
  <si>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</si>
  <si>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</si>
  <si>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</si>
  <si>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</si>
  <si>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</si>
  <si>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</si>
  <si>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</si>
  <si>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</si>
  <si>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</si>
  <si>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</si>
  <si>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</si>
  <si>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</si>
  <si>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</si>
  <si>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</si>
  <si>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</si>
  <si>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</si>
  <si>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</si>
  <si>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</si>
  <si>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</si>
  <si>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</si>
  <si>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</si>
  <si>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</si>
  <si>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</si>
  <si>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</si>
  <si>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</si>
  <si>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</si>
  <si>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</si>
  <si>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</si>
  <si>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</si>
  <si>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</si>
  <si>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</si>
  <si>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</si>
  <si>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</si>
  <si>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</si>
  <si>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</si>
  <si>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</si>
  <si>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</si>
  <si>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</si>
  <si>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</si>
  <si>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</si>
  <si>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</si>
  <si>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</si>
  <si>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</si>
  <si>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</si>
  <si>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</si>
  <si>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</si>
  <si>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</si>
  <si>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</si>
  <si>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</si>
  <si>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</si>
  <si>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</si>
  <si>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</si>
  <si>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</si>
  <si>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</si>
  <si>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</si>
  <si>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</si>
  <si>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</si>
  <si>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</si>
  <si>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</si>
  <si>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</si>
  <si>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</si>
  <si>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</si>
  <si>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</si>
  <si>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</si>
  <si>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</si>
  <si>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</si>
  <si>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</si>
  <si>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</si>
  <si>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</si>
  <si>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</si>
  <si>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</si>
  <si>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</si>
  <si>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</si>
  <si>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</si>
  <si>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</si>
  <si>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</si>
  <si>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</si>
  <si>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</si>
  <si>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</si>
  <si>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</si>
  <si>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</si>
  <si>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</si>
  <si>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</si>
  <si>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</si>
  <si>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</si>
  <si>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</si>
  <si>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</si>
  <si>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</si>
  <si>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</si>
  <si>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</si>
  <si>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</si>
  <si>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</si>
  <si>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</si>
  <si>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</si>
  <si>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</si>
  <si>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</si>
  <si>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</si>
  <si>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</si>
  <si>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</si>
  <si>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</si>
  <si>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</si>
  <si>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</si>
  <si>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</si>
  <si>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</si>
  <si>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</si>
  <si>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</si>
  <si>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</si>
  <si>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</si>
  <si>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</si>
  <si>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</si>
  <si>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</si>
  <si>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</si>
  <si>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</si>
  <si>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</si>
  <si>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</si>
  <si>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</si>
  <si>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</si>
  <si>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</si>
  <si>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</si>
  <si>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</si>
  <si>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</si>
  <si>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</si>
  <si>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</si>
  <si>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</si>
  <si>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</si>
  <si>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</si>
  <si>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</si>
  <si>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</si>
  <si>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</si>
  <si>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</si>
  <si>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</si>
  <si>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</si>
  <si>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</si>
  <si>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</si>
  <si>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</si>
  <si>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</si>
  <si>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</si>
  <si>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</si>
  <si>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</si>
  <si>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</si>
  <si>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</si>
  <si>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</si>
  <si>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</si>
  <si>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</si>
  <si>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</si>
  <si>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</si>
  <si>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</si>
  <si>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</si>
  <si>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</si>
  <si>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</si>
  <si>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</si>
  <si>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</si>
  <si>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</si>
  <si>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</si>
  <si>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</si>
  <si>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</si>
  <si>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</si>
  <si>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</si>
  <si>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</si>
  <si>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</si>
  <si>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</si>
  <si>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</si>
  <si>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</si>
  <si>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</si>
  <si>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</si>
  <si>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</si>
  <si>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</si>
  <si>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</si>
  <si>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</si>
  <si>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</si>
  <si>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</si>
  <si>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</si>
  <si>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</si>
  <si>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</si>
  <si>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</si>
  <si>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</si>
  <si>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</si>
  <si>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</si>
  <si>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</si>
  <si>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</si>
  <si>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</si>
  <si>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</si>
  <si>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</si>
  <si>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</si>
  <si>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</si>
  <si>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37002</t>
  </si>
  <si>
    <t>DENTERGEM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</si>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</sst>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7B7292A-C954-4A46-9884-B6AEE476A35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37002</v>
      </c>
      <c r="B6" s="382"/>
      <c r="C6" s="383"/>
    </row>
    <row r="7" spans="1:7" s="380" customFormat="1" ht="15.75" customHeight="1">
      <c r="A7" s="384" t="str">
        <f>txtMunicipality</f>
        <v>DENTERGEM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0.21814211023304644</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0.21814211023304644</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3203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1772</v>
      </c>
      <c r="C14" s="324"/>
      <c r="D14" s="324"/>
      <c r="E14" s="324"/>
      <c r="F14" s="324"/>
    </row>
    <row r="15" spans="1:6">
      <c r="A15" s="1235" t="s">
        <v>177</v>
      </c>
      <c r="B15" s="1236">
        <v>29</v>
      </c>
      <c r="C15" s="324"/>
      <c r="D15" s="324"/>
      <c r="E15" s="324"/>
      <c r="F15" s="324"/>
    </row>
    <row r="16" spans="1:6">
      <c r="A16" s="1235" t="s">
        <v>6</v>
      </c>
      <c r="B16" s="1236">
        <v>719</v>
      </c>
      <c r="C16" s="324"/>
      <c r="D16" s="324"/>
      <c r="E16" s="324"/>
      <c r="F16" s="324"/>
    </row>
    <row r="17" spans="1:6">
      <c r="A17" s="1235" t="s">
        <v>7</v>
      </c>
      <c r="B17" s="1236">
        <v>974</v>
      </c>
      <c r="C17" s="324"/>
      <c r="D17" s="324"/>
      <c r="E17" s="324"/>
      <c r="F17" s="324"/>
    </row>
    <row r="18" spans="1:6">
      <c r="A18" s="1235" t="s">
        <v>8</v>
      </c>
      <c r="B18" s="1236">
        <v>1140</v>
      </c>
      <c r="C18" s="324"/>
      <c r="D18" s="324"/>
      <c r="E18" s="324"/>
      <c r="F18" s="324"/>
    </row>
    <row r="19" spans="1:6">
      <c r="A19" s="1235" t="s">
        <v>9</v>
      </c>
      <c r="B19" s="1236">
        <v>1103</v>
      </c>
      <c r="C19" s="324"/>
      <c r="D19" s="324"/>
      <c r="E19" s="324"/>
      <c r="F19" s="324"/>
    </row>
    <row r="20" spans="1:6">
      <c r="A20" s="1235" t="s">
        <v>10</v>
      </c>
      <c r="B20" s="1236">
        <v>660</v>
      </c>
      <c r="C20" s="324"/>
      <c r="D20" s="324"/>
      <c r="E20" s="324"/>
      <c r="F20" s="324"/>
    </row>
    <row r="21" spans="1:6">
      <c r="A21" s="1235" t="s">
        <v>11</v>
      </c>
      <c r="B21" s="1236">
        <v>12405</v>
      </c>
      <c r="C21" s="324"/>
      <c r="D21" s="324"/>
      <c r="E21" s="324"/>
      <c r="F21" s="324"/>
    </row>
    <row r="22" spans="1:6">
      <c r="A22" s="1235" t="s">
        <v>12</v>
      </c>
      <c r="B22" s="1236">
        <v>28968</v>
      </c>
      <c r="C22" s="324"/>
      <c r="D22" s="324"/>
      <c r="E22" s="324"/>
      <c r="F22" s="324"/>
    </row>
    <row r="23" spans="1:6">
      <c r="A23" s="1235" t="s">
        <v>13</v>
      </c>
      <c r="B23" s="1236">
        <v>641</v>
      </c>
      <c r="C23" s="324"/>
      <c r="D23" s="324"/>
      <c r="E23" s="324"/>
      <c r="F23" s="324"/>
    </row>
    <row r="24" spans="1:6">
      <c r="A24" s="1235" t="s">
        <v>14</v>
      </c>
      <c r="B24" s="1236">
        <v>38</v>
      </c>
      <c r="C24" s="324"/>
      <c r="D24" s="324"/>
      <c r="E24" s="324"/>
      <c r="F24" s="324"/>
    </row>
    <row r="25" spans="1:6">
      <c r="A25" s="1235" t="s">
        <v>15</v>
      </c>
      <c r="B25" s="1236">
        <v>3598</v>
      </c>
      <c r="C25" s="324"/>
      <c r="D25" s="324"/>
      <c r="E25" s="324"/>
      <c r="F25" s="324"/>
    </row>
    <row r="26" spans="1:6">
      <c r="A26" s="1235" t="s">
        <v>16</v>
      </c>
      <c r="B26" s="1236">
        <v>63</v>
      </c>
      <c r="C26" s="324"/>
      <c r="D26" s="324"/>
      <c r="E26" s="324"/>
      <c r="F26" s="324"/>
    </row>
    <row r="27" spans="1:6">
      <c r="A27" s="1235" t="s">
        <v>17</v>
      </c>
      <c r="B27" s="1236">
        <v>0</v>
      </c>
      <c r="C27" s="324"/>
      <c r="D27" s="324"/>
      <c r="E27" s="324"/>
      <c r="F27" s="324"/>
    </row>
    <row r="28" spans="1:6">
      <c r="A28" s="1235" t="s">
        <v>18</v>
      </c>
      <c r="B28" s="1237">
        <v>161737</v>
      </c>
      <c r="C28" s="324"/>
      <c r="D28" s="324"/>
      <c r="E28" s="324"/>
      <c r="F28" s="324"/>
    </row>
    <row r="29" spans="1:6">
      <c r="A29" s="1235" t="s">
        <v>959</v>
      </c>
      <c r="B29" s="1237">
        <v>78</v>
      </c>
      <c r="C29" s="324"/>
      <c r="D29" s="324"/>
      <c r="E29" s="324"/>
      <c r="F29" s="324"/>
    </row>
    <row r="30" spans="1:6">
      <c r="A30" s="1230" t="s">
        <v>960</v>
      </c>
      <c r="B30" s="1238">
        <v>27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1243</v>
      </c>
      <c r="D39" s="1236">
        <v>20014787.146665599</v>
      </c>
      <c r="E39" s="1236">
        <v>2924</v>
      </c>
      <c r="F39" s="1236">
        <v>13958903.574307701</v>
      </c>
    </row>
    <row r="40" spans="1:6">
      <c r="A40" s="1235" t="s">
        <v>29</v>
      </c>
      <c r="B40" s="1235" t="s">
        <v>28</v>
      </c>
      <c r="C40" s="1236">
        <v>0</v>
      </c>
      <c r="D40" s="1236">
        <v>0</v>
      </c>
      <c r="E40" s="1236">
        <v>0</v>
      </c>
      <c r="F40" s="1236">
        <v>0</v>
      </c>
    </row>
    <row r="41" spans="1:6">
      <c r="A41" s="1235" t="s">
        <v>31</v>
      </c>
      <c r="B41" s="1235" t="s">
        <v>32</v>
      </c>
      <c r="C41" s="1236">
        <v>19</v>
      </c>
      <c r="D41" s="1236">
        <v>460517.08925488102</v>
      </c>
      <c r="E41" s="1236">
        <v>105</v>
      </c>
      <c r="F41" s="1236">
        <v>1690226.44729435</v>
      </c>
    </row>
    <row r="42" spans="1:6">
      <c r="A42" s="1235" t="s">
        <v>31</v>
      </c>
      <c r="B42" s="1235" t="s">
        <v>33</v>
      </c>
      <c r="C42" s="1236">
        <v>0</v>
      </c>
      <c r="D42" s="1236">
        <v>0</v>
      </c>
      <c r="E42" s="1236">
        <v>3</v>
      </c>
      <c r="F42" s="1236">
        <v>292499.26385149697</v>
      </c>
    </row>
    <row r="43" spans="1:6">
      <c r="A43" s="1235" t="s">
        <v>31</v>
      </c>
      <c r="B43" s="1235" t="s">
        <v>34</v>
      </c>
      <c r="C43" s="1236">
        <v>0</v>
      </c>
      <c r="D43" s="1236">
        <v>0</v>
      </c>
      <c r="E43" s="1236">
        <v>0</v>
      </c>
      <c r="F43" s="1236">
        <v>0</v>
      </c>
    </row>
    <row r="44" spans="1:6">
      <c r="A44" s="1235" t="s">
        <v>31</v>
      </c>
      <c r="B44" s="1235" t="s">
        <v>35</v>
      </c>
      <c r="C44" s="1236">
        <v>0</v>
      </c>
      <c r="D44" s="1236">
        <v>0</v>
      </c>
      <c r="E44" s="1236">
        <v>13</v>
      </c>
      <c r="F44" s="1236">
        <v>149590.349107552</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35520.7913224605</v>
      </c>
      <c r="E47" s="1236">
        <v>3</v>
      </c>
      <c r="F47" s="1236">
        <v>22889.2601550217</v>
      </c>
    </row>
    <row r="48" spans="1:6">
      <c r="A48" s="1235" t="s">
        <v>31</v>
      </c>
      <c r="B48" s="1235" t="s">
        <v>28</v>
      </c>
      <c r="C48" s="1236">
        <v>19</v>
      </c>
      <c r="D48" s="1236">
        <v>571526.64868774696</v>
      </c>
      <c r="E48" s="1236">
        <v>33</v>
      </c>
      <c r="F48" s="1236">
        <v>19244985.7585565</v>
      </c>
    </row>
    <row r="49" spans="1:6">
      <c r="A49" s="1235" t="s">
        <v>31</v>
      </c>
      <c r="B49" s="1235" t="s">
        <v>39</v>
      </c>
      <c r="C49" s="1236">
        <v>0</v>
      </c>
      <c r="D49" s="1236">
        <v>0</v>
      </c>
      <c r="E49" s="1236">
        <v>9</v>
      </c>
      <c r="F49" s="1236">
        <v>1348831.2898812301</v>
      </c>
    </row>
    <row r="50" spans="1:6">
      <c r="A50" s="1235" t="s">
        <v>31</v>
      </c>
      <c r="B50" s="1235" t="s">
        <v>40</v>
      </c>
      <c r="C50" s="1236">
        <v>7</v>
      </c>
      <c r="D50" s="1236">
        <v>542762.92384555005</v>
      </c>
      <c r="E50" s="1236">
        <v>14</v>
      </c>
      <c r="F50" s="1236">
        <v>490151.16925643297</v>
      </c>
    </row>
    <row r="51" spans="1:6">
      <c r="A51" s="1235" t="s">
        <v>41</v>
      </c>
      <c r="B51" s="1235" t="s">
        <v>42</v>
      </c>
      <c r="C51" s="1236">
        <v>0</v>
      </c>
      <c r="D51" s="1236">
        <v>0</v>
      </c>
      <c r="E51" s="1236">
        <v>105</v>
      </c>
      <c r="F51" s="1236">
        <v>3248464.7873152401</v>
      </c>
    </row>
    <row r="52" spans="1:6">
      <c r="A52" s="1235" t="s">
        <v>41</v>
      </c>
      <c r="B52" s="1235" t="s">
        <v>28</v>
      </c>
      <c r="C52" s="1236">
        <v>2</v>
      </c>
      <c r="D52" s="1236">
        <v>13396815.5814557</v>
      </c>
      <c r="E52" s="1236">
        <v>5</v>
      </c>
      <c r="F52" s="1236">
        <v>293505.631507424</v>
      </c>
    </row>
    <row r="53" spans="1:6">
      <c r="A53" s="1235" t="s">
        <v>43</v>
      </c>
      <c r="B53" s="1235" t="s">
        <v>44</v>
      </c>
      <c r="C53" s="1236">
        <v>52</v>
      </c>
      <c r="D53" s="1236">
        <v>992986.41384973004</v>
      </c>
      <c r="E53" s="1236">
        <v>124</v>
      </c>
      <c r="F53" s="1236">
        <v>710608.35754991998</v>
      </c>
    </row>
    <row r="54" spans="1:6">
      <c r="A54" s="1235" t="s">
        <v>45</v>
      </c>
      <c r="B54" s="1235" t="s">
        <v>46</v>
      </c>
      <c r="C54" s="1236">
        <v>0</v>
      </c>
      <c r="D54" s="1236">
        <v>0</v>
      </c>
      <c r="E54" s="1236">
        <v>1</v>
      </c>
      <c r="F54" s="1236">
        <v>604226</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11</v>
      </c>
      <c r="D57" s="1236">
        <v>256082.00791608301</v>
      </c>
      <c r="E57" s="1236">
        <v>55</v>
      </c>
      <c r="F57" s="1236">
        <v>552919.687921506</v>
      </c>
    </row>
    <row r="58" spans="1:6">
      <c r="A58" s="1235" t="s">
        <v>48</v>
      </c>
      <c r="B58" s="1235" t="s">
        <v>50</v>
      </c>
      <c r="C58" s="1236">
        <v>0</v>
      </c>
      <c r="D58" s="1236">
        <v>0</v>
      </c>
      <c r="E58" s="1236">
        <v>0</v>
      </c>
      <c r="F58" s="1236">
        <v>0</v>
      </c>
    </row>
    <row r="59" spans="1:6">
      <c r="A59" s="1235" t="s">
        <v>48</v>
      </c>
      <c r="B59" s="1235" t="s">
        <v>51</v>
      </c>
      <c r="C59" s="1236">
        <v>13</v>
      </c>
      <c r="D59" s="1236">
        <v>557221.87066185905</v>
      </c>
      <c r="E59" s="1236">
        <v>68</v>
      </c>
      <c r="F59" s="1236">
        <v>1951514.0308306699</v>
      </c>
    </row>
    <row r="60" spans="1:6">
      <c r="A60" s="1235" t="s">
        <v>48</v>
      </c>
      <c r="B60" s="1235" t="s">
        <v>52</v>
      </c>
      <c r="C60" s="1236">
        <v>14</v>
      </c>
      <c r="D60" s="1236">
        <v>420368.632628605</v>
      </c>
      <c r="E60" s="1236">
        <v>28</v>
      </c>
      <c r="F60" s="1236">
        <v>462723.204776467</v>
      </c>
    </row>
    <row r="61" spans="1:6">
      <c r="A61" s="1235" t="s">
        <v>48</v>
      </c>
      <c r="B61" s="1235" t="s">
        <v>53</v>
      </c>
      <c r="C61" s="1236">
        <v>41</v>
      </c>
      <c r="D61" s="1236">
        <v>1273342.2711501401</v>
      </c>
      <c r="E61" s="1236">
        <v>94</v>
      </c>
      <c r="F61" s="1236">
        <v>765786.69892163598</v>
      </c>
    </row>
    <row r="62" spans="1:6">
      <c r="A62" s="1235" t="s">
        <v>48</v>
      </c>
      <c r="B62" s="1235" t="s">
        <v>54</v>
      </c>
      <c r="C62" s="1236">
        <v>3</v>
      </c>
      <c r="D62" s="1236">
        <v>153133.133387443</v>
      </c>
      <c r="E62" s="1236">
        <v>4</v>
      </c>
      <c r="F62" s="1236">
        <v>33354.5879243444</v>
      </c>
    </row>
    <row r="63" spans="1:6">
      <c r="A63" s="1235" t="s">
        <v>48</v>
      </c>
      <c r="B63" s="1235" t="s">
        <v>28</v>
      </c>
      <c r="C63" s="1236">
        <v>46</v>
      </c>
      <c r="D63" s="1236">
        <v>2116422.03666237</v>
      </c>
      <c r="E63" s="1236">
        <v>82</v>
      </c>
      <c r="F63" s="1236">
        <v>3246591.7237017802</v>
      </c>
    </row>
    <row r="64" spans="1:6">
      <c r="A64" s="1235" t="s">
        <v>55</v>
      </c>
      <c r="B64" s="1235" t="s">
        <v>56</v>
      </c>
      <c r="C64" s="1236">
        <v>0</v>
      </c>
      <c r="D64" s="1236">
        <v>0</v>
      </c>
      <c r="E64" s="1236">
        <v>0</v>
      </c>
      <c r="F64" s="1236">
        <v>0</v>
      </c>
    </row>
    <row r="65" spans="1:6">
      <c r="A65" s="1235" t="s">
        <v>55</v>
      </c>
      <c r="B65" s="1235" t="s">
        <v>28</v>
      </c>
      <c r="C65" s="1236">
        <v>1</v>
      </c>
      <c r="D65" s="1236">
        <v>22366.474427239398</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11</v>
      </c>
      <c r="F68" s="1238">
        <v>125016.924520375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21310175</v>
      </c>
      <c r="E73" s="443"/>
      <c r="F73" s="324"/>
    </row>
    <row r="74" spans="1:6">
      <c r="A74" s="1235" t="s">
        <v>63</v>
      </c>
      <c r="B74" s="1235" t="s">
        <v>730</v>
      </c>
      <c r="C74" s="1248" t="s">
        <v>731</v>
      </c>
      <c r="D74" s="1236">
        <v>3454941.3087777612</v>
      </c>
      <c r="E74" s="443"/>
      <c r="F74" s="324"/>
    </row>
    <row r="75" spans="1:6">
      <c r="A75" s="1235" t="s">
        <v>64</v>
      </c>
      <c r="B75" s="1235" t="s">
        <v>728</v>
      </c>
      <c r="C75" s="1248" t="s">
        <v>732</v>
      </c>
      <c r="D75" s="1236">
        <v>9347192</v>
      </c>
      <c r="E75" s="443"/>
      <c r="F75" s="324"/>
    </row>
    <row r="76" spans="1:6">
      <c r="A76" s="1235" t="s">
        <v>64</v>
      </c>
      <c r="B76" s="1235" t="s">
        <v>730</v>
      </c>
      <c r="C76" s="1248" t="s">
        <v>733</v>
      </c>
      <c r="D76" s="1236">
        <v>988116.30877776106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45181.382444477873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872.64942260380963</v>
      </c>
      <c r="C91" s="324"/>
      <c r="D91" s="324"/>
      <c r="E91" s="324"/>
      <c r="F91" s="324"/>
    </row>
    <row r="92" spans="1:6">
      <c r="A92" s="1230" t="s">
        <v>68</v>
      </c>
      <c r="B92" s="1231">
        <v>175.86896493033183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645</v>
      </c>
      <c r="C97" s="324"/>
      <c r="D97" s="324"/>
      <c r="E97" s="324"/>
      <c r="F97" s="324"/>
    </row>
    <row r="98" spans="1:6">
      <c r="A98" s="1235" t="s">
        <v>71</v>
      </c>
      <c r="B98" s="1236">
        <v>1</v>
      </c>
      <c r="C98" s="324"/>
      <c r="D98" s="324"/>
      <c r="E98" s="324"/>
      <c r="F98" s="324"/>
    </row>
    <row r="99" spans="1:6">
      <c r="A99" s="1235" t="s">
        <v>72</v>
      </c>
      <c r="B99" s="1236">
        <v>67</v>
      </c>
      <c r="C99" s="324"/>
      <c r="D99" s="324"/>
      <c r="E99" s="324"/>
      <c r="F99" s="324"/>
    </row>
    <row r="100" spans="1:6">
      <c r="A100" s="1235" t="s">
        <v>73</v>
      </c>
      <c r="B100" s="1236">
        <v>257</v>
      </c>
      <c r="C100" s="324"/>
      <c r="D100" s="324"/>
      <c r="E100" s="324"/>
      <c r="F100" s="324"/>
    </row>
    <row r="101" spans="1:6">
      <c r="A101" s="1235" t="s">
        <v>74</v>
      </c>
      <c r="B101" s="1236">
        <v>74</v>
      </c>
      <c r="C101" s="324"/>
      <c r="D101" s="324"/>
      <c r="E101" s="324"/>
      <c r="F101" s="324"/>
    </row>
    <row r="102" spans="1:6">
      <c r="A102" s="1235" t="s">
        <v>75</v>
      </c>
      <c r="B102" s="1236">
        <v>67</v>
      </c>
      <c r="C102" s="324"/>
      <c r="D102" s="324"/>
      <c r="E102" s="324"/>
      <c r="F102" s="324"/>
    </row>
    <row r="103" spans="1:6">
      <c r="A103" s="1235" t="s">
        <v>76</v>
      </c>
      <c r="B103" s="1236">
        <v>73</v>
      </c>
      <c r="C103" s="324"/>
      <c r="D103" s="324"/>
      <c r="E103" s="324"/>
      <c r="F103" s="324"/>
    </row>
    <row r="104" spans="1:6">
      <c r="A104" s="1235" t="s">
        <v>77</v>
      </c>
      <c r="B104" s="1236">
        <v>1713</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6</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18</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49941.529874541506</v>
      </c>
      <c r="C3" s="43" t="s">
        <v>163</v>
      </c>
      <c r="D3" s="43"/>
      <c r="E3" s="155"/>
      <c r="F3" s="43"/>
      <c r="G3" s="43"/>
      <c r="H3" s="43"/>
      <c r="I3" s="43"/>
      <c r="J3" s="43"/>
      <c r="K3" s="96"/>
    </row>
    <row r="4" spans="1:11">
      <c r="A4" s="350" t="s">
        <v>164</v>
      </c>
      <c r="B4" s="49">
        <f>IF(ISERROR('SEAP template'!B78+'SEAP template'!C78),0,'SEAP template'!B78+'SEAP template'!C78)</f>
        <v>6394.5183875341418</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1270.4611764705885</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0.21814211023304644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1814.9445378151263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7637.1428571428569</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604.226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604.226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0.21814211023304644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131.80713469767272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13958.9035743077</v>
      </c>
      <c r="C5" s="17">
        <f>IF(ISERROR('Eigen informatie GS &amp; warmtenet'!B57),0,'Eigen informatie GS &amp; warmtenet'!B57)</f>
        <v>0</v>
      </c>
      <c r="D5" s="30">
        <f>(SUM(HH_hh_gas_kWh,HH_rest_gas_kWh)/1000)*0.902</f>
        <v>18053.338006292372</v>
      </c>
      <c r="E5" s="17">
        <f>B32*B41</f>
        <v>970.26566308916222</v>
      </c>
      <c r="F5" s="17">
        <f>B36*B45</f>
        <v>33119.432021231449</v>
      </c>
      <c r="G5" s="18"/>
      <c r="H5" s="17"/>
      <c r="I5" s="17"/>
      <c r="J5" s="17">
        <f>B35*B44+C35*C44</f>
        <v>745.76564184662107</v>
      </c>
      <c r="K5" s="17"/>
      <c r="L5" s="17"/>
      <c r="M5" s="17"/>
      <c r="N5" s="17">
        <f>B34*B43+C34*C43</f>
        <v>4103.469282505157</v>
      </c>
      <c r="O5" s="17">
        <f>B52*B53*B54</f>
        <v>37.520000000000003</v>
      </c>
      <c r="P5" s="17">
        <f>B60*B61*B62/1000-B60*B61*B62/1000/B63</f>
        <v>228.8</v>
      </c>
    </row>
    <row r="6" spans="1:16">
      <c r="A6" s="16" t="s">
        <v>591</v>
      </c>
      <c r="B6" s="727">
        <f>kWh_PV_kleiner_dan_10kW</f>
        <v>872.64942260380963</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14831.55299691151</v>
      </c>
      <c r="C8" s="21">
        <f>C5</f>
        <v>0</v>
      </c>
      <c r="D8" s="21">
        <f>D5</f>
        <v>18053.338006292372</v>
      </c>
      <c r="E8" s="21">
        <f>E5</f>
        <v>970.26566308916222</v>
      </c>
      <c r="F8" s="21">
        <f>F5</f>
        <v>33119.432021231449</v>
      </c>
      <c r="G8" s="21"/>
      <c r="H8" s="21"/>
      <c r="I8" s="21"/>
      <c r="J8" s="21">
        <f>J5</f>
        <v>745.76564184662107</v>
      </c>
      <c r="K8" s="21"/>
      <c r="L8" s="21">
        <f>L5</f>
        <v>0</v>
      </c>
      <c r="M8" s="21">
        <f>M5</f>
        <v>0</v>
      </c>
      <c r="N8" s="21">
        <f>N5</f>
        <v>4103.469282505157</v>
      </c>
      <c r="O8" s="21">
        <f>O5</f>
        <v>37.520000000000003</v>
      </c>
      <c r="P8" s="21">
        <f>P5</f>
        <v>228.8</v>
      </c>
    </row>
    <row r="9" spans="1:16">
      <c r="B9" s="19"/>
      <c r="C9" s="19"/>
      <c r="D9" s="255"/>
      <c r="E9" s="19"/>
      <c r="F9" s="19"/>
      <c r="G9" s="19"/>
      <c r="H9" s="19"/>
      <c r="I9" s="19"/>
      <c r="J9" s="19"/>
      <c r="K9" s="19"/>
      <c r="L9" s="19"/>
      <c r="M9" s="19"/>
      <c r="N9" s="19"/>
      <c r="O9" s="19"/>
      <c r="P9" s="19"/>
    </row>
    <row r="10" spans="1:16">
      <c r="A10" s="24" t="s">
        <v>207</v>
      </c>
      <c r="B10" s="25">
        <f ca="1">'EF ele_warmte'!B12</f>
        <v>0.21814211023304644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3235.3862687795408</v>
      </c>
      <c r="C12" s="23">
        <f ca="1">C10*C8</f>
        <v>0</v>
      </c>
      <c r="D12" s="23">
        <f>D8*D10</f>
        <v>3646.7742772710594</v>
      </c>
      <c r="E12" s="23">
        <f>E10*E8</f>
        <v>220.25030552123982</v>
      </c>
      <c r="F12" s="23">
        <f>F10*F8</f>
        <v>8842.8883496687977</v>
      </c>
      <c r="G12" s="23"/>
      <c r="H12" s="23"/>
      <c r="I12" s="23"/>
      <c r="J12" s="23">
        <f>J10*J8</f>
        <v>264.00103721370385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3203</v>
      </c>
      <c r="C26" s="36"/>
      <c r="D26" s="225"/>
    </row>
    <row r="27" spans="1:5" s="15" customFormat="1">
      <c r="A27" s="227" t="s">
        <v>671</v>
      </c>
      <c r="B27" s="37">
        <f>SUM(HH_hh_gas_aantal,HH_rest_gas_aantal)</f>
        <v>1243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1180.8499999999999</v>
      </c>
      <c r="C31" s="34" t="s">
        <v>104</v>
      </c>
      <c r="D31" s="171"/>
    </row>
    <row r="32" spans="1:5">
      <c r="A32" s="168" t="s">
        <v>72</v>
      </c>
      <c r="B32" s="33">
        <f>IF((B21*($B$26-($B$27-0.05*$B$27)-$B$60))&lt;0,0,B21*($B$26-($B$27-0.05*$B$27)-$B$60))</f>
        <v>14.251096424446606</v>
      </c>
      <c r="C32" s="34" t="s">
        <v>104</v>
      </c>
      <c r="D32" s="171"/>
    </row>
    <row r="33" spans="1:6">
      <c r="A33" s="168" t="s">
        <v>73</v>
      </c>
      <c r="B33" s="33">
        <f>IF((B22*($B$26-($B$27-0.05*$B$27)-$B$60))&lt;0,0,B22*($B$26-($B$27-0.05*$B$27)-$B$60))</f>
        <v>408.43448459995619</v>
      </c>
      <c r="C33" s="34" t="s">
        <v>104</v>
      </c>
      <c r="D33" s="171"/>
    </row>
    <row r="34" spans="1:6">
      <c r="A34" s="168" t="s">
        <v>74</v>
      </c>
      <c r="B34" s="33">
        <f>IF((B24*($B$26-($B$27-0.05*$B$27)-$B$60))&lt;0,0,B24*($B$26-($B$27-0.05*$B$27)-$B$60))</f>
        <v>81.446152695197625</v>
      </c>
      <c r="C34" s="33">
        <f>B26*C24</f>
        <v>654.94179998018751</v>
      </c>
      <c r="D34" s="230"/>
    </row>
    <row r="35" spans="1:6">
      <c r="A35" s="168" t="s">
        <v>76</v>
      </c>
      <c r="B35" s="33">
        <f>IF((B19*($B$26-($B$27-0.05*$B$27)-$B$60))&lt;0,0,B19*($B$26-($B$27-0.05*$B$27)-$B$60))</f>
        <v>42.413977453710139</v>
      </c>
      <c r="C35" s="33">
        <f>B35/2</f>
        <v>21.206988726855069</v>
      </c>
      <c r="D35" s="230"/>
    </row>
    <row r="36" spans="1:6">
      <c r="A36" s="168" t="s">
        <v>77</v>
      </c>
      <c r="B36" s="33">
        <f>IF((B18*($B$26-($B$27-0.05*$B$27)-$B$60))&lt;0,0,B18*($B$26-($B$27-0.05*$B$27)-$B$60))</f>
        <v>1463.6042888266895</v>
      </c>
      <c r="C36" s="34" t="s">
        <v>104</v>
      </c>
      <c r="D36" s="171"/>
    </row>
    <row r="37" spans="1:6">
      <c r="A37" s="168" t="s">
        <v>78</v>
      </c>
      <c r="B37" s="33">
        <f>B60</f>
        <v>12</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12</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7012.8899340764037</v>
      </c>
      <c r="C5" s="17">
        <f>IF(ISERROR('Eigen informatie GS &amp; warmtenet'!B58),0,'Eigen informatie GS &amp; warmtenet'!B58)</f>
        <v>0</v>
      </c>
      <c r="D5" s="30">
        <f>SUM(D6:D12)</f>
        <v>4308.4660970706627</v>
      </c>
      <c r="E5" s="17">
        <f>SUM(E6:E12)</f>
        <v>134.6903030309187</v>
      </c>
      <c r="F5" s="17">
        <f>SUM(F6:F12)</f>
        <v>1319.5538445775082</v>
      </c>
      <c r="G5" s="18"/>
      <c r="H5" s="17"/>
      <c r="I5" s="17"/>
      <c r="J5" s="17">
        <f>SUM(J6:J12)</f>
        <v>0</v>
      </c>
      <c r="K5" s="17"/>
      <c r="L5" s="17"/>
      <c r="M5" s="17"/>
      <c r="N5" s="17">
        <f>SUM(N6:N12)</f>
        <v>222.56322991586703</v>
      </c>
      <c r="O5" s="17">
        <f>B38*B39*B40</f>
        <v>1.5633333333333335</v>
      </c>
      <c r="P5" s="17">
        <f>B46*B47*B48/1000-B46*B47*B48/1000/B49</f>
        <v>0</v>
      </c>
      <c r="R5" s="32"/>
    </row>
    <row r="6" spans="1:18">
      <c r="A6" s="32" t="s">
        <v>53</v>
      </c>
      <c r="B6" s="37">
        <f>B26</f>
        <v>765.786698921636</v>
      </c>
      <c r="C6" s="33"/>
      <c r="D6" s="37">
        <f>IF(ISERROR(TER_kantoor_gas_kWh/1000),0,TER_kantoor_gas_kWh/1000)*0.902</f>
        <v>1148.5547285774264</v>
      </c>
      <c r="E6" s="33">
        <f>$C$26*'E Balans VL '!I12/100/3.6*1000000</f>
        <v>26.490101873444885</v>
      </c>
      <c r="F6" s="33">
        <f>$C$26*('E Balans VL '!L12+'E Balans VL '!N12)/100/3.6*1000000</f>
        <v>116.90547106550395</v>
      </c>
      <c r="G6" s="34"/>
      <c r="H6" s="33"/>
      <c r="I6" s="33"/>
      <c r="J6" s="33">
        <f>$C$26*('E Balans VL '!D12+'E Balans VL '!E12)/100/3.6*1000000</f>
        <v>0</v>
      </c>
      <c r="K6" s="33"/>
      <c r="L6" s="33"/>
      <c r="M6" s="33"/>
      <c r="N6" s="33">
        <f>$C$26*'E Balans VL '!Y12/100/3.6*1000000</f>
        <v>11.804965993559765</v>
      </c>
      <c r="O6" s="33"/>
      <c r="P6" s="33"/>
      <c r="R6" s="32"/>
    </row>
    <row r="7" spans="1:18">
      <c r="A7" s="32" t="s">
        <v>52</v>
      </c>
      <c r="B7" s="37">
        <f t="shared" ref="B7:B12" si="0">B27</f>
        <v>462.72320477646701</v>
      </c>
      <c r="C7" s="33"/>
      <c r="D7" s="37">
        <f>IF(ISERROR(TER_horeca_gas_kWh/1000),0,TER_horeca_gas_kWh/1000)*0.902</f>
        <v>379.17250663100168</v>
      </c>
      <c r="E7" s="33">
        <f>$C$27*'E Balans VL '!I9/100/3.6*1000000</f>
        <v>25.358701986308276</v>
      </c>
      <c r="F7" s="33">
        <f>$C$27*('E Balans VL '!L9+'E Balans VL '!N9)/100/3.6*1000000</f>
        <v>78.308244269700893</v>
      </c>
      <c r="G7" s="34"/>
      <c r="H7" s="33"/>
      <c r="I7" s="33"/>
      <c r="J7" s="33">
        <f>$C$27*('E Balans VL '!D9+'E Balans VL '!E9)/100/3.6*1000000</f>
        <v>0</v>
      </c>
      <c r="K7" s="33"/>
      <c r="L7" s="33"/>
      <c r="M7" s="33"/>
      <c r="N7" s="33">
        <f>$C$27*'E Balans VL '!Y9/100/3.6*1000000</f>
        <v>0</v>
      </c>
      <c r="O7" s="33"/>
      <c r="P7" s="33"/>
      <c r="R7" s="32"/>
    </row>
    <row r="8" spans="1:18">
      <c r="A8" s="6" t="s">
        <v>51</v>
      </c>
      <c r="B8" s="37">
        <f t="shared" si="0"/>
        <v>1951.51403083067</v>
      </c>
      <c r="C8" s="33"/>
      <c r="D8" s="37">
        <f>IF(ISERROR(TER_handel_gas_kWh/1000),0,TER_handel_gas_kWh/1000)*0.902</f>
        <v>502.61412733699689</v>
      </c>
      <c r="E8" s="33">
        <f>$C$28*'E Balans VL '!I13/100/3.6*1000000</f>
        <v>9.8730427019085507</v>
      </c>
      <c r="F8" s="33">
        <f>$C$28*('E Balans VL '!L13+'E Balans VL '!N13)/100/3.6*1000000</f>
        <v>296.51729376136643</v>
      </c>
      <c r="G8" s="34"/>
      <c r="H8" s="33"/>
      <c r="I8" s="33"/>
      <c r="J8" s="33">
        <f>$C$28*('E Balans VL '!D13+'E Balans VL '!E13)/100/3.6*1000000</f>
        <v>0</v>
      </c>
      <c r="K8" s="33"/>
      <c r="L8" s="33"/>
      <c r="M8" s="33"/>
      <c r="N8" s="33">
        <f>$C$28*'E Balans VL '!Y13/100/3.6*1000000</f>
        <v>0.91258020144629193</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552.91968792150601</v>
      </c>
      <c r="C10" s="33"/>
      <c r="D10" s="37">
        <f>IF(ISERROR(TER_ander_gas_kWh/1000),0,TER_ander_gas_kWh/1000)*0.902</f>
        <v>230.98597114030687</v>
      </c>
      <c r="E10" s="33">
        <f>$C$30*'E Balans VL '!I14/100/3.6*1000000</f>
        <v>3.3659808310247707</v>
      </c>
      <c r="F10" s="33">
        <f>$C$30*('E Balans VL '!L14+'E Balans VL '!N14)/100/3.6*1000000</f>
        <v>146.38517058266271</v>
      </c>
      <c r="G10" s="34"/>
      <c r="H10" s="33"/>
      <c r="I10" s="33"/>
      <c r="J10" s="33">
        <f>$C$30*('E Balans VL '!D14+'E Balans VL '!E14)/100/3.6*1000000</f>
        <v>0</v>
      </c>
      <c r="K10" s="33"/>
      <c r="L10" s="33"/>
      <c r="M10" s="33"/>
      <c r="N10" s="33">
        <f>$C$30*'E Balans VL '!Y14/100/3.6*1000000</f>
        <v>115.15883171934333</v>
      </c>
      <c r="O10" s="33"/>
      <c r="P10" s="33"/>
      <c r="R10" s="32"/>
    </row>
    <row r="11" spans="1:18">
      <c r="A11" s="32" t="s">
        <v>54</v>
      </c>
      <c r="B11" s="37">
        <f t="shared" si="0"/>
        <v>33.354587924344401</v>
      </c>
      <c r="C11" s="33"/>
      <c r="D11" s="37">
        <f>IF(ISERROR(TER_onderwijs_gas_kWh/1000),0,TER_onderwijs_gas_kWh/1000)*0.902</f>
        <v>138.1260863154736</v>
      </c>
      <c r="E11" s="33">
        <f>$C$31*'E Balans VL '!I11/100/3.6*1000000</f>
        <v>4.1395931453330731E-2</v>
      </c>
      <c r="F11" s="33">
        <f>$C$31*('E Balans VL '!L11+'E Balans VL '!N11)/100/3.6*1000000</f>
        <v>39.310128203497676</v>
      </c>
      <c r="G11" s="34"/>
      <c r="H11" s="33"/>
      <c r="I11" s="33"/>
      <c r="J11" s="33">
        <f>$C$31*('E Balans VL '!D11+'E Balans VL '!E11)/100/3.6*1000000</f>
        <v>0</v>
      </c>
      <c r="K11" s="33"/>
      <c r="L11" s="33"/>
      <c r="M11" s="33"/>
      <c r="N11" s="33">
        <f>$C$31*'E Balans VL '!Y11/100/3.6*1000000</f>
        <v>0.16009890682697842</v>
      </c>
      <c r="O11" s="33"/>
      <c r="P11" s="33"/>
      <c r="R11" s="32"/>
    </row>
    <row r="12" spans="1:18">
      <c r="A12" s="32" t="s">
        <v>249</v>
      </c>
      <c r="B12" s="37">
        <f t="shared" si="0"/>
        <v>3246.5917237017802</v>
      </c>
      <c r="C12" s="33"/>
      <c r="D12" s="37">
        <f>IF(ISERROR(TER_rest_gas_kWh/1000),0,TER_rest_gas_kWh/1000)*0.902</f>
        <v>1909.0126770694578</v>
      </c>
      <c r="E12" s="33">
        <f>$C$32*'E Balans VL '!I8/100/3.6*1000000</f>
        <v>69.56107970677887</v>
      </c>
      <c r="F12" s="33">
        <f>$C$32*('E Balans VL '!L8+'E Balans VL '!N8)/100/3.6*1000000</f>
        <v>642.12753669477661</v>
      </c>
      <c r="G12" s="34"/>
      <c r="H12" s="33"/>
      <c r="I12" s="33"/>
      <c r="J12" s="33">
        <f>$C$32*('E Balans VL '!D8+'E Balans VL '!E8)/100/3.6*1000000</f>
        <v>0</v>
      </c>
      <c r="K12" s="33"/>
      <c r="L12" s="33"/>
      <c r="M12" s="33"/>
      <c r="N12" s="33">
        <f>$C$32*'E Balans VL '!Y8/100/3.6*1000000</f>
        <v>94.526753094690662</v>
      </c>
      <c r="O12" s="33"/>
      <c r="P12" s="33"/>
      <c r="R12" s="32"/>
    </row>
    <row r="13" spans="1:18">
      <c r="A13" s="16" t="s">
        <v>483</v>
      </c>
      <c r="B13" s="243">
        <f ca="1">'lokale energieproductie'!N39+'lokale energieproductie'!N32</f>
        <v>0</v>
      </c>
      <c r="C13" s="243">
        <f ca="1">'lokale energieproductie'!O39+'lokale energieproductie'!O32</f>
        <v>0</v>
      </c>
      <c r="D13" s="302">
        <f ca="1">('lokale energieproductie'!P32+'lokale energieproductie'!P39)*(-1)</f>
        <v>0</v>
      </c>
      <c r="E13" s="244"/>
      <c r="F13" s="302">
        <f ca="1">('lokale energieproductie'!S32+'lokale energieproductie'!S39)*(-1)</f>
        <v>0</v>
      </c>
      <c r="G13" s="245"/>
      <c r="H13" s="244"/>
      <c r="I13" s="244"/>
      <c r="J13" s="244"/>
      <c r="K13" s="244"/>
      <c r="L13" s="302">
        <f ca="1">('lokale energieproductie'!U32+'lokale energieproductie'!T32+'lokale energieproductie'!U39+'lokale energieproductie'!T39)*(-1)</f>
        <v>0</v>
      </c>
      <c r="M13" s="244"/>
      <c r="N13" s="302">
        <f ca="1">('lokale energieproductie'!Q32+'lokale energieproductie'!R32+'lokale energieproductie'!V32+'lokale energieproductie'!Q39+'lokale energieproductie'!R39+'lokale energieproductie'!V39)*(-1)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7012.8899340764037</v>
      </c>
      <c r="C16" s="21">
        <f ca="1">C5+C13+C14</f>
        <v>0</v>
      </c>
      <c r="D16" s="21">
        <f t="shared" ref="D16:N16" ca="1" si="1">MAX((D5+D13+D14),0)</f>
        <v>4308.4660970706627</v>
      </c>
      <c r="E16" s="21">
        <f t="shared" si="1"/>
        <v>134.6903030309187</v>
      </c>
      <c r="F16" s="21">
        <f t="shared" ca="1" si="1"/>
        <v>1319.5538445775082</v>
      </c>
      <c r="G16" s="21">
        <f t="shared" si="1"/>
        <v>0</v>
      </c>
      <c r="H16" s="21">
        <f t="shared" si="1"/>
        <v>0</v>
      </c>
      <c r="I16" s="21">
        <f t="shared" si="1"/>
        <v>0</v>
      </c>
      <c r="J16" s="21">
        <f t="shared" si="1"/>
        <v>0</v>
      </c>
      <c r="K16" s="21">
        <f t="shared" si="1"/>
        <v>0</v>
      </c>
      <c r="L16" s="21">
        <f t="shared" ca="1" si="1"/>
        <v>0</v>
      </c>
      <c r="M16" s="21">
        <f t="shared" si="1"/>
        <v>0</v>
      </c>
      <c r="N16" s="21">
        <f t="shared" ca="1" si="1"/>
        <v>222.56322991586703</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0.21814211023304644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1529.8066090515167</v>
      </c>
      <c r="C20" s="23">
        <f t="shared" ref="C20:P20" ca="1" si="2">C16*C18</f>
        <v>0</v>
      </c>
      <c r="D20" s="23">
        <f t="shared" ca="1" si="2"/>
        <v>870.31015160827394</v>
      </c>
      <c r="E20" s="23">
        <f t="shared" si="2"/>
        <v>30.574698788018544</v>
      </c>
      <c r="F20" s="23">
        <f t="shared" ca="1" si="2"/>
        <v>352.32087650219472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765.786698921636</v>
      </c>
      <c r="C26" s="39">
        <f>IF(ISERROR(B26*3.6/1000000/'E Balans VL '!Z12*100),0,B26*3.6/1000000/'E Balans VL '!Z12*100)</f>
        <v>1.5925074805429016E-2</v>
      </c>
      <c r="D26" s="233" t="s">
        <v>676</v>
      </c>
      <c r="F26" s="6"/>
    </row>
    <row r="27" spans="1:18">
      <c r="A27" s="228" t="s">
        <v>52</v>
      </c>
      <c r="B27" s="33">
        <f>IF(ISERROR(TER_horeca_ele_kWh/1000),0,TER_horeca_ele_kWh/1000)</f>
        <v>462.72320477646701</v>
      </c>
      <c r="C27" s="39">
        <f>IF(ISERROR(B27*3.6/1000000/'E Balans VL '!Z9*100),0,B27*3.6/1000000/'E Balans VL '!Z9*100)</f>
        <v>3.8059311964339475E-2</v>
      </c>
      <c r="D27" s="233" t="s">
        <v>676</v>
      </c>
      <c r="F27" s="6"/>
    </row>
    <row r="28" spans="1:18">
      <c r="A28" s="168" t="s">
        <v>51</v>
      </c>
      <c r="B28" s="33">
        <f>IF(ISERROR(TER_handel_ele_kWh/1000),0,TER_handel_ele_kWh/1000)</f>
        <v>1951.51403083067</v>
      </c>
      <c r="C28" s="39">
        <f>IF(ISERROR(B28*3.6/1000000/'E Balans VL '!Z13*100),0,B28*3.6/1000000/'E Balans VL '!Z13*100)</f>
        <v>5.4017526862629485E-2</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552.91968792150601</v>
      </c>
      <c r="C30" s="39">
        <f>IF(ISERROR(B30*3.6/1000000/'E Balans VL '!Z14*100),0,B30*3.6/1000000/'E Balans VL '!Z14*100)</f>
        <v>4.2797483653945131E-2</v>
      </c>
      <c r="D30" s="233" t="s">
        <v>676</v>
      </c>
      <c r="F30" s="6"/>
    </row>
    <row r="31" spans="1:18">
      <c r="A31" s="228" t="s">
        <v>54</v>
      </c>
      <c r="B31" s="33">
        <f>IF(ISERROR(TER_onderwijs_ele_kWh/1000),0,TER_onderwijs_ele_kWh/1000)</f>
        <v>33.354587924344401</v>
      </c>
      <c r="C31" s="39">
        <f>IF(ISERROR(B31*3.6/1000000/'E Balans VL '!Z11*100),0,B31*3.6/1000000/'E Balans VL '!Z11*100)</f>
        <v>1.0392658671014503E-2</v>
      </c>
      <c r="D31" s="233" t="s">
        <v>676</v>
      </c>
    </row>
    <row r="32" spans="1:18">
      <c r="A32" s="228" t="s">
        <v>249</v>
      </c>
      <c r="B32" s="33">
        <f>IF(ISERROR(TER_rest_ele_kWh/1000),0,TER_rest_ele_kWh/1000)</f>
        <v>3246.5917237017802</v>
      </c>
      <c r="C32" s="39">
        <f>IF(ISERROR(B32*3.6/1000000/'E Balans VL '!Z8*100),0,B32*3.6/1000000/'E Balans VL '!Z8*100)</f>
        <v>2.6771654108101277E-2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23239.173538102583</v>
      </c>
      <c r="C5" s="17">
        <f>IF(ISERROR('Eigen informatie GS &amp; warmtenet'!B59),0,'Eigen informatie GS &amp; warmtenet'!B59)</f>
        <v>0</v>
      </c>
      <c r="D5" s="30">
        <f>SUM(D6:D15)</f>
        <v>1452.515362705796</v>
      </c>
      <c r="E5" s="17">
        <f>SUM(E6:E15)</f>
        <v>212.36639355508106</v>
      </c>
      <c r="F5" s="17">
        <f>SUM(F6:F15)</f>
        <v>5298.6822263759695</v>
      </c>
      <c r="G5" s="18"/>
      <c r="H5" s="17"/>
      <c r="I5" s="17"/>
      <c r="J5" s="17">
        <f>SUM(J6:J15)</f>
        <v>134.84084634380534</v>
      </c>
      <c r="K5" s="17"/>
      <c r="L5" s="17"/>
      <c r="M5" s="17"/>
      <c r="N5" s="17">
        <f>SUM(N6:N15)</f>
        <v>490.2701822992077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149.59034910755199</v>
      </c>
      <c r="C8" s="33"/>
      <c r="D8" s="37">
        <f>IF( ISERROR(IND_metaal_Gas_kWH/1000),0,IND_metaal_Gas_kWH/1000)*0.902</f>
        <v>0</v>
      </c>
      <c r="E8" s="33">
        <f>C30*'E Balans VL '!I18/100/3.6*1000000</f>
        <v>1.0511383775653802</v>
      </c>
      <c r="F8" s="33">
        <f>C30*'E Balans VL '!L18/100/3.6*1000000+C30*'E Balans VL '!N18/100/3.6*1000000</f>
        <v>16.424145142323283</v>
      </c>
      <c r="G8" s="34"/>
      <c r="H8" s="33"/>
      <c r="I8" s="33"/>
      <c r="J8" s="40">
        <f>C30*'E Balans VL '!D18/100/3.6*1000000+C30*'E Balans VL '!E18/100/3.6*1000000</f>
        <v>3.0863713278964946</v>
      </c>
      <c r="K8" s="33"/>
      <c r="L8" s="33"/>
      <c r="M8" s="33"/>
      <c r="N8" s="33">
        <f>C30*'E Balans VL '!Y18/100/3.6*1000000</f>
        <v>0.56067540194049159</v>
      </c>
      <c r="O8" s="33"/>
      <c r="P8" s="33"/>
      <c r="R8" s="32"/>
    </row>
    <row r="9" spans="1:18">
      <c r="A9" s="6" t="s">
        <v>32</v>
      </c>
      <c r="B9" s="37">
        <f t="shared" si="0"/>
        <v>1690.22644729435</v>
      </c>
      <c r="C9" s="33"/>
      <c r="D9" s="37">
        <f>IF( ISERROR(IND_andere_gas_kWh/1000),0,IND_andere_gas_kWh/1000)*0.902</f>
        <v>415.38641450790266</v>
      </c>
      <c r="E9" s="33">
        <f>C31*'E Balans VL '!I19/100/3.6*1000000</f>
        <v>28.389423775816915</v>
      </c>
      <c r="F9" s="33">
        <f>C31*'E Balans VL '!L19/100/3.6*1000000+C31*'E Balans VL '!N19/100/3.6*1000000</f>
        <v>1321.3227683843916</v>
      </c>
      <c r="G9" s="34"/>
      <c r="H9" s="33"/>
      <c r="I9" s="33"/>
      <c r="J9" s="40">
        <f>C31*'E Balans VL '!D19/100/3.6*1000000+C31*'E Balans VL '!E19/100/3.6*1000000</f>
        <v>0.15244350526650879</v>
      </c>
      <c r="K9" s="33"/>
      <c r="L9" s="33"/>
      <c r="M9" s="33"/>
      <c r="N9" s="33">
        <f>C31*'E Balans VL '!Y19/100/3.6*1000000</f>
        <v>125.27289704052555</v>
      </c>
      <c r="O9" s="33"/>
      <c r="P9" s="33"/>
      <c r="R9" s="32"/>
    </row>
    <row r="10" spans="1:18">
      <c r="A10" s="6" t="s">
        <v>40</v>
      </c>
      <c r="B10" s="37">
        <f t="shared" si="0"/>
        <v>490.15116925643298</v>
      </c>
      <c r="C10" s="33"/>
      <c r="D10" s="37">
        <f>IF( ISERROR(IND_voed_gas_kWh/1000),0,IND_voed_gas_kWh/1000)*0.902</f>
        <v>489.57215730868614</v>
      </c>
      <c r="E10" s="33">
        <f>C32*'E Balans VL '!I20/100/3.6*1000000</f>
        <v>4.4719355859871026</v>
      </c>
      <c r="F10" s="33">
        <f>C32*'E Balans VL '!L20/100/3.6*1000000+C32*'E Balans VL '!N20/100/3.6*1000000</f>
        <v>79.07671463243382</v>
      </c>
      <c r="G10" s="34"/>
      <c r="H10" s="33"/>
      <c r="I10" s="33"/>
      <c r="J10" s="40">
        <f>C32*'E Balans VL '!D20/100/3.6*1000000+C32*'E Balans VL '!E20/100/3.6*1000000</f>
        <v>2.0187638736599478</v>
      </c>
      <c r="K10" s="33"/>
      <c r="L10" s="33"/>
      <c r="M10" s="33"/>
      <c r="N10" s="33">
        <f>C32*'E Balans VL '!Y20/100/3.6*1000000</f>
        <v>7.1705251111772608</v>
      </c>
      <c r="O10" s="33"/>
      <c r="P10" s="33"/>
      <c r="R10" s="32"/>
    </row>
    <row r="11" spans="1:18">
      <c r="A11" s="6" t="s">
        <v>39</v>
      </c>
      <c r="B11" s="37">
        <f t="shared" si="0"/>
        <v>1348.8312898812301</v>
      </c>
      <c r="C11" s="33"/>
      <c r="D11" s="37">
        <f>IF( ISERROR(IND_textiel_gas_kWh/1000),0,IND_textiel_gas_kWh/1000)*0.902</f>
        <v>0</v>
      </c>
      <c r="E11" s="33">
        <f>C33*'E Balans VL '!I21/100/3.6*1000000</f>
        <v>3.0764339747120659</v>
      </c>
      <c r="F11" s="33">
        <f>C33*'E Balans VL '!L21/100/3.6*1000000+C33*'E Balans VL '!N21/100/3.6*1000000</f>
        <v>28.832519856596569</v>
      </c>
      <c r="G11" s="34"/>
      <c r="H11" s="33"/>
      <c r="I11" s="33"/>
      <c r="J11" s="40">
        <f>C33*'E Balans VL '!D21/100/3.6*1000000+C33*'E Balans VL '!E21/100/3.6*1000000</f>
        <v>0</v>
      </c>
      <c r="K11" s="33"/>
      <c r="L11" s="33"/>
      <c r="M11" s="33"/>
      <c r="N11" s="33">
        <f>C33*'E Balans VL '!Y21/100/3.6*1000000</f>
        <v>9.5684272002007251</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22.889260155021699</v>
      </c>
      <c r="C13" s="33"/>
      <c r="D13" s="37">
        <f>IF( ISERROR(IND_papier_gas_kWh/1000),0,IND_papier_gas_kWh/1000)*0.902</f>
        <v>32.03975377285937</v>
      </c>
      <c r="E13" s="33">
        <f>C35*'E Balans VL '!I23/100/3.6*1000000</f>
        <v>0.70424279932121947</v>
      </c>
      <c r="F13" s="33">
        <f>C35*'E Balans VL '!L23/100/3.6*1000000+C35*'E Balans VL '!N23/100/3.6*1000000</f>
        <v>4.8601898632916098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292.49926385149695</v>
      </c>
      <c r="C14" s="33"/>
      <c r="D14" s="37">
        <f>IF( ISERROR(IND_chemie_gas_kWh/1000),0,IND_chemie_gas_kWh/1000)*0.902</f>
        <v>0</v>
      </c>
      <c r="E14" s="33">
        <f>C36*'E Balans VL '!I24/100/3.6*1000000</f>
        <v>0.99177396820778263</v>
      </c>
      <c r="F14" s="33">
        <f>C36*'E Balans VL '!L24/100/3.6*1000000+C36*'E Balans VL '!N24/100/3.6*1000000</f>
        <v>0.9387010062021669</v>
      </c>
      <c r="G14" s="34"/>
      <c r="H14" s="33"/>
      <c r="I14" s="33"/>
      <c r="J14" s="40">
        <f>C36*'E Balans VL '!D24/100/3.6*1000000+C36*'E Balans VL '!E24/100/3.6*1000000</f>
        <v>0</v>
      </c>
      <c r="K14" s="33"/>
      <c r="L14" s="33"/>
      <c r="M14" s="33"/>
      <c r="N14" s="33">
        <f>C36*'E Balans VL '!Y24/100/3.6*1000000</f>
        <v>1.3676472890586915</v>
      </c>
      <c r="O14" s="33"/>
      <c r="P14" s="33"/>
      <c r="R14" s="32"/>
    </row>
    <row r="15" spans="1:18">
      <c r="A15" s="6" t="s">
        <v>259</v>
      </c>
      <c r="B15" s="37">
        <f t="shared" si="0"/>
        <v>19244.985758556501</v>
      </c>
      <c r="C15" s="33"/>
      <c r="D15" s="37">
        <f>IF( ISERROR(IND_rest_gas_kWh/1000),0,IND_rest_gas_kWh/1000)*0.902</f>
        <v>515.51703711634775</v>
      </c>
      <c r="E15" s="33">
        <f>C37*'E Balans VL '!I15/100/3.6*1000000</f>
        <v>173.6814450734706</v>
      </c>
      <c r="F15" s="33">
        <f>C37*'E Balans VL '!L15/100/3.6*1000000+C37*'E Balans VL '!N15/100/3.6*1000000</f>
        <v>3847.227187490731</v>
      </c>
      <c r="G15" s="34"/>
      <c r="H15" s="33"/>
      <c r="I15" s="33"/>
      <c r="J15" s="40">
        <f>C37*'E Balans VL '!D15/100/3.6*1000000+C37*'E Balans VL '!E15/100/3.6*1000000</f>
        <v>129.58326763698238</v>
      </c>
      <c r="K15" s="33"/>
      <c r="L15" s="33"/>
      <c r="M15" s="33"/>
      <c r="N15" s="33">
        <f>C37*'E Balans VL '!Y15/100/3.6*1000000</f>
        <v>346.330010256305</v>
      </c>
      <c r="O15" s="33"/>
      <c r="P15" s="33"/>
      <c r="R15" s="32"/>
    </row>
    <row r="16" spans="1:18">
      <c r="A16" s="16" t="s">
        <v>483</v>
      </c>
      <c r="B16" s="243">
        <f>'lokale energieproductie'!N38+'lokale energieproductie'!N31</f>
        <v>0</v>
      </c>
      <c r="C16" s="243">
        <f>'lokale energieproductie'!O38+'lokale energieproductie'!O31</f>
        <v>0</v>
      </c>
      <c r="D16" s="302">
        <f>('lokale energieproductie'!P31+'lokale energieproductie'!P38)*(-1)</f>
        <v>0</v>
      </c>
      <c r="E16" s="244"/>
      <c r="F16" s="302">
        <f>('lokale energieproductie'!S31+'lokale energieproductie'!S38)*(-1)</f>
        <v>0</v>
      </c>
      <c r="G16" s="245"/>
      <c r="H16" s="244"/>
      <c r="I16" s="244"/>
      <c r="J16" s="244"/>
      <c r="K16" s="244"/>
      <c r="L16" s="302">
        <f>('lokale energieproductie'!T31+'lokale energieproductie'!U31+'lokale energieproductie'!T38+'lokale energieproductie'!U38)*(-1)</f>
        <v>0</v>
      </c>
      <c r="M16" s="244"/>
      <c r="N16" s="302">
        <f>('lokale energieproductie'!Q31+'lokale energieproductie'!R31+'lokale energieproductie'!V31+'lokale energieproductie'!Q38+'lokale energieproductie'!R38+'lokale energieproductie'!V38)*(-1)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23239.173538102583</v>
      </c>
      <c r="C18" s="21">
        <f>C5+C16</f>
        <v>0</v>
      </c>
      <c r="D18" s="21">
        <f>MAX((D5+D16),0)</f>
        <v>1452.515362705796</v>
      </c>
      <c r="E18" s="21">
        <f>MAX((E5+E16),0)</f>
        <v>212.36639355508106</v>
      </c>
      <c r="F18" s="21">
        <f>MAX((F5+F16),0)</f>
        <v>5298.6822263759695</v>
      </c>
      <c r="G18" s="21"/>
      <c r="H18" s="21"/>
      <c r="I18" s="21"/>
      <c r="J18" s="21">
        <f>MAX((J5+J16),0)</f>
        <v>134.84084634380534</v>
      </c>
      <c r="K18" s="21"/>
      <c r="L18" s="21">
        <f>MAX((L5+L16),0)</f>
        <v>0</v>
      </c>
      <c r="M18" s="21"/>
      <c r="N18" s="21">
        <f>MAX((N5+N16),0)</f>
        <v>490.2701822992077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0.21814211023304644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5069.4423556736692</v>
      </c>
      <c r="C22" s="23">
        <f ca="1">C18*C20</f>
        <v>0</v>
      </c>
      <c r="D22" s="23">
        <f>D18*D20</f>
        <v>293.40810326657078</v>
      </c>
      <c r="E22" s="23">
        <f>E18*E20</f>
        <v>48.207171337003402</v>
      </c>
      <c r="F22" s="23">
        <f>F18*F20</f>
        <v>1414.748154442384</v>
      </c>
      <c r="G22" s="23"/>
      <c r="H22" s="23"/>
      <c r="I22" s="23"/>
      <c r="J22" s="23">
        <f>J18*J20</f>
        <v>47.733659605707089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149.59034910755199</v>
      </c>
      <c r="C30" s="39">
        <f>IF(ISERROR(B30*3.6/1000000/'E Balans VL '!Z18*100),0,B30*3.6/1000000/'E Balans VL '!Z18*100)</f>
        <v>9.9583208876116592E-3</v>
      </c>
      <c r="D30" s="233" t="s">
        <v>676</v>
      </c>
    </row>
    <row r="31" spans="1:18">
      <c r="A31" s="6" t="s">
        <v>32</v>
      </c>
      <c r="B31" s="37">
        <f>IF( ISERROR(IND_ander_ele_kWh/1000),0,IND_ander_ele_kWh/1000)</f>
        <v>1690.22644729435</v>
      </c>
      <c r="C31" s="39">
        <f>IF(ISERROR(B31*3.6/1000000/'E Balans VL '!Z19*100),0,B31*3.6/1000000/'E Balans VL '!Z19*100)</f>
        <v>7.4921040130980429E-2</v>
      </c>
      <c r="D31" s="233" t="s">
        <v>676</v>
      </c>
    </row>
    <row r="32" spans="1:18">
      <c r="A32" s="168" t="s">
        <v>40</v>
      </c>
      <c r="B32" s="37">
        <f>IF( ISERROR(IND_voed_ele_kWh/1000),0,IND_voed_ele_kWh/1000)</f>
        <v>490.15116925643298</v>
      </c>
      <c r="C32" s="39">
        <f>IF(ISERROR(B32*3.6/1000000/'E Balans VL '!Z20*100),0,B32*3.6/1000000/'E Balans VL '!Z20*100)</f>
        <v>1.6372455114889509E-2</v>
      </c>
      <c r="D32" s="233" t="s">
        <v>676</v>
      </c>
    </row>
    <row r="33" spans="1:5">
      <c r="A33" s="168" t="s">
        <v>39</v>
      </c>
      <c r="B33" s="37">
        <f>IF( ISERROR(IND_textiel_ele_kWh/1000),0,IND_textiel_ele_kWh/1000)</f>
        <v>1348.8312898812301</v>
      </c>
      <c r="C33" s="39">
        <f>IF(ISERROR(B33*3.6/1000000/'E Balans VL '!Z21*100),0,B33*3.6/1000000/'E Balans VL '!Z21*100)</f>
        <v>0.17757674977174251</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22.889260155021699</v>
      </c>
      <c r="C35" s="39">
        <f>IF(ISERROR(B35*3.6/1000000/'E Balans VL '!Z22*100),0,B35*3.6/1000000/'E Balans VL '!Z22*100)</f>
        <v>4.4517096759207351E-3</v>
      </c>
      <c r="D35" s="233" t="s">
        <v>676</v>
      </c>
    </row>
    <row r="36" spans="1:5">
      <c r="A36" s="168" t="s">
        <v>33</v>
      </c>
      <c r="B36" s="37">
        <f>IF( ISERROR(IND_chemie_ele_kWh/1000),0,IND_chemie_ele_kWh/1000)</f>
        <v>292.49926385149695</v>
      </c>
      <c r="C36" s="39">
        <f>IF(ISERROR(B36*3.6/1000000/'E Balans VL '!Z24*100),0,B36*3.6/1000000/'E Balans VL '!Z24*100)</f>
        <v>6.8686705322806938E-3</v>
      </c>
      <c r="D36" s="233" t="s">
        <v>676</v>
      </c>
    </row>
    <row r="37" spans="1:5">
      <c r="A37" s="168" t="s">
        <v>259</v>
      </c>
      <c r="B37" s="37">
        <f>IF( ISERROR(IND_rest_ele_kWh/1000),0,IND_rest_ele_kWh/1000)</f>
        <v>19244.985758556501</v>
      </c>
      <c r="C37" s="39">
        <f>IF(ISERROR(B37*3.6/1000000/'E Balans VL '!Z15*100),0,B37*3.6/1000000/'E Balans VL '!Z15*100)</f>
        <v>0.14315134127996795</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3541.9704188226642</v>
      </c>
      <c r="C5" s="17">
        <f>'Eigen informatie GS &amp; warmtenet'!B60</f>
        <v>0</v>
      </c>
      <c r="D5" s="30">
        <f>IF(ISERROR(SUM(LB_lb_gas_kWh,LB_rest_gas_kWh)/1000),0,SUM(LB_lb_gas_kWh,LB_rest_gas_kWh)/1000)*0.902</f>
        <v>12083.927654473042</v>
      </c>
      <c r="E5" s="17">
        <f>B17*'E Balans VL '!I25/3.6*1000000/100</f>
        <v>31.917647837929486</v>
      </c>
      <c r="F5" s="17">
        <f>B17*('E Balans VL '!L25/3.6*1000000+'E Balans VL '!N25/3.6*1000000)/100</f>
        <v>13271.871185849135</v>
      </c>
      <c r="G5" s="18"/>
      <c r="H5" s="17"/>
      <c r="I5" s="17"/>
      <c r="J5" s="17">
        <f>('E Balans VL '!D25+'E Balans VL '!E25)/3.6*1000000*landbouw!B17/100</f>
        <v>358.43275720425436</v>
      </c>
      <c r="K5" s="17"/>
      <c r="L5" s="17">
        <f>L6*(-1)</f>
        <v>0</v>
      </c>
      <c r="M5" s="17"/>
      <c r="N5" s="17">
        <f>N6*(-1)</f>
        <v>0</v>
      </c>
      <c r="O5" s="17"/>
      <c r="P5" s="17"/>
      <c r="R5" s="32"/>
    </row>
    <row r="6" spans="1:18">
      <c r="A6" s="16" t="s">
        <v>483</v>
      </c>
      <c r="B6" s="17" t="s">
        <v>204</v>
      </c>
      <c r="C6" s="17">
        <f>'lokale energieproductie'!O40+'lokale energieproductie'!O33</f>
        <v>7637.1428571428569</v>
      </c>
      <c r="D6" s="302">
        <f>('lokale energieproductie'!P33+'lokale energieproductie'!P40)*(-1)</f>
        <v>-15274.285714285716</v>
      </c>
      <c r="E6" s="244"/>
      <c r="F6" s="302">
        <f>('lokale energieproductie'!S33+'lokale energieproductie'!S40)*(-1)</f>
        <v>0</v>
      </c>
      <c r="G6" s="245"/>
      <c r="H6" s="244"/>
      <c r="I6" s="244"/>
      <c r="J6" s="244"/>
      <c r="K6" s="244"/>
      <c r="L6" s="302">
        <f>('lokale energieproductie'!T33+'lokale energieproductie'!U33+'lokale energieproductie'!T40+'lokale energieproductie'!U40)*(-1)</f>
        <v>0</v>
      </c>
      <c r="M6" s="244"/>
      <c r="N6" s="302">
        <f>('lokale energieproductie'!V33+'lokale energieproductie'!R33+'lokale energieproductie'!Q33+'lokale energieproductie'!Q40+'lokale energieproductie'!R40+'lokale energieproductie'!V40)*(-1)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3541.9704188226642</v>
      </c>
      <c r="C8" s="21">
        <f>C5+C6</f>
        <v>7637.1428571428569</v>
      </c>
      <c r="D8" s="21">
        <f>MAX((D5+D6),0)</f>
        <v>0</v>
      </c>
      <c r="E8" s="21">
        <f>MAX((E5+E6),0)</f>
        <v>31.917647837929486</v>
      </c>
      <c r="F8" s="21">
        <f>MAX((F5+F6),0)</f>
        <v>13271.871185849135</v>
      </c>
      <c r="G8" s="21"/>
      <c r="H8" s="21"/>
      <c r="I8" s="21"/>
      <c r="J8" s="21">
        <f>MAX((J5+J6),0)</f>
        <v>358.43275720425436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0.21814211023304644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772.65290154500326</v>
      </c>
      <c r="C12" s="23">
        <f ca="1">C8*C10</f>
        <v>1814.9445378151263</v>
      </c>
      <c r="D12" s="23">
        <f>D8*D10</f>
        <v>0</v>
      </c>
      <c r="E12" s="23">
        <f>E8*E10</f>
        <v>7.2453060592099936</v>
      </c>
      <c r="F12" s="23">
        <f>F8*F10</f>
        <v>3543.5896066217192</v>
      </c>
      <c r="G12" s="23"/>
      <c r="H12" s="23"/>
      <c r="I12" s="23"/>
      <c r="J12" s="23">
        <f>J8*J10</f>
        <v>126.88519605030604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0.54517762012105286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342.92663975275315</v>
      </c>
      <c r="C26" s="243">
        <f>B26*'GWP N2O_CH4'!B5</f>
        <v>7201.4594348078163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245.10817187174146</v>
      </c>
      <c r="C27" s="243">
        <f>B27*'GWP N2O_CH4'!B5</f>
        <v>5147.271609306571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5.9317576350723291</v>
      </c>
      <c r="C28" s="243">
        <f>B28*'GWP N2O_CH4'!B4</f>
        <v>1838.844866872422</v>
      </c>
      <c r="D28" s="50"/>
    </row>
    <row r="29" spans="1:4">
      <c r="A29" s="41" t="s">
        <v>266</v>
      </c>
      <c r="B29" s="243">
        <f>B34*'ha_N2O bodem landbouw'!B4</f>
        <v>10.14807954115394</v>
      </c>
      <c r="C29" s="243">
        <f>B29*'GWP N2O_CH4'!B4</f>
        <v>3145.9046577577215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2.6347561809714698E-3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1.2574217916176621E-6</v>
      </c>
      <c r="C5" s="431" t="s">
        <v>204</v>
      </c>
      <c r="D5" s="416">
        <f>SUM(D6:D11)</f>
        <v>4.4578277919782964E-6</v>
      </c>
      <c r="E5" s="416">
        <f>SUM(E6:E11)</f>
        <v>4.5136722693515355E-4</v>
      </c>
      <c r="F5" s="429" t="s">
        <v>204</v>
      </c>
      <c r="G5" s="416">
        <f>SUM(G6:G11)</f>
        <v>0.10425827489856869</v>
      </c>
      <c r="H5" s="416">
        <f>SUM(H6:H11)</f>
        <v>1.5155059064591928E-2</v>
      </c>
      <c r="I5" s="431" t="s">
        <v>204</v>
      </c>
      <c r="J5" s="431" t="s">
        <v>204</v>
      </c>
      <c r="K5" s="431" t="s">
        <v>204</v>
      </c>
      <c r="L5" s="431" t="s">
        <v>204</v>
      </c>
      <c r="M5" s="416">
        <f>SUM(M6:M11)</f>
        <v>5.1888730966260926E-3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8.0981860176737955E-7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2.5561736813703718E-6</v>
      </c>
      <c r="E6" s="419">
        <f>vkm_GW_PW*SUMIFS(TableVerdeelsleutelVkm[LPG],TableVerdeelsleutelVkm[Voertuigtype],"Lichte voertuigen")*SUMIFS(TableECFTransport[EnergieConsumptieFactor (PJ per km)],TableECFTransport[Index],CONCATENATE($A6,"_LPG_LPG"))</f>
        <v>2.6548026836830372E-4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3.5436967967863199E-2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8.9002392533299394E-3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1.9362295996811793E-3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7.1847445280251909E-8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3.2387070084386675E-2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9.52968598714778E-7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1.3952519490213911E-3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3.5520731086869237E-7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1.9016541106079241E-6</v>
      </c>
      <c r="E8" s="419">
        <f>vkm_NGW_PW*SUMIFS(TableVerdeelsleutelVkm[LPG],TableVerdeelsleutelVkm[Voertuigtype],"Lichte voertuigen")*SUMIFS(TableECFTransport[EnergieConsumptieFactor (PJ per km)],TableECFTransport[Index],CONCATENATE($A8,"_LPG_LPG"))</f>
        <v>1.8588695856684983E-4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2.3603899642290385E-2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6.2535378680160583E-3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1.3046561329951808E-3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2.0548433701338266E-8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1.283033720402843E-2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3.2897464721499595E-7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5.5273541492834206E-4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0.34928383100490618</v>
      </c>
      <c r="C14" s="21"/>
      <c r="D14" s="21">
        <f t="shared" ref="D14:M14" si="0">((D5)*10^9/3600)+D12</f>
        <v>1.238285497771749</v>
      </c>
      <c r="E14" s="21">
        <f t="shared" si="0"/>
        <v>125.37978525976487</v>
      </c>
      <c r="F14" s="21"/>
      <c r="G14" s="21">
        <f t="shared" si="0"/>
        <v>28960.631916269082</v>
      </c>
      <c r="H14" s="21">
        <f t="shared" si="0"/>
        <v>4209.7386290533132</v>
      </c>
      <c r="I14" s="21"/>
      <c r="J14" s="21"/>
      <c r="K14" s="21"/>
      <c r="L14" s="21"/>
      <c r="M14" s="21">
        <f t="shared" si="0"/>
        <v>1441.3536379516925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0.21814211023304644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7.6193511965693003E-2</v>
      </c>
      <c r="C18" s="23"/>
      <c r="D18" s="23">
        <f t="shared" ref="D18:M18" si="1">D14*D16</f>
        <v>0.25013367054989333</v>
      </c>
      <c r="E18" s="23">
        <f t="shared" si="1"/>
        <v>28.461211253966628</v>
      </c>
      <c r="F18" s="23"/>
      <c r="G18" s="23">
        <f t="shared" si="1"/>
        <v>7732.4887216438456</v>
      </c>
      <c r="H18" s="23">
        <f t="shared" si="1"/>
        <v>1048.2249186342749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2.7336428907381514E-6</v>
      </c>
      <c r="C50" s="313">
        <f t="shared" ref="C50:P50" si="2">SUM(C51:C52)</f>
        <v>0</v>
      </c>
      <c r="D50" s="313">
        <f t="shared" si="2"/>
        <v>0</v>
      </c>
      <c r="E50" s="313">
        <f t="shared" si="2"/>
        <v>0</v>
      </c>
      <c r="F50" s="313">
        <f t="shared" si="2"/>
        <v>0</v>
      </c>
      <c r="G50" s="313">
        <f t="shared" si="2"/>
        <v>5.930363797582277E-4</v>
      </c>
      <c r="H50" s="313">
        <f t="shared" si="2"/>
        <v>0</v>
      </c>
      <c r="I50" s="313">
        <f t="shared" si="2"/>
        <v>0</v>
      </c>
      <c r="J50" s="313">
        <f t="shared" si="2"/>
        <v>0</v>
      </c>
      <c r="K50" s="313">
        <f t="shared" si="2"/>
        <v>0</v>
      </c>
      <c r="L50" s="313">
        <f t="shared" si="2"/>
        <v>0</v>
      </c>
      <c r="M50" s="313">
        <f t="shared" si="2"/>
        <v>2.5391539780830156E-5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2.7336428907381514E-6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5.930363797582277E-4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2.5391539780830156E-5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0.75934524742726428</v>
      </c>
      <c r="C54" s="21">
        <f t="shared" ref="C54:P54" si="3">(C50)*10^9/3600</f>
        <v>0</v>
      </c>
      <c r="D54" s="21">
        <f t="shared" si="3"/>
        <v>0</v>
      </c>
      <c r="E54" s="21">
        <f t="shared" si="3"/>
        <v>0</v>
      </c>
      <c r="F54" s="21">
        <f t="shared" si="3"/>
        <v>0</v>
      </c>
      <c r="G54" s="21">
        <f t="shared" si="3"/>
        <v>164.73232771061882</v>
      </c>
      <c r="H54" s="21">
        <f t="shared" si="3"/>
        <v>0</v>
      </c>
      <c r="I54" s="21">
        <f t="shared" si="3"/>
        <v>0</v>
      </c>
      <c r="J54" s="21">
        <f t="shared" si="3"/>
        <v>0</v>
      </c>
      <c r="K54" s="21">
        <f t="shared" si="3"/>
        <v>0</v>
      </c>
      <c r="L54" s="21">
        <f t="shared" si="3"/>
        <v>0</v>
      </c>
      <c r="M54" s="21">
        <f t="shared" si="3"/>
        <v>7.0532054946750433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0.21814211023304644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0.16564517466921821</v>
      </c>
      <c r="C58" s="23">
        <f t="shared" ref="C58:P58" ca="1" si="4">C54*C56</f>
        <v>0</v>
      </c>
      <c r="D58" s="23">
        <f t="shared" si="4"/>
        <v>0</v>
      </c>
      <c r="E58" s="23">
        <f t="shared" si="4"/>
        <v>0</v>
      </c>
      <c r="F58" s="23">
        <f t="shared" si="4"/>
        <v>0</v>
      </c>
      <c r="G58" s="23">
        <f t="shared" si="4"/>
        <v>43.983531498735225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1048.5183875341415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N30</f>
        <v>5346</v>
      </c>
      <c r="C8" s="542">
        <f>B49</f>
        <v>6289.4117647058838</v>
      </c>
      <c r="D8" s="920"/>
      <c r="E8" s="920">
        <f>E49</f>
        <v>0</v>
      </c>
      <c r="F8" s="921"/>
      <c r="G8" s="543"/>
      <c r="H8" s="920">
        <f>I49</f>
        <v>0</v>
      </c>
      <c r="I8" s="920">
        <f>G49+F49</f>
        <v>0</v>
      </c>
      <c r="J8" s="920">
        <f>H49+D49+C49</f>
        <v>0</v>
      </c>
      <c r="K8" s="920"/>
      <c r="L8" s="920"/>
      <c r="M8" s="920"/>
      <c r="N8" s="544"/>
      <c r="O8" s="545">
        <f>C8*$C$12+D8*$D$12+E8*$E$12+F8*$F$12+G8*$G$12+H8*$H$12+I8*$I$12+J8*$J$12</f>
        <v>1270.4611764705885</v>
      </c>
      <c r="P8" s="1181"/>
      <c r="Q8" s="1182"/>
      <c r="S8" s="953"/>
      <c r="T8" s="1169"/>
      <c r="U8" s="1169"/>
    </row>
    <row r="9" spans="1:21" s="530" customFormat="1" ht="17.45" customHeight="1" thickBot="1">
      <c r="A9" s="546" t="s">
        <v>237</v>
      </c>
      <c r="B9" s="957">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6394.5183875341418</v>
      </c>
      <c r="C10" s="554">
        <f t="shared" ref="C10:L10" si="0">SUM(C8:C9)</f>
        <v>6289.4117647058838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1270.4611764705885</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O30</f>
        <v>7637.1428571428569</v>
      </c>
      <c r="C17" s="566">
        <f>B50</f>
        <v>8984.8739495798327</v>
      </c>
      <c r="D17" s="567"/>
      <c r="E17" s="567">
        <f>E50</f>
        <v>0</v>
      </c>
      <c r="F17" s="568"/>
      <c r="G17" s="569"/>
      <c r="H17" s="566">
        <f>I50</f>
        <v>0</v>
      </c>
      <c r="I17" s="567">
        <f>G50+F50</f>
        <v>0</v>
      </c>
      <c r="J17" s="567">
        <f>H50+D50+C50</f>
        <v>0</v>
      </c>
      <c r="K17" s="567"/>
      <c r="L17" s="567"/>
      <c r="M17" s="567"/>
      <c r="N17" s="916"/>
      <c r="O17" s="570">
        <f>C17*$C$22+E17*$E$22+H17*$H$22+I17*$I$22+J17*$J$22+D17*$D$22+F17*$F$22+G17*$G$22+K17*$K$22+L17*$L$22</f>
        <v>1814.9445378151263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7637.1428571428569</v>
      </c>
      <c r="C20" s="553">
        <f>SUM(C17:C19)</f>
        <v>8984.8739495798327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1814.9445378151263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37002</v>
      </c>
      <c r="C28" s="736">
        <v>8720</v>
      </c>
      <c r="D28" s="626"/>
      <c r="E28" s="625"/>
      <c r="F28" s="625"/>
      <c r="G28" s="625" t="s">
        <v>962</v>
      </c>
      <c r="H28" s="625" t="s">
        <v>963</v>
      </c>
      <c r="I28" s="625"/>
      <c r="J28" s="735"/>
      <c r="K28" s="735"/>
      <c r="L28" s="625" t="s">
        <v>964</v>
      </c>
      <c r="M28" s="625">
        <v>182</v>
      </c>
      <c r="N28" s="625">
        <v>819</v>
      </c>
      <c r="O28" s="625">
        <v>1170</v>
      </c>
      <c r="P28" s="625">
        <v>2340</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37002</v>
      </c>
      <c r="C29" s="736">
        <v>8720</v>
      </c>
      <c r="D29" s="626"/>
      <c r="E29" s="625"/>
      <c r="F29" s="625"/>
      <c r="G29" s="625" t="s">
        <v>962</v>
      </c>
      <c r="H29" s="625" t="s">
        <v>963</v>
      </c>
      <c r="I29" s="625"/>
      <c r="J29" s="735"/>
      <c r="K29" s="735"/>
      <c r="L29" s="625" t="s">
        <v>964</v>
      </c>
      <c r="M29" s="625">
        <v>1006</v>
      </c>
      <c r="N29" s="625">
        <v>4527</v>
      </c>
      <c r="O29" s="625">
        <v>6467.1428571428569</v>
      </c>
      <c r="P29" s="625">
        <v>12934.285714285716</v>
      </c>
      <c r="Q29" s="625">
        <v>0</v>
      </c>
      <c r="R29" s="625">
        <v>0</v>
      </c>
      <c r="S29" s="625">
        <v>0</v>
      </c>
      <c r="T29" s="625">
        <v>0</v>
      </c>
      <c r="U29" s="625">
        <v>0</v>
      </c>
      <c r="V29" s="625">
        <v>0</v>
      </c>
      <c r="W29" s="625">
        <v>0</v>
      </c>
      <c r="X29" s="625"/>
      <c r="Y29" s="625">
        <v>10</v>
      </c>
      <c r="Z29" s="625" t="s">
        <v>105</v>
      </c>
      <c r="AA29" s="627" t="s">
        <v>105</v>
      </c>
    </row>
    <row r="30" spans="1:27" s="561" customFormat="1" hidden="1">
      <c r="A30" s="581" t="s">
        <v>269</v>
      </c>
      <c r="B30" s="582"/>
      <c r="C30" s="582"/>
      <c r="D30" s="582"/>
      <c r="E30" s="582"/>
      <c r="F30" s="582"/>
      <c r="G30" s="582"/>
      <c r="H30" s="582"/>
      <c r="I30" s="582"/>
      <c r="J30" s="582"/>
      <c r="K30" s="582"/>
      <c r="L30" s="583"/>
      <c r="M30" s="583">
        <f>SUM(M28:M29)</f>
        <v>1188</v>
      </c>
      <c r="N30" s="583">
        <f>SUM(N28:N29)</f>
        <v>5346</v>
      </c>
      <c r="O30" s="583">
        <f>SUM(O28:O29)</f>
        <v>7637.1428571428569</v>
      </c>
      <c r="P30" s="583">
        <f>SUM(P28:P29)</f>
        <v>15274.285714285716</v>
      </c>
      <c r="Q30" s="583">
        <f>SUM(Q28:Q29)</f>
        <v>0</v>
      </c>
      <c r="R30" s="583">
        <f>SUM(R28:R29)</f>
        <v>0</v>
      </c>
      <c r="S30" s="583">
        <f>SUM(S28:S29)</f>
        <v>0</v>
      </c>
      <c r="T30" s="583">
        <f>SUM(T28:T29)</f>
        <v>0</v>
      </c>
      <c r="U30" s="583">
        <f>SUM(U28:U29)</f>
        <v>0</v>
      </c>
      <c r="V30" s="583">
        <f>SUM(V28:V29)</f>
        <v>0</v>
      </c>
      <c r="W30" s="583">
        <f>SUM(W28:W29)</f>
        <v>0</v>
      </c>
      <c r="X30" s="583"/>
      <c r="Y30" s="584"/>
      <c r="Z30" s="584"/>
      <c r="AA30" s="585"/>
    </row>
    <row r="31" spans="1:27" s="561" customFormat="1">
      <c r="A31" s="581" t="s">
        <v>276</v>
      </c>
      <c r="B31" s="582"/>
      <c r="C31" s="582"/>
      <c r="D31" s="582"/>
      <c r="E31" s="582"/>
      <c r="F31" s="582"/>
      <c r="G31" s="582"/>
      <c r="H31" s="582"/>
      <c r="I31" s="582"/>
      <c r="J31" s="582"/>
      <c r="K31" s="582"/>
      <c r="L31" s="583"/>
      <c r="M31" s="583">
        <f>SUMIF($AA$28:$AA$29,"industrie",M28:M29)</f>
        <v>0</v>
      </c>
      <c r="N31" s="583">
        <f>SUMIF($AA$28:$AA$29,"industrie",N28:N29)</f>
        <v>0</v>
      </c>
      <c r="O31" s="583">
        <f>SUMIF($AA$28:$AA$29,"industrie",O28:O29)</f>
        <v>0</v>
      </c>
      <c r="P31" s="583">
        <f>SUMIF($AA$28:$AA$29,"industrie",P28:P29)</f>
        <v>0</v>
      </c>
      <c r="Q31" s="583">
        <f>SUMIF($AA$28:$AA$29,"industrie",Q28:Q29)</f>
        <v>0</v>
      </c>
      <c r="R31" s="583">
        <f>SUMIF($AA$28:$AA$29,"industrie",R28:R29)</f>
        <v>0</v>
      </c>
      <c r="S31" s="583">
        <f>SUMIF($AA$28:$AA$29,"industrie",S28:S29)</f>
        <v>0</v>
      </c>
      <c r="T31" s="583">
        <f>SUMIF($AA$28:$AA$29,"industrie",T28:T29)</f>
        <v>0</v>
      </c>
      <c r="U31" s="583">
        <f>SUMIF($AA$28:$AA$29,"industrie",U28:U29)</f>
        <v>0</v>
      </c>
      <c r="V31" s="583">
        <f>SUMIF($AA$28:$AA$29,"industrie",V28:V29)</f>
        <v>0</v>
      </c>
      <c r="W31" s="583">
        <f>SUMIF($AA$28:$AA$29,"industrie",W28:W29)</f>
        <v>0</v>
      </c>
      <c r="X31" s="583"/>
      <c r="Y31" s="584"/>
      <c r="Z31" s="584"/>
      <c r="AA31" s="585"/>
    </row>
    <row r="32" spans="1:27" s="561" customFormat="1">
      <c r="A32" s="581" t="s">
        <v>277</v>
      </c>
      <c r="B32" s="582"/>
      <c r="C32" s="582"/>
      <c r="D32" s="582"/>
      <c r="E32" s="582"/>
      <c r="F32" s="582"/>
      <c r="G32" s="582"/>
      <c r="H32" s="582"/>
      <c r="I32" s="582"/>
      <c r="J32" s="582"/>
      <c r="K32" s="582"/>
      <c r="L32" s="583"/>
      <c r="M32" s="583">
        <f ca="1">SUMIF($AA$28:AD29,"tertiair",M28:M29)</f>
        <v>0</v>
      </c>
      <c r="N32" s="583">
        <f ca="1">SUMIF($AA$28:AE29,"tertiair",N28:N29)</f>
        <v>0</v>
      </c>
      <c r="O32" s="583">
        <f ca="1">SUMIF($AA$28:AF29,"tertiair",O28:O29)</f>
        <v>0</v>
      </c>
      <c r="P32" s="583">
        <f ca="1">SUMIF($AA$28:AG29,"tertiair",P28:P29)</f>
        <v>0</v>
      </c>
      <c r="Q32" s="583">
        <f ca="1">SUMIF($AA$28:AH29,"tertiair",Q28:Q29)</f>
        <v>0</v>
      </c>
      <c r="R32" s="583">
        <f ca="1">SUMIF($AA$28:AI29,"tertiair",R28:R29)</f>
        <v>0</v>
      </c>
      <c r="S32" s="583">
        <f ca="1">SUMIF($AA$28:AJ29,"tertiair",S28:S29)</f>
        <v>0</v>
      </c>
      <c r="T32" s="583">
        <f ca="1">SUMIF($AA$28:AK29,"tertiair",T28:T29)</f>
        <v>0</v>
      </c>
      <c r="U32" s="583">
        <f ca="1">SUMIF($AA$28:AL29,"tertiair",U28:U29)</f>
        <v>0</v>
      </c>
      <c r="V32" s="583">
        <f ca="1">SUMIF($AA$28:AM29,"tertiair",V28:V29)</f>
        <v>0</v>
      </c>
      <c r="W32" s="583">
        <f ca="1">SUMIF($AA$28:AN29,"tertiair",W28:W29)</f>
        <v>0</v>
      </c>
      <c r="X32" s="583"/>
      <c r="Y32" s="584"/>
      <c r="Z32" s="584"/>
      <c r="AA32" s="585"/>
    </row>
    <row r="33" spans="1:28" s="561" customFormat="1" ht="15.75" thickBot="1">
      <c r="A33" s="586" t="s">
        <v>278</v>
      </c>
      <c r="B33" s="587"/>
      <c r="C33" s="587"/>
      <c r="D33" s="587"/>
      <c r="E33" s="587"/>
      <c r="F33" s="587"/>
      <c r="G33" s="587"/>
      <c r="H33" s="587"/>
      <c r="I33" s="587"/>
      <c r="J33" s="587"/>
      <c r="K33" s="587"/>
      <c r="L33" s="588"/>
      <c r="M33" s="588">
        <f>SUMIF($AA$28:$AA$29,"landbouw",M28:M29)</f>
        <v>1188</v>
      </c>
      <c r="N33" s="588">
        <f>SUMIF($AA$28:$AA$29,"landbouw",N28:N29)</f>
        <v>5346</v>
      </c>
      <c r="O33" s="588">
        <f>SUMIF($AA$28:$AA$29,"landbouw",O28:O29)</f>
        <v>7637.1428571428569</v>
      </c>
      <c r="P33" s="588">
        <f>SUMIF($AA$28:$AA$29,"landbouw",P28:P29)</f>
        <v>15274.285714285716</v>
      </c>
      <c r="Q33" s="588">
        <f>SUMIF($AA$28:$AA$29,"landbouw",Q28:Q29)</f>
        <v>0</v>
      </c>
      <c r="R33" s="588">
        <f>SUMIF($AA$28:$AA$29,"landbouw",R28:R29)</f>
        <v>0</v>
      </c>
      <c r="S33" s="588">
        <f>SUMIF($AA$28:$AA$29,"landbouw",S28:S29)</f>
        <v>0</v>
      </c>
      <c r="T33" s="588">
        <f>SUMIF($AA$28:$AA$29,"landbouw",T28:T29)</f>
        <v>0</v>
      </c>
      <c r="U33" s="588">
        <f>SUMIF($AA$28:$AA$29,"landbouw",U28:U29)</f>
        <v>0</v>
      </c>
      <c r="V33" s="588">
        <f>SUMIF($AA$28:$AA$29,"landbouw",V28:V29)</f>
        <v>0</v>
      </c>
      <c r="W33" s="588">
        <f>SUMIF($AA$28:$AA$29,"landbouw",W28:W29)</f>
        <v>0</v>
      </c>
      <c r="X33" s="588"/>
      <c r="Y33" s="589"/>
      <c r="Z33" s="589"/>
      <c r="AA33" s="590"/>
    </row>
    <row r="34" spans="1:28" s="530" customFormat="1" ht="15.75" thickBot="1">
      <c r="A34" s="591"/>
      <c r="B34" s="592"/>
      <c r="C34" s="592"/>
      <c r="D34" s="592"/>
      <c r="E34" s="592"/>
      <c r="F34" s="592"/>
      <c r="G34" s="592"/>
      <c r="H34" s="592"/>
      <c r="I34" s="592"/>
      <c r="J34" s="592"/>
      <c r="K34" s="592"/>
      <c r="L34" s="575"/>
      <c r="M34" s="575"/>
      <c r="N34" s="575"/>
      <c r="O34" s="576"/>
      <c r="P34" s="576"/>
    </row>
    <row r="35" spans="1:28" s="530" customFormat="1" ht="45">
      <c r="A35" s="593" t="s">
        <v>270</v>
      </c>
      <c r="B35" s="622" t="s">
        <v>89</v>
      </c>
      <c r="C35" s="622" t="s">
        <v>90</v>
      </c>
      <c r="D35" s="622"/>
      <c r="E35" s="622"/>
      <c r="F35" s="622"/>
      <c r="G35" s="622" t="s">
        <v>91</v>
      </c>
      <c r="H35" s="622" t="s">
        <v>92</v>
      </c>
      <c r="I35" s="622"/>
      <c r="J35" s="622"/>
      <c r="K35" s="622"/>
      <c r="L35" s="622" t="s">
        <v>93</v>
      </c>
      <c r="M35" s="623" t="s">
        <v>287</v>
      </c>
      <c r="N35" s="623" t="s">
        <v>94</v>
      </c>
      <c r="O35" s="623" t="s">
        <v>95</v>
      </c>
      <c r="P35" s="623" t="s">
        <v>528</v>
      </c>
      <c r="Q35" s="623" t="s">
        <v>96</v>
      </c>
      <c r="R35" s="623" t="s">
        <v>97</v>
      </c>
      <c r="S35" s="623" t="s">
        <v>98</v>
      </c>
      <c r="T35" s="623" t="s">
        <v>99</v>
      </c>
      <c r="U35" s="623" t="s">
        <v>100</v>
      </c>
      <c r="V35" s="623" t="s">
        <v>101</v>
      </c>
      <c r="W35" s="622" t="s">
        <v>102</v>
      </c>
      <c r="X35" s="622" t="s">
        <v>961</v>
      </c>
      <c r="Y35" s="622" t="s">
        <v>288</v>
      </c>
      <c r="Z35" s="622" t="s">
        <v>103</v>
      </c>
      <c r="AA35" s="624" t="s">
        <v>289</v>
      </c>
    </row>
    <row r="36" spans="1:28" s="594" customFormat="1" ht="12.75" hidden="1">
      <c r="A36" s="580"/>
      <c r="B36" s="736"/>
      <c r="C36" s="736"/>
      <c r="D36" s="628"/>
      <c r="E36" s="628"/>
      <c r="F36" s="628"/>
      <c r="G36" s="628"/>
      <c r="H36" s="628"/>
      <c r="I36" s="628"/>
      <c r="J36" s="735"/>
      <c r="K36" s="735"/>
      <c r="L36" s="628"/>
      <c r="M36" s="628"/>
      <c r="N36" s="628"/>
      <c r="O36" s="628"/>
      <c r="P36" s="628"/>
      <c r="Q36" s="628"/>
      <c r="R36" s="628"/>
      <c r="S36" s="628"/>
      <c r="T36" s="628"/>
      <c r="U36" s="628"/>
      <c r="V36" s="628"/>
      <c r="W36" s="628"/>
      <c r="X36" s="628"/>
      <c r="Y36" s="628"/>
      <c r="Z36" s="628"/>
      <c r="AA36" s="629"/>
    </row>
    <row r="37" spans="1:28" s="561" customFormat="1" hidden="1">
      <c r="A37" s="581" t="s">
        <v>269</v>
      </c>
      <c r="B37" s="582"/>
      <c r="C37" s="582"/>
      <c r="D37" s="582"/>
      <c r="E37" s="582"/>
      <c r="F37" s="582"/>
      <c r="G37" s="582"/>
      <c r="H37" s="582"/>
      <c r="I37" s="582"/>
      <c r="J37" s="582"/>
      <c r="K37" s="582"/>
      <c r="L37" s="583"/>
      <c r="M37" s="583">
        <f>SUM(M36:M36)</f>
        <v>0</v>
      </c>
      <c r="N37" s="583">
        <f>SUM(N36:N36)</f>
        <v>0</v>
      </c>
      <c r="O37" s="583">
        <f>SUM(O36:O36)</f>
        <v>0</v>
      </c>
      <c r="P37" s="583">
        <f>SUM(P36:P36)</f>
        <v>0</v>
      </c>
      <c r="Q37" s="583">
        <f>SUM(Q36:Q36)</f>
        <v>0</v>
      </c>
      <c r="R37" s="583">
        <f>SUM(R36:R36)</f>
        <v>0</v>
      </c>
      <c r="S37" s="583">
        <f>SUM(S36:S36)</f>
        <v>0</v>
      </c>
      <c r="T37" s="583">
        <f>SUM(T36:T36)</f>
        <v>0</v>
      </c>
      <c r="U37" s="583">
        <f>SUM(U36:U36)</f>
        <v>0</v>
      </c>
      <c r="V37" s="583">
        <f>SUM(V36:V36)</f>
        <v>0</v>
      </c>
      <c r="W37" s="583">
        <f>SUM(W36:W36)</f>
        <v>0</v>
      </c>
      <c r="X37" s="583"/>
      <c r="Y37" s="584"/>
      <c r="Z37" s="584"/>
      <c r="AA37" s="585"/>
    </row>
    <row r="38" spans="1:28" s="561" customFormat="1">
      <c r="A38" s="581" t="s">
        <v>276</v>
      </c>
      <c r="B38" s="582"/>
      <c r="C38" s="582"/>
      <c r="D38" s="582"/>
      <c r="E38" s="582"/>
      <c r="F38" s="582"/>
      <c r="G38" s="582"/>
      <c r="H38" s="582"/>
      <c r="I38" s="582"/>
      <c r="J38" s="582"/>
      <c r="K38" s="582"/>
      <c r="L38" s="583"/>
      <c r="M38" s="583">
        <f>SUMIF($AA$36:$AA$36,"industrie",M36:M36)</f>
        <v>0</v>
      </c>
      <c r="N38" s="583">
        <f>SUMIF($AA$36:$AA$36,"industrie",N36:N36)</f>
        <v>0</v>
      </c>
      <c r="O38" s="583">
        <f>SUMIF($AA$36:$AA$36,"industrie",O36:O36)</f>
        <v>0</v>
      </c>
      <c r="P38" s="583">
        <f>SUMIF($AA$36:$AA$36,"industrie",P36:P36)</f>
        <v>0</v>
      </c>
      <c r="Q38" s="583">
        <f>SUMIF($AA$36:$AA$36,"industrie",Q36:Q36)</f>
        <v>0</v>
      </c>
      <c r="R38" s="583">
        <f>SUMIF($AA$36:$AA$36,"industrie",R36:R36)</f>
        <v>0</v>
      </c>
      <c r="S38" s="583">
        <f>SUMIF($AA$36:$AA$36,"industrie",S36:S36)</f>
        <v>0</v>
      </c>
      <c r="T38" s="583">
        <f>SUMIF($AA$36:$AA$36,"industrie",T36:T36)</f>
        <v>0</v>
      </c>
      <c r="U38" s="583">
        <f>SUMIF($AA$36:$AA$36,"industrie",U36:U36)</f>
        <v>0</v>
      </c>
      <c r="V38" s="583">
        <f>SUMIF($AA$36:$AA$36,"industrie",V36:V36)</f>
        <v>0</v>
      </c>
      <c r="W38" s="583">
        <f>SUMIF($AA$36:$AA$36,"industrie",W36:W36)</f>
        <v>0</v>
      </c>
      <c r="X38" s="583"/>
      <c r="Y38" s="584"/>
      <c r="Z38" s="584"/>
      <c r="AA38" s="585"/>
    </row>
    <row r="39" spans="1:28" s="561" customFormat="1">
      <c r="A39" s="581" t="s">
        <v>277</v>
      </c>
      <c r="B39" s="582"/>
      <c r="C39" s="582"/>
      <c r="D39" s="582"/>
      <c r="E39" s="582"/>
      <c r="F39" s="582"/>
      <c r="G39" s="582"/>
      <c r="H39" s="582"/>
      <c r="I39" s="582"/>
      <c r="J39" s="582"/>
      <c r="K39" s="582"/>
      <c r="L39" s="583"/>
      <c r="M39" s="583">
        <f>SUMIF($AA$36:$AA$37,"tertiair",M36:M37)</f>
        <v>0</v>
      </c>
      <c r="N39" s="583">
        <f>SUMIF($AA$36:$AA$37,"tertiair",N36:N37)</f>
        <v>0</v>
      </c>
      <c r="O39" s="583">
        <f>SUMIF($AA$36:$AA$37,"tertiair",O36:O37)</f>
        <v>0</v>
      </c>
      <c r="P39" s="583">
        <f>SUMIF($AA$36:$AA$37,"tertiair",P36:P37)</f>
        <v>0</v>
      </c>
      <c r="Q39" s="583">
        <f>SUMIF($AA$36:$AA$37,"tertiair",Q36:Q37)</f>
        <v>0</v>
      </c>
      <c r="R39" s="583">
        <f>SUMIF($AA$36:$AA$37,"tertiair",R36:R37)</f>
        <v>0</v>
      </c>
      <c r="S39" s="583">
        <f>SUMIF($AA$36:$AA$37,"tertiair",S36:S37)</f>
        <v>0</v>
      </c>
      <c r="T39" s="583">
        <f>SUMIF($AA$36:$AA$37,"tertiair",T36:T37)</f>
        <v>0</v>
      </c>
      <c r="U39" s="583">
        <f>SUMIF($AA$36:$AA$37,"tertiair",U36:U37)</f>
        <v>0</v>
      </c>
      <c r="V39" s="583">
        <f>SUMIF($AA$36:$AA$37,"tertiair",V36:V37)</f>
        <v>0</v>
      </c>
      <c r="W39" s="583">
        <f>SUMIF($AA$36:$AA$37,"tertiair",W36:W37)</f>
        <v>0</v>
      </c>
      <c r="X39" s="583"/>
      <c r="Y39" s="584"/>
      <c r="Z39" s="584"/>
      <c r="AA39" s="585"/>
    </row>
    <row r="40" spans="1:28" s="561" customFormat="1" ht="15.75" thickBot="1">
      <c r="A40" s="586" t="s">
        <v>278</v>
      </c>
      <c r="B40" s="587"/>
      <c r="C40" s="587"/>
      <c r="D40" s="587"/>
      <c r="E40" s="587"/>
      <c r="F40" s="587"/>
      <c r="G40" s="587"/>
      <c r="H40" s="587"/>
      <c r="I40" s="587"/>
      <c r="J40" s="587"/>
      <c r="K40" s="587"/>
      <c r="L40" s="588"/>
      <c r="M40" s="588">
        <f>SUMIF($AA$36:$AA$38,"landbouw",M36:M38)</f>
        <v>0</v>
      </c>
      <c r="N40" s="588">
        <f>SUMIF($AA$36:$AA$38,"landbouw",N36:N38)</f>
        <v>0</v>
      </c>
      <c r="O40" s="588">
        <f>SUMIF($AA$36:$AA$38,"landbouw",O36:O38)</f>
        <v>0</v>
      </c>
      <c r="P40" s="588">
        <f>SUMIF($AA$36:$AA$38,"landbouw",P36:P38)</f>
        <v>0</v>
      </c>
      <c r="Q40" s="588">
        <f>SUMIF($AA$36:$AA$38,"landbouw",Q36:Q38)</f>
        <v>0</v>
      </c>
      <c r="R40" s="588">
        <f>SUMIF($AA$36:$AA$38,"landbouw",R36:R38)</f>
        <v>0</v>
      </c>
      <c r="S40" s="588">
        <f>SUMIF($AA$36:$AA$38,"landbouw",S36:S38)</f>
        <v>0</v>
      </c>
      <c r="T40" s="588">
        <f>SUMIF($AA$36:$AA$38,"landbouw",T36:T38)</f>
        <v>0</v>
      </c>
      <c r="U40" s="588">
        <f>SUMIF($AA$36:$AA$38,"landbouw",U36:U38)</f>
        <v>0</v>
      </c>
      <c r="V40" s="588">
        <f>SUMIF($AA$36:$AA$38,"landbouw",V36:V38)</f>
        <v>0</v>
      </c>
      <c r="W40" s="588">
        <f>SUMIF($AA$36:$AA$38,"landbouw",W36:W38)</f>
        <v>0</v>
      </c>
      <c r="X40" s="588"/>
      <c r="Y40" s="589"/>
      <c r="Z40" s="589"/>
      <c r="AA40" s="590"/>
    </row>
    <row r="41" spans="1:28" s="595" customForma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row>
    <row r="42" spans="1:28" s="595" customFormat="1" ht="15.75" thickBo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row>
    <row r="43" spans="1:28">
      <c r="A43" s="596" t="s">
        <v>271</v>
      </c>
      <c r="B43" s="597"/>
      <c r="C43" s="597"/>
      <c r="D43" s="597"/>
      <c r="E43" s="597"/>
      <c r="F43" s="597"/>
      <c r="G43" s="597"/>
      <c r="H43" s="597"/>
      <c r="I43" s="598"/>
      <c r="J43" s="599"/>
      <c r="K43" s="599"/>
      <c r="L43" s="600"/>
      <c r="M43" s="600"/>
      <c r="N43" s="600"/>
      <c r="O43" s="600"/>
      <c r="P43" s="600"/>
    </row>
    <row r="44" spans="1:28">
      <c r="A44" s="602"/>
      <c r="B44" s="592"/>
      <c r="C44" s="592"/>
      <c r="D44" s="592"/>
      <c r="E44" s="592"/>
      <c r="F44" s="592"/>
      <c r="G44" s="592"/>
      <c r="H44" s="592"/>
      <c r="I44" s="603"/>
      <c r="J44" s="592"/>
      <c r="K44" s="592"/>
      <c r="L44" s="600"/>
      <c r="M44" s="600"/>
      <c r="N44" s="600"/>
      <c r="O44" s="600"/>
      <c r="P44" s="600"/>
    </row>
    <row r="45" spans="1:28">
      <c r="A45" s="604"/>
      <c r="B45" s="605" t="s">
        <v>272</v>
      </c>
      <c r="C45" s="605" t="s">
        <v>273</v>
      </c>
      <c r="D45" s="605"/>
      <c r="E45" s="605"/>
      <c r="F45" s="605"/>
      <c r="G45" s="605"/>
      <c r="H45" s="605"/>
      <c r="I45" s="606"/>
      <c r="J45" s="605"/>
      <c r="K45" s="605"/>
      <c r="L45" s="605"/>
      <c r="M45" s="605"/>
      <c r="N45" s="605"/>
      <c r="O45" s="605"/>
      <c r="P45" s="600"/>
    </row>
    <row r="46" spans="1:28">
      <c r="A46" s="602" t="s">
        <v>269</v>
      </c>
      <c r="B46" s="607">
        <f>IF(ISERROR(O30/(O30+N30)),0,O30/(O30+N30))</f>
        <v>0.58823529411764708</v>
      </c>
      <c r="C46" s="608">
        <f>IF(ISERROR(N30/(O30+N30)),0,N30/(N30+O30))</f>
        <v>0.41176470588235298</v>
      </c>
      <c r="D46" s="575"/>
      <c r="E46" s="575"/>
      <c r="F46" s="575"/>
      <c r="G46" s="575"/>
      <c r="H46" s="575"/>
      <c r="I46" s="609"/>
      <c r="J46" s="575"/>
      <c r="K46" s="575"/>
      <c r="L46" s="610"/>
      <c r="M46" s="610"/>
      <c r="N46" s="610"/>
      <c r="O46" s="610"/>
      <c r="P46" s="600"/>
    </row>
    <row r="47" spans="1:28">
      <c r="A47" s="602"/>
      <c r="B47" s="611"/>
      <c r="C47" s="611"/>
      <c r="D47" s="611"/>
      <c r="E47" s="611"/>
      <c r="F47" s="611"/>
      <c r="G47" s="611"/>
      <c r="H47" s="611"/>
      <c r="I47" s="612"/>
      <c r="J47" s="611"/>
      <c r="K47" s="611"/>
      <c r="L47" s="613"/>
      <c r="M47" s="613"/>
      <c r="N47" s="613"/>
      <c r="O47" s="613"/>
      <c r="P47" s="600"/>
    </row>
    <row r="48" spans="1:28" ht="30">
      <c r="A48" s="614"/>
      <c r="B48" s="615" t="s">
        <v>528</v>
      </c>
      <c r="C48" s="615" t="s">
        <v>96</v>
      </c>
      <c r="D48" s="615" t="s">
        <v>97</v>
      </c>
      <c r="E48" s="615" t="s">
        <v>98</v>
      </c>
      <c r="F48" s="615" t="s">
        <v>99</v>
      </c>
      <c r="G48" s="615" t="s">
        <v>100</v>
      </c>
      <c r="H48" s="615" t="s">
        <v>101</v>
      </c>
      <c r="I48" s="616" t="s">
        <v>102</v>
      </c>
      <c r="J48" s="605"/>
      <c r="K48" s="605"/>
      <c r="L48" s="613"/>
      <c r="M48" s="613"/>
      <c r="N48" s="613"/>
      <c r="O48" s="600"/>
      <c r="P48" s="600"/>
    </row>
    <row r="49" spans="1:16">
      <c r="A49" s="604" t="s">
        <v>274</v>
      </c>
      <c r="B49" s="617">
        <f t="shared" ref="B49:I49" si="2">$C$46*P30</f>
        <v>6289.4117647058838</v>
      </c>
      <c r="C49" s="617">
        <f t="shared" si="2"/>
        <v>0</v>
      </c>
      <c r="D49" s="617">
        <f t="shared" si="2"/>
        <v>0</v>
      </c>
      <c r="E49" s="617">
        <f t="shared" si="2"/>
        <v>0</v>
      </c>
      <c r="F49" s="617">
        <f t="shared" si="2"/>
        <v>0</v>
      </c>
      <c r="G49" s="617">
        <f t="shared" si="2"/>
        <v>0</v>
      </c>
      <c r="H49" s="617">
        <f t="shared" si="2"/>
        <v>0</v>
      </c>
      <c r="I49" s="618">
        <f t="shared" si="2"/>
        <v>0</v>
      </c>
      <c r="J49" s="575"/>
      <c r="K49" s="575"/>
      <c r="L49" s="613"/>
      <c r="M49" s="613"/>
      <c r="N49" s="613"/>
      <c r="O49" s="600"/>
      <c r="P49" s="600"/>
    </row>
    <row r="50" spans="1:16" ht="15.75" thickBot="1">
      <c r="A50" s="619" t="s">
        <v>275</v>
      </c>
      <c r="B50" s="620">
        <f t="shared" ref="B50:I50" si="3">$B$46*P30</f>
        <v>8984.8739495798327</v>
      </c>
      <c r="C50" s="620">
        <f t="shared" si="3"/>
        <v>0</v>
      </c>
      <c r="D50" s="620">
        <f t="shared" si="3"/>
        <v>0</v>
      </c>
      <c r="E50" s="620">
        <f t="shared" si="3"/>
        <v>0</v>
      </c>
      <c r="F50" s="620">
        <f t="shared" si="3"/>
        <v>0</v>
      </c>
      <c r="G50" s="620">
        <f t="shared" si="3"/>
        <v>0</v>
      </c>
      <c r="H50" s="620">
        <f t="shared" si="3"/>
        <v>0</v>
      </c>
      <c r="I50" s="621">
        <f t="shared" si="3"/>
        <v>0</v>
      </c>
      <c r="J50" s="575"/>
      <c r="K50" s="575"/>
      <c r="L50" s="613"/>
      <c r="M50" s="613"/>
      <c r="N50" s="613"/>
      <c r="O50" s="600"/>
      <c r="P50" s="600"/>
    </row>
    <row r="51" spans="1:16">
      <c r="J51" s="559"/>
      <c r="K51" s="559"/>
      <c r="L51" s="559"/>
      <c r="M51" s="559"/>
      <c r="N51" s="559"/>
    </row>
    <row r="52" spans="1:16">
      <c r="J52" s="559"/>
      <c r="K52" s="559"/>
      <c r="L52" s="559"/>
      <c r="M52" s="559"/>
      <c r="N52"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7617.1159340764034</v>
      </c>
      <c r="D10" s="635">
        <f ca="1">tertiair!C16</f>
        <v>0</v>
      </c>
      <c r="E10" s="635">
        <f ca="1">tertiair!D16</f>
        <v>4308.4660970706627</v>
      </c>
      <c r="F10" s="635">
        <f>tertiair!E16</f>
        <v>134.6903030309187</v>
      </c>
      <c r="G10" s="635">
        <f ca="1">tertiair!F16</f>
        <v>1319.5538445775082</v>
      </c>
      <c r="H10" s="635">
        <f>tertiair!G16</f>
        <v>0</v>
      </c>
      <c r="I10" s="635">
        <f>tertiair!H16</f>
        <v>0</v>
      </c>
      <c r="J10" s="635">
        <f>tertiair!I16</f>
        <v>0</v>
      </c>
      <c r="K10" s="635">
        <f>tertiair!J16</f>
        <v>0</v>
      </c>
      <c r="L10" s="635">
        <f>tertiair!K16</f>
        <v>0</v>
      </c>
      <c r="M10" s="635">
        <f ca="1">tertiair!L16</f>
        <v>0</v>
      </c>
      <c r="N10" s="635">
        <f>tertiair!M16</f>
        <v>0</v>
      </c>
      <c r="O10" s="635">
        <f ca="1">tertiair!N16</f>
        <v>222.56322991586703</v>
      </c>
      <c r="P10" s="635">
        <f>tertiair!O16</f>
        <v>1.5633333333333335</v>
      </c>
      <c r="Q10" s="636">
        <f>tertiair!P16</f>
        <v>0</v>
      </c>
      <c r="R10" s="638">
        <f ca="1">SUM(C10:Q10)</f>
        <v>13603.952742004696</v>
      </c>
      <c r="S10" s="67"/>
    </row>
    <row r="11" spans="1:19" s="441" customFormat="1">
      <c r="A11" s="749" t="s">
        <v>214</v>
      </c>
      <c r="B11" s="754"/>
      <c r="C11" s="635">
        <f>huishoudens!B8</f>
        <v>14831.55299691151</v>
      </c>
      <c r="D11" s="635">
        <f>huishoudens!C8</f>
        <v>0</v>
      </c>
      <c r="E11" s="635">
        <f>huishoudens!D8</f>
        <v>18053.338006292372</v>
      </c>
      <c r="F11" s="635">
        <f>huishoudens!E8</f>
        <v>970.26566308916222</v>
      </c>
      <c r="G11" s="635">
        <f>huishoudens!F8</f>
        <v>33119.432021231449</v>
      </c>
      <c r="H11" s="635">
        <f>huishoudens!G8</f>
        <v>0</v>
      </c>
      <c r="I11" s="635">
        <f>huishoudens!H8</f>
        <v>0</v>
      </c>
      <c r="J11" s="635">
        <f>huishoudens!I8</f>
        <v>0</v>
      </c>
      <c r="K11" s="635">
        <f>huishoudens!J8</f>
        <v>745.76564184662107</v>
      </c>
      <c r="L11" s="635">
        <f>huishoudens!K8</f>
        <v>0</v>
      </c>
      <c r="M11" s="635">
        <f>huishoudens!L8</f>
        <v>0</v>
      </c>
      <c r="N11" s="635">
        <f>huishoudens!M8</f>
        <v>0</v>
      </c>
      <c r="O11" s="635">
        <f>huishoudens!N8</f>
        <v>4103.469282505157</v>
      </c>
      <c r="P11" s="635">
        <f>huishoudens!O8</f>
        <v>37.520000000000003</v>
      </c>
      <c r="Q11" s="636">
        <f>huishoudens!P8</f>
        <v>228.8</v>
      </c>
      <c r="R11" s="638">
        <f>SUM(C11:Q11)</f>
        <v>72090.143611876279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23239.173538102583</v>
      </c>
      <c r="D13" s="635">
        <f>industrie!C18</f>
        <v>0</v>
      </c>
      <c r="E13" s="635">
        <f>industrie!D18</f>
        <v>1452.515362705796</v>
      </c>
      <c r="F13" s="635">
        <f>industrie!E18</f>
        <v>212.36639355508106</v>
      </c>
      <c r="G13" s="635">
        <f>industrie!F18</f>
        <v>5298.6822263759695</v>
      </c>
      <c r="H13" s="635">
        <f>industrie!G18</f>
        <v>0</v>
      </c>
      <c r="I13" s="635">
        <f>industrie!H18</f>
        <v>0</v>
      </c>
      <c r="J13" s="635">
        <f>industrie!I18</f>
        <v>0</v>
      </c>
      <c r="K13" s="635">
        <f>industrie!J18</f>
        <v>134.84084634380534</v>
      </c>
      <c r="L13" s="635">
        <f>industrie!K18</f>
        <v>0</v>
      </c>
      <c r="M13" s="635">
        <f>industrie!L18</f>
        <v>0</v>
      </c>
      <c r="N13" s="635">
        <f>industrie!M18</f>
        <v>0</v>
      </c>
      <c r="O13" s="635">
        <f>industrie!N18</f>
        <v>490.2701822992077</v>
      </c>
      <c r="P13" s="635">
        <f>industrie!O18</f>
        <v>0</v>
      </c>
      <c r="Q13" s="636">
        <f>industrie!P18</f>
        <v>0</v>
      </c>
      <c r="R13" s="638">
        <f>SUM(C13:Q13)</f>
        <v>30827.848549382445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45687.842469090494</v>
      </c>
      <c r="D16" s="668">
        <f t="shared" ref="D16:R16" ca="1" si="0">SUM(D9:D15)</f>
        <v>0</v>
      </c>
      <c r="E16" s="668">
        <f t="shared" ca="1" si="0"/>
        <v>23814.319466068831</v>
      </c>
      <c r="F16" s="668">
        <f t="shared" si="0"/>
        <v>1317.322359675162</v>
      </c>
      <c r="G16" s="668">
        <f t="shared" ca="1" si="0"/>
        <v>39737.668092184926</v>
      </c>
      <c r="H16" s="668">
        <f t="shared" si="0"/>
        <v>0</v>
      </c>
      <c r="I16" s="668">
        <f t="shared" si="0"/>
        <v>0</v>
      </c>
      <c r="J16" s="668">
        <f t="shared" si="0"/>
        <v>0</v>
      </c>
      <c r="K16" s="668">
        <f t="shared" si="0"/>
        <v>880.60648819042638</v>
      </c>
      <c r="L16" s="668">
        <f t="shared" si="0"/>
        <v>0</v>
      </c>
      <c r="M16" s="668">
        <f t="shared" ca="1" si="0"/>
        <v>0</v>
      </c>
      <c r="N16" s="668">
        <f t="shared" si="0"/>
        <v>0</v>
      </c>
      <c r="O16" s="668">
        <f t="shared" ca="1" si="0"/>
        <v>4816.3026947202316</v>
      </c>
      <c r="P16" s="668">
        <f t="shared" si="0"/>
        <v>39.083333333333336</v>
      </c>
      <c r="Q16" s="668">
        <f t="shared" si="0"/>
        <v>228.8</v>
      </c>
      <c r="R16" s="668">
        <f t="shared" ca="1" si="0"/>
        <v>116521.94490326341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0.75934524742726428</v>
      </c>
      <c r="D19" s="635">
        <f>transport!C54</f>
        <v>0</v>
      </c>
      <c r="E19" s="635">
        <f>transport!D54</f>
        <v>0</v>
      </c>
      <c r="F19" s="635">
        <f>transport!E54</f>
        <v>0</v>
      </c>
      <c r="G19" s="635">
        <f>transport!F54</f>
        <v>0</v>
      </c>
      <c r="H19" s="635">
        <f>transport!G54</f>
        <v>164.73232771061882</v>
      </c>
      <c r="I19" s="635">
        <f>transport!H54</f>
        <v>0</v>
      </c>
      <c r="J19" s="635">
        <f>transport!I54</f>
        <v>0</v>
      </c>
      <c r="K19" s="635">
        <f>transport!J54</f>
        <v>0</v>
      </c>
      <c r="L19" s="635">
        <f>transport!K54</f>
        <v>0</v>
      </c>
      <c r="M19" s="635">
        <f>transport!L54</f>
        <v>0</v>
      </c>
      <c r="N19" s="635">
        <f>transport!M54</f>
        <v>7.0532054946750433</v>
      </c>
      <c r="O19" s="635">
        <f>transport!N54</f>
        <v>0</v>
      </c>
      <c r="P19" s="635">
        <f>transport!O54</f>
        <v>0</v>
      </c>
      <c r="Q19" s="636">
        <f>transport!P54</f>
        <v>0</v>
      </c>
      <c r="R19" s="638">
        <f>SUM(C19:Q19)</f>
        <v>172.54487845272112</v>
      </c>
      <c r="S19" s="67"/>
    </row>
    <row r="20" spans="1:19" s="441" customFormat="1">
      <c r="A20" s="749" t="s">
        <v>296</v>
      </c>
      <c r="B20" s="754"/>
      <c r="C20" s="635">
        <f>transport!B14</f>
        <v>0.34928383100490618</v>
      </c>
      <c r="D20" s="635">
        <f>transport!C14</f>
        <v>0</v>
      </c>
      <c r="E20" s="635">
        <f>transport!D14</f>
        <v>1.238285497771749</v>
      </c>
      <c r="F20" s="635">
        <f>transport!E14</f>
        <v>125.37978525976487</v>
      </c>
      <c r="G20" s="635">
        <f>transport!F14</f>
        <v>0</v>
      </c>
      <c r="H20" s="635">
        <f>transport!G14</f>
        <v>28960.631916269082</v>
      </c>
      <c r="I20" s="635">
        <f>transport!H14</f>
        <v>4209.7386290533132</v>
      </c>
      <c r="J20" s="635">
        <f>transport!I14</f>
        <v>0</v>
      </c>
      <c r="K20" s="635">
        <f>transport!J14</f>
        <v>0</v>
      </c>
      <c r="L20" s="635">
        <f>transport!K14</f>
        <v>0</v>
      </c>
      <c r="M20" s="635">
        <f>transport!L14</f>
        <v>0</v>
      </c>
      <c r="N20" s="635">
        <f>transport!M14</f>
        <v>1441.3536379516925</v>
      </c>
      <c r="O20" s="635">
        <f>transport!N14</f>
        <v>0</v>
      </c>
      <c r="P20" s="635">
        <f>transport!O14</f>
        <v>0</v>
      </c>
      <c r="Q20" s="636">
        <f>transport!P14</f>
        <v>0</v>
      </c>
      <c r="R20" s="638">
        <f>SUM(C20:Q20)</f>
        <v>34738.691537862629</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1.1086290784321704</v>
      </c>
      <c r="D22" s="752">
        <f t="shared" ref="D22:R22" si="1">SUM(D18:D21)</f>
        <v>0</v>
      </c>
      <c r="E22" s="752">
        <f t="shared" si="1"/>
        <v>1.238285497771749</v>
      </c>
      <c r="F22" s="752">
        <f t="shared" si="1"/>
        <v>125.37978525976487</v>
      </c>
      <c r="G22" s="752">
        <f t="shared" si="1"/>
        <v>0</v>
      </c>
      <c r="H22" s="752">
        <f t="shared" si="1"/>
        <v>29125.3642439797</v>
      </c>
      <c r="I22" s="752">
        <f t="shared" si="1"/>
        <v>4209.7386290533132</v>
      </c>
      <c r="J22" s="752">
        <f t="shared" si="1"/>
        <v>0</v>
      </c>
      <c r="K22" s="752">
        <f t="shared" si="1"/>
        <v>0</v>
      </c>
      <c r="L22" s="752">
        <f t="shared" si="1"/>
        <v>0</v>
      </c>
      <c r="M22" s="752">
        <f t="shared" si="1"/>
        <v>0</v>
      </c>
      <c r="N22" s="752">
        <f t="shared" si="1"/>
        <v>1448.4068434463675</v>
      </c>
      <c r="O22" s="752">
        <f t="shared" si="1"/>
        <v>0</v>
      </c>
      <c r="P22" s="752">
        <f t="shared" si="1"/>
        <v>0</v>
      </c>
      <c r="Q22" s="752">
        <f t="shared" si="1"/>
        <v>0</v>
      </c>
      <c r="R22" s="752">
        <f t="shared" si="1"/>
        <v>34911.236416315347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3541.9704188226642</v>
      </c>
      <c r="D24" s="635">
        <f>+landbouw!C8</f>
        <v>7637.1428571428569</v>
      </c>
      <c r="E24" s="635">
        <f>+landbouw!D8</f>
        <v>0</v>
      </c>
      <c r="F24" s="635">
        <f>+landbouw!E8</f>
        <v>31.917647837929486</v>
      </c>
      <c r="G24" s="635">
        <f>+landbouw!F8</f>
        <v>13271.871185849135</v>
      </c>
      <c r="H24" s="635">
        <f>+landbouw!G8</f>
        <v>0</v>
      </c>
      <c r="I24" s="635">
        <f>+landbouw!H8</f>
        <v>0</v>
      </c>
      <c r="J24" s="635">
        <f>+landbouw!I8</f>
        <v>0</v>
      </c>
      <c r="K24" s="635">
        <f>+landbouw!J8</f>
        <v>358.43275720425436</v>
      </c>
      <c r="L24" s="635">
        <f>+landbouw!K8</f>
        <v>0</v>
      </c>
      <c r="M24" s="635">
        <f>+landbouw!L8</f>
        <v>0</v>
      </c>
      <c r="N24" s="635">
        <f>+landbouw!M8</f>
        <v>0</v>
      </c>
      <c r="O24" s="635">
        <f>+landbouw!N8</f>
        <v>0</v>
      </c>
      <c r="P24" s="635">
        <f>+landbouw!O8</f>
        <v>0</v>
      </c>
      <c r="Q24" s="636">
        <f>+landbouw!P8</f>
        <v>0</v>
      </c>
      <c r="R24" s="638">
        <f>SUM(C24:Q24)</f>
        <v>24841.334866856836</v>
      </c>
      <c r="S24" s="67"/>
    </row>
    <row r="25" spans="1:19" s="441" customFormat="1" ht="15" thickBot="1">
      <c r="A25" s="771" t="s">
        <v>864</v>
      </c>
      <c r="B25" s="923"/>
      <c r="C25" s="924">
        <f>IF(Onbekend_ele_kWh="---",0,Onbekend_ele_kWh)/1000+IF(REST_rest_ele_kWh="---",0,REST_rest_ele_kWh)/1000</f>
        <v>710.60835754992002</v>
      </c>
      <c r="D25" s="924"/>
      <c r="E25" s="924">
        <f>IF(onbekend_gas_kWh="---",0,onbekend_gas_kWh)/1000+IF(REST_rest_gas_kWh="---",0,REST_rest_gas_kWh)/1000</f>
        <v>992.98641384973007</v>
      </c>
      <c r="F25" s="924"/>
      <c r="G25" s="924"/>
      <c r="H25" s="924"/>
      <c r="I25" s="924"/>
      <c r="J25" s="924"/>
      <c r="K25" s="924"/>
      <c r="L25" s="924"/>
      <c r="M25" s="924"/>
      <c r="N25" s="924"/>
      <c r="O25" s="924"/>
      <c r="P25" s="924"/>
      <c r="Q25" s="925"/>
      <c r="R25" s="638">
        <f>SUM(C25:Q25)</f>
        <v>1703.5947713996502</v>
      </c>
      <c r="S25" s="67"/>
    </row>
    <row r="26" spans="1:19" s="441" customFormat="1" ht="15.75" thickBot="1">
      <c r="A26" s="641" t="s">
        <v>865</v>
      </c>
      <c r="B26" s="757"/>
      <c r="C26" s="752">
        <f>SUM(C24:C25)</f>
        <v>4252.5787763725839</v>
      </c>
      <c r="D26" s="752">
        <f t="shared" ref="D26:R26" si="2">SUM(D24:D25)</f>
        <v>7637.1428571428569</v>
      </c>
      <c r="E26" s="752">
        <f t="shared" si="2"/>
        <v>992.98641384973007</v>
      </c>
      <c r="F26" s="752">
        <f t="shared" si="2"/>
        <v>31.917647837929486</v>
      </c>
      <c r="G26" s="752">
        <f t="shared" si="2"/>
        <v>13271.871185849135</v>
      </c>
      <c r="H26" s="752">
        <f t="shared" si="2"/>
        <v>0</v>
      </c>
      <c r="I26" s="752">
        <f t="shared" si="2"/>
        <v>0</v>
      </c>
      <c r="J26" s="752">
        <f t="shared" si="2"/>
        <v>0</v>
      </c>
      <c r="K26" s="752">
        <f t="shared" si="2"/>
        <v>358.43275720425436</v>
      </c>
      <c r="L26" s="752">
        <f t="shared" si="2"/>
        <v>0</v>
      </c>
      <c r="M26" s="752">
        <f t="shared" si="2"/>
        <v>0</v>
      </c>
      <c r="N26" s="752">
        <f t="shared" si="2"/>
        <v>0</v>
      </c>
      <c r="O26" s="752">
        <f t="shared" si="2"/>
        <v>0</v>
      </c>
      <c r="P26" s="752">
        <f t="shared" si="2"/>
        <v>0</v>
      </c>
      <c r="Q26" s="752">
        <f t="shared" si="2"/>
        <v>0</v>
      </c>
      <c r="R26" s="752">
        <f t="shared" si="2"/>
        <v>26544.929638256486</v>
      </c>
      <c r="S26" s="67"/>
    </row>
    <row r="27" spans="1:19" s="441" customFormat="1" ht="17.25" thickTop="1" thickBot="1">
      <c r="A27" s="642" t="s">
        <v>109</v>
      </c>
      <c r="B27" s="744"/>
      <c r="C27" s="643">
        <f ca="1">C22+C16+C26</f>
        <v>49941.529874541506</v>
      </c>
      <c r="D27" s="643">
        <f t="shared" ref="D27:R27" ca="1" si="3">D22+D16+D26</f>
        <v>7637.1428571428569</v>
      </c>
      <c r="E27" s="643">
        <f t="shared" ca="1" si="3"/>
        <v>24808.544165416333</v>
      </c>
      <c r="F27" s="643">
        <f t="shared" si="3"/>
        <v>1474.6197927728565</v>
      </c>
      <c r="G27" s="643">
        <f t="shared" ca="1" si="3"/>
        <v>53009.539278034063</v>
      </c>
      <c r="H27" s="643">
        <f t="shared" si="3"/>
        <v>29125.3642439797</v>
      </c>
      <c r="I27" s="643">
        <f t="shared" si="3"/>
        <v>4209.7386290533132</v>
      </c>
      <c r="J27" s="643">
        <f t="shared" si="3"/>
        <v>0</v>
      </c>
      <c r="K27" s="643">
        <f t="shared" si="3"/>
        <v>1239.0392453946806</v>
      </c>
      <c r="L27" s="643">
        <f t="shared" si="3"/>
        <v>0</v>
      </c>
      <c r="M27" s="643">
        <f t="shared" ca="1" si="3"/>
        <v>0</v>
      </c>
      <c r="N27" s="643">
        <f t="shared" si="3"/>
        <v>1448.4068434463675</v>
      </c>
      <c r="O27" s="643">
        <f t="shared" ca="1" si="3"/>
        <v>4816.3026947202316</v>
      </c>
      <c r="P27" s="643">
        <f t="shared" si="3"/>
        <v>39.083333333333336</v>
      </c>
      <c r="Q27" s="643">
        <f t="shared" si="3"/>
        <v>228.8</v>
      </c>
      <c r="R27" s="643">
        <f t="shared" ca="1" si="3"/>
        <v>177978.11095783525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1661.6137437491893</v>
      </c>
      <c r="D40" s="635">
        <f ca="1">tertiair!C20</f>
        <v>0</v>
      </c>
      <c r="E40" s="635">
        <f ca="1">tertiair!D20</f>
        <v>870.31015160827394</v>
      </c>
      <c r="F40" s="635">
        <f>tertiair!E20</f>
        <v>30.574698788018544</v>
      </c>
      <c r="G40" s="635">
        <f ca="1">tertiair!F20</f>
        <v>352.32087650219472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2914.8194706476761</v>
      </c>
    </row>
    <row r="41" spans="1:18">
      <c r="A41" s="762" t="s">
        <v>214</v>
      </c>
      <c r="B41" s="769"/>
      <c r="C41" s="635">
        <f ca="1">huishoudens!B12</f>
        <v>3235.3862687795408</v>
      </c>
      <c r="D41" s="635">
        <f ca="1">huishoudens!C12</f>
        <v>0</v>
      </c>
      <c r="E41" s="635">
        <f>huishoudens!D12</f>
        <v>3646.7742772710594</v>
      </c>
      <c r="F41" s="635">
        <f>huishoudens!E12</f>
        <v>220.25030552123982</v>
      </c>
      <c r="G41" s="635">
        <f>huishoudens!F12</f>
        <v>8842.8883496687977</v>
      </c>
      <c r="H41" s="635">
        <f>huishoudens!G12</f>
        <v>0</v>
      </c>
      <c r="I41" s="635">
        <f>huishoudens!H12</f>
        <v>0</v>
      </c>
      <c r="J41" s="635">
        <f>huishoudens!I12</f>
        <v>0</v>
      </c>
      <c r="K41" s="635">
        <f>huishoudens!J12</f>
        <v>264.00103721370385</v>
      </c>
      <c r="L41" s="635">
        <f>huishoudens!K12</f>
        <v>0</v>
      </c>
      <c r="M41" s="635">
        <f>huishoudens!L12</f>
        <v>0</v>
      </c>
      <c r="N41" s="635">
        <f>huishoudens!M12</f>
        <v>0</v>
      </c>
      <c r="O41" s="635">
        <f>huishoudens!N12</f>
        <v>0</v>
      </c>
      <c r="P41" s="635">
        <f>huishoudens!O12</f>
        <v>0</v>
      </c>
      <c r="Q41" s="710">
        <f>huishoudens!P12</f>
        <v>0</v>
      </c>
      <c r="R41" s="790">
        <f t="shared" ca="1" si="4"/>
        <v>16209.300238454342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5069.4423556736692</v>
      </c>
      <c r="D43" s="635">
        <f ca="1">industrie!C22</f>
        <v>0</v>
      </c>
      <c r="E43" s="635">
        <f>industrie!D22</f>
        <v>293.40810326657078</v>
      </c>
      <c r="F43" s="635">
        <f>industrie!E22</f>
        <v>48.207171337003402</v>
      </c>
      <c r="G43" s="635">
        <f>industrie!F22</f>
        <v>1414.748154442384</v>
      </c>
      <c r="H43" s="635">
        <f>industrie!G22</f>
        <v>0</v>
      </c>
      <c r="I43" s="635">
        <f>industrie!H22</f>
        <v>0</v>
      </c>
      <c r="J43" s="635">
        <f>industrie!I22</f>
        <v>0</v>
      </c>
      <c r="K43" s="635">
        <f>industrie!J22</f>
        <v>47.733659605707089</v>
      </c>
      <c r="L43" s="635">
        <f>industrie!K22</f>
        <v>0</v>
      </c>
      <c r="M43" s="635">
        <f>industrie!L22</f>
        <v>0</v>
      </c>
      <c r="N43" s="635">
        <f>industrie!M22</f>
        <v>0</v>
      </c>
      <c r="O43" s="635">
        <f>industrie!N22</f>
        <v>0</v>
      </c>
      <c r="P43" s="635">
        <f>industrie!O22</f>
        <v>0</v>
      </c>
      <c r="Q43" s="710">
        <f>industrie!P22</f>
        <v>0</v>
      </c>
      <c r="R43" s="789">
        <f t="shared" ca="1" si="4"/>
        <v>6873.5394443253335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9966.4423682023989</v>
      </c>
      <c r="D46" s="668">
        <f t="shared" ref="D46:Q46" ca="1" si="5">SUM(D39:D45)</f>
        <v>0</v>
      </c>
      <c r="E46" s="668">
        <f t="shared" ca="1" si="5"/>
        <v>4810.4925321459041</v>
      </c>
      <c r="F46" s="668">
        <f t="shared" si="5"/>
        <v>299.03217564626175</v>
      </c>
      <c r="G46" s="668">
        <f t="shared" ca="1" si="5"/>
        <v>10609.957380613378</v>
      </c>
      <c r="H46" s="668">
        <f t="shared" si="5"/>
        <v>0</v>
      </c>
      <c r="I46" s="668">
        <f t="shared" si="5"/>
        <v>0</v>
      </c>
      <c r="J46" s="668">
        <f t="shared" si="5"/>
        <v>0</v>
      </c>
      <c r="K46" s="668">
        <f t="shared" si="5"/>
        <v>311.73469681941094</v>
      </c>
      <c r="L46" s="668">
        <f t="shared" si="5"/>
        <v>0</v>
      </c>
      <c r="M46" s="668">
        <f t="shared" ca="1" si="5"/>
        <v>0</v>
      </c>
      <c r="N46" s="668">
        <f t="shared" si="5"/>
        <v>0</v>
      </c>
      <c r="O46" s="668">
        <f t="shared" ca="1" si="5"/>
        <v>0</v>
      </c>
      <c r="P46" s="668">
        <f t="shared" si="5"/>
        <v>0</v>
      </c>
      <c r="Q46" s="668">
        <f t="shared" si="5"/>
        <v>0</v>
      </c>
      <c r="R46" s="668">
        <f ca="1">SUM(R39:R45)</f>
        <v>25997.659153427354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0.16564517466921821</v>
      </c>
      <c r="D49" s="635">
        <f ca="1">transport!C58</f>
        <v>0</v>
      </c>
      <c r="E49" s="635">
        <f>transport!D58</f>
        <v>0</v>
      </c>
      <c r="F49" s="635">
        <f>transport!E58</f>
        <v>0</v>
      </c>
      <c r="G49" s="635">
        <f>transport!F58</f>
        <v>0</v>
      </c>
      <c r="H49" s="635">
        <f>transport!G58</f>
        <v>43.983531498735225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44.14917667340444</v>
      </c>
    </row>
    <row r="50" spans="1:18">
      <c r="A50" s="765" t="s">
        <v>296</v>
      </c>
      <c r="B50" s="775"/>
      <c r="C50" s="930">
        <f ca="1">transport!B18</f>
        <v>7.6193511965693003E-2</v>
      </c>
      <c r="D50" s="930">
        <f>transport!C18</f>
        <v>0</v>
      </c>
      <c r="E50" s="930">
        <f>transport!D18</f>
        <v>0.25013367054989333</v>
      </c>
      <c r="F50" s="930">
        <f>transport!E18</f>
        <v>28.461211253966628</v>
      </c>
      <c r="G50" s="930">
        <f>transport!F18</f>
        <v>0</v>
      </c>
      <c r="H50" s="930">
        <f>transport!G18</f>
        <v>7732.4887216438456</v>
      </c>
      <c r="I50" s="930">
        <f>transport!H18</f>
        <v>1048.2249186342749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8809.5011787146032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0.2418386866349112</v>
      </c>
      <c r="D52" s="668">
        <f t="shared" ref="D52:Q52" ca="1" si="6">SUM(D48:D51)</f>
        <v>0</v>
      </c>
      <c r="E52" s="668">
        <f t="shared" si="6"/>
        <v>0.25013367054989333</v>
      </c>
      <c r="F52" s="668">
        <f t="shared" si="6"/>
        <v>28.461211253966628</v>
      </c>
      <c r="G52" s="668">
        <f t="shared" si="6"/>
        <v>0</v>
      </c>
      <c r="H52" s="668">
        <f t="shared" si="6"/>
        <v>7776.4722531425805</v>
      </c>
      <c r="I52" s="668">
        <f t="shared" si="6"/>
        <v>1048.2249186342749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8853.6503553880084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772.65290154500326</v>
      </c>
      <c r="D54" s="930">
        <f ca="1">+landbouw!C12</f>
        <v>1814.9445378151263</v>
      </c>
      <c r="E54" s="930">
        <f>+landbouw!D12</f>
        <v>0</v>
      </c>
      <c r="F54" s="930">
        <f>+landbouw!E12</f>
        <v>7.2453060592099936</v>
      </c>
      <c r="G54" s="930">
        <f>+landbouw!F12</f>
        <v>3543.5896066217192</v>
      </c>
      <c r="H54" s="930">
        <f>+landbouw!G12</f>
        <v>0</v>
      </c>
      <c r="I54" s="930">
        <f>+landbouw!H12</f>
        <v>0</v>
      </c>
      <c r="J54" s="930">
        <f>+landbouw!I12</f>
        <v>0</v>
      </c>
      <c r="K54" s="930">
        <f>+landbouw!J12</f>
        <v>126.88519605030604</v>
      </c>
      <c r="L54" s="930">
        <f>+landbouw!K12</f>
        <v>0</v>
      </c>
      <c r="M54" s="930">
        <f>+landbouw!L12</f>
        <v>0</v>
      </c>
      <c r="N54" s="930">
        <f>+landbouw!M12</f>
        <v>0</v>
      </c>
      <c r="O54" s="930">
        <f>+landbouw!N12</f>
        <v>0</v>
      </c>
      <c r="P54" s="930">
        <f>+landbouw!O12</f>
        <v>0</v>
      </c>
      <c r="Q54" s="931">
        <f>+landbouw!P12</f>
        <v>0</v>
      </c>
      <c r="R54" s="667">
        <f ca="1">SUM(C54:Q54)</f>
        <v>6265.3175480913651</v>
      </c>
    </row>
    <row r="55" spans="1:18" ht="15" thickBot="1">
      <c r="A55" s="765" t="s">
        <v>864</v>
      </c>
      <c r="B55" s="775"/>
      <c r="C55" s="930">
        <f ca="1">C25*'EF ele_warmte'!B12</f>
        <v>155.01360666517874</v>
      </c>
      <c r="D55" s="930"/>
      <c r="E55" s="930">
        <f>E25*EF_CO2_aardgas</f>
        <v>200.58325559764549</v>
      </c>
      <c r="F55" s="930"/>
      <c r="G55" s="930"/>
      <c r="H55" s="930"/>
      <c r="I55" s="930"/>
      <c r="J55" s="930"/>
      <c r="K55" s="930"/>
      <c r="L55" s="930"/>
      <c r="M55" s="930"/>
      <c r="N55" s="930"/>
      <c r="O55" s="930"/>
      <c r="P55" s="930"/>
      <c r="Q55" s="931"/>
      <c r="R55" s="667">
        <f ca="1">SUM(C55:Q55)</f>
        <v>355.59686226282423</v>
      </c>
    </row>
    <row r="56" spans="1:18" ht="15.75" thickBot="1">
      <c r="A56" s="763" t="s">
        <v>865</v>
      </c>
      <c r="B56" s="776"/>
      <c r="C56" s="668">
        <f ca="1">SUM(C54:C55)</f>
        <v>927.66650821018197</v>
      </c>
      <c r="D56" s="668">
        <f t="shared" ref="D56:Q56" ca="1" si="7">SUM(D54:D55)</f>
        <v>1814.9445378151263</v>
      </c>
      <c r="E56" s="668">
        <f t="shared" si="7"/>
        <v>200.58325559764549</v>
      </c>
      <c r="F56" s="668">
        <f t="shared" si="7"/>
        <v>7.2453060592099936</v>
      </c>
      <c r="G56" s="668">
        <f t="shared" si="7"/>
        <v>3543.5896066217192</v>
      </c>
      <c r="H56" s="668">
        <f t="shared" si="7"/>
        <v>0</v>
      </c>
      <c r="I56" s="668">
        <f t="shared" si="7"/>
        <v>0</v>
      </c>
      <c r="J56" s="668">
        <f t="shared" si="7"/>
        <v>0</v>
      </c>
      <c r="K56" s="668">
        <f t="shared" si="7"/>
        <v>126.88519605030604</v>
      </c>
      <c r="L56" s="668">
        <f t="shared" si="7"/>
        <v>0</v>
      </c>
      <c r="M56" s="668">
        <f t="shared" si="7"/>
        <v>0</v>
      </c>
      <c r="N56" s="668">
        <f t="shared" si="7"/>
        <v>0</v>
      </c>
      <c r="O56" s="668">
        <f t="shared" si="7"/>
        <v>0</v>
      </c>
      <c r="P56" s="668">
        <f t="shared" si="7"/>
        <v>0</v>
      </c>
      <c r="Q56" s="669">
        <f t="shared" si="7"/>
        <v>0</v>
      </c>
      <c r="R56" s="670">
        <f ca="1">SUM(R54:R55)</f>
        <v>6620.9144103541894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10894.350715099217</v>
      </c>
      <c r="D61" s="676">
        <f t="shared" ref="D61:Q61" ca="1" si="8">D46+D52+D56</f>
        <v>1814.9445378151263</v>
      </c>
      <c r="E61" s="676">
        <f t="shared" ca="1" si="8"/>
        <v>5011.3259214140999</v>
      </c>
      <c r="F61" s="676">
        <f t="shared" si="8"/>
        <v>334.73869295943837</v>
      </c>
      <c r="G61" s="676">
        <f t="shared" ca="1" si="8"/>
        <v>14153.546987235097</v>
      </c>
      <c r="H61" s="676">
        <f t="shared" si="8"/>
        <v>7776.4722531425805</v>
      </c>
      <c r="I61" s="676">
        <f t="shared" si="8"/>
        <v>1048.2249186342749</v>
      </c>
      <c r="J61" s="676">
        <f t="shared" si="8"/>
        <v>0</v>
      </c>
      <c r="K61" s="676">
        <f t="shared" si="8"/>
        <v>438.61989286971698</v>
      </c>
      <c r="L61" s="676">
        <f t="shared" si="8"/>
        <v>0</v>
      </c>
      <c r="M61" s="676">
        <f t="shared" ca="1" si="8"/>
        <v>0</v>
      </c>
      <c r="N61" s="676">
        <f t="shared" si="8"/>
        <v>0</v>
      </c>
      <c r="O61" s="676">
        <f t="shared" ca="1" si="8"/>
        <v>0</v>
      </c>
      <c r="P61" s="676">
        <f t="shared" si="8"/>
        <v>0</v>
      </c>
      <c r="Q61" s="676">
        <f t="shared" si="8"/>
        <v>0</v>
      </c>
      <c r="R61" s="676">
        <f ca="1">R46+R52+R56</f>
        <v>41472.223919169555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0.21814211023304647</v>
      </c>
      <c r="D63" s="720">
        <f t="shared" ca="1" si="9"/>
        <v>0.23764705882352946</v>
      </c>
      <c r="E63" s="932">
        <f t="shared" ca="1" si="9"/>
        <v>0.20200000000000001</v>
      </c>
      <c r="F63" s="720">
        <f t="shared" si="9"/>
        <v>0.22699999999999995</v>
      </c>
      <c r="G63" s="720">
        <f t="shared" ca="1" si="9"/>
        <v>0.26700000000000002</v>
      </c>
      <c r="H63" s="720">
        <f t="shared" si="9"/>
        <v>0.26700000000000002</v>
      </c>
      <c r="I63" s="720">
        <f t="shared" si="9"/>
        <v>0.24899999999999997</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1048.5183875341415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5346</v>
      </c>
      <c r="D76" s="942">
        <f>'lokale energieproductie'!C8</f>
        <v>6289.4117647058838</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1270.4611764705885</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1048.5183875341415</v>
      </c>
      <c r="C78" s="691">
        <f>SUM(C72:C77)</f>
        <v>5346</v>
      </c>
      <c r="D78" s="692">
        <f t="shared" ref="D78:H78" si="10">SUM(D76:D77)</f>
        <v>6289.4117647058838</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1270.4611764705885</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7637.1428571428569</v>
      </c>
      <c r="D87" s="713">
        <f>'lokale energieproductie'!C17</f>
        <v>8984.8739495798327</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1814.9445378151263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7637.1428571428569</v>
      </c>
      <c r="D90" s="691">
        <f t="shared" ref="D90:H90" si="12">SUM(D87:D89)</f>
        <v>8984.8739495798327</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1814.9445378151263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14831.55299691151</v>
      </c>
      <c r="C4" s="445">
        <f>huishoudens!C8</f>
        <v>0</v>
      </c>
      <c r="D4" s="445">
        <f>huishoudens!D8</f>
        <v>18053.338006292372</v>
      </c>
      <c r="E4" s="445">
        <f>huishoudens!E8</f>
        <v>970.26566308916222</v>
      </c>
      <c r="F4" s="445">
        <f>huishoudens!F8</f>
        <v>33119.432021231449</v>
      </c>
      <c r="G4" s="445">
        <f>huishoudens!G8</f>
        <v>0</v>
      </c>
      <c r="H4" s="445">
        <f>huishoudens!H8</f>
        <v>0</v>
      </c>
      <c r="I4" s="445">
        <f>huishoudens!I8</f>
        <v>0</v>
      </c>
      <c r="J4" s="445">
        <f>huishoudens!J8</f>
        <v>745.76564184662107</v>
      </c>
      <c r="K4" s="445">
        <f>huishoudens!K8</f>
        <v>0</v>
      </c>
      <c r="L4" s="445">
        <f>huishoudens!L8</f>
        <v>0</v>
      </c>
      <c r="M4" s="445">
        <f>huishoudens!M8</f>
        <v>0</v>
      </c>
      <c r="N4" s="445">
        <f>huishoudens!N8</f>
        <v>4103.469282505157</v>
      </c>
      <c r="O4" s="445">
        <f>huishoudens!O8</f>
        <v>37.520000000000003</v>
      </c>
      <c r="P4" s="446">
        <f>huishoudens!P8</f>
        <v>228.8</v>
      </c>
      <c r="Q4" s="447">
        <f>SUM(B4:P4)</f>
        <v>72090.143611876279</v>
      </c>
    </row>
    <row r="5" spans="1:17">
      <c r="A5" s="444" t="s">
        <v>149</v>
      </c>
      <c r="B5" s="445">
        <f ca="1">tertiair!B16</f>
        <v>7012.8899340764037</v>
      </c>
      <c r="C5" s="445">
        <f ca="1">tertiair!C16</f>
        <v>0</v>
      </c>
      <c r="D5" s="445">
        <f ca="1">tertiair!D16</f>
        <v>4308.4660970706627</v>
      </c>
      <c r="E5" s="445">
        <f>tertiair!E16</f>
        <v>134.6903030309187</v>
      </c>
      <c r="F5" s="445">
        <f ca="1">tertiair!F16</f>
        <v>1319.5538445775082</v>
      </c>
      <c r="G5" s="445">
        <f>tertiair!G16</f>
        <v>0</v>
      </c>
      <c r="H5" s="445">
        <f>tertiair!H16</f>
        <v>0</v>
      </c>
      <c r="I5" s="445">
        <f>tertiair!I16</f>
        <v>0</v>
      </c>
      <c r="J5" s="445">
        <f>tertiair!J16</f>
        <v>0</v>
      </c>
      <c r="K5" s="445">
        <f>tertiair!K16</f>
        <v>0</v>
      </c>
      <c r="L5" s="445">
        <f ca="1">tertiair!L16</f>
        <v>0</v>
      </c>
      <c r="M5" s="445">
        <f>tertiair!M16</f>
        <v>0</v>
      </c>
      <c r="N5" s="445">
        <f ca="1">tertiair!N16</f>
        <v>222.56322991586703</v>
      </c>
      <c r="O5" s="445">
        <f>tertiair!O16</f>
        <v>1.5633333333333335</v>
      </c>
      <c r="P5" s="446">
        <f>tertiair!P16</f>
        <v>0</v>
      </c>
      <c r="Q5" s="444">
        <f t="shared" ref="Q5:Q14" ca="1" si="0">SUM(B5:P5)</f>
        <v>12999.726742004694</v>
      </c>
    </row>
    <row r="6" spans="1:17">
      <c r="A6" s="444" t="s">
        <v>187</v>
      </c>
      <c r="B6" s="445">
        <f>'openbare verlichting'!B8</f>
        <v>604.226</v>
      </c>
      <c r="C6" s="445"/>
      <c r="D6" s="445"/>
      <c r="E6" s="445"/>
      <c r="F6" s="445"/>
      <c r="G6" s="445"/>
      <c r="H6" s="445"/>
      <c r="I6" s="445"/>
      <c r="J6" s="445"/>
      <c r="K6" s="445"/>
      <c r="L6" s="445"/>
      <c r="M6" s="445"/>
      <c r="N6" s="445"/>
      <c r="O6" s="445"/>
      <c r="P6" s="446"/>
      <c r="Q6" s="444">
        <f t="shared" si="0"/>
        <v>604.226</v>
      </c>
    </row>
    <row r="7" spans="1:17">
      <c r="A7" s="444" t="s">
        <v>105</v>
      </c>
      <c r="B7" s="445">
        <f>landbouw!B8</f>
        <v>3541.9704188226642</v>
      </c>
      <c r="C7" s="445">
        <f>landbouw!C8</f>
        <v>7637.1428571428569</v>
      </c>
      <c r="D7" s="445">
        <f>landbouw!D8</f>
        <v>0</v>
      </c>
      <c r="E7" s="445">
        <f>landbouw!E8</f>
        <v>31.917647837929486</v>
      </c>
      <c r="F7" s="445">
        <f>landbouw!F8</f>
        <v>13271.871185849135</v>
      </c>
      <c r="G7" s="445">
        <f>landbouw!G8</f>
        <v>0</v>
      </c>
      <c r="H7" s="445">
        <f>landbouw!H8</f>
        <v>0</v>
      </c>
      <c r="I7" s="445">
        <f>landbouw!I8</f>
        <v>0</v>
      </c>
      <c r="J7" s="445">
        <f>landbouw!J8</f>
        <v>358.43275720425436</v>
      </c>
      <c r="K7" s="445">
        <f>landbouw!K8</f>
        <v>0</v>
      </c>
      <c r="L7" s="445">
        <f>landbouw!L8</f>
        <v>0</v>
      </c>
      <c r="M7" s="445">
        <f>landbouw!M8</f>
        <v>0</v>
      </c>
      <c r="N7" s="445">
        <f>landbouw!N8</f>
        <v>0</v>
      </c>
      <c r="O7" s="445">
        <f>landbouw!O8</f>
        <v>0</v>
      </c>
      <c r="P7" s="446">
        <f>landbouw!P8</f>
        <v>0</v>
      </c>
      <c r="Q7" s="444">
        <f t="shared" si="0"/>
        <v>24841.334866856836</v>
      </c>
    </row>
    <row r="8" spans="1:17">
      <c r="A8" s="444" t="s">
        <v>613</v>
      </c>
      <c r="B8" s="445">
        <f>industrie!B18</f>
        <v>23239.173538102583</v>
      </c>
      <c r="C8" s="445">
        <f>industrie!C18</f>
        <v>0</v>
      </c>
      <c r="D8" s="445">
        <f>industrie!D18</f>
        <v>1452.515362705796</v>
      </c>
      <c r="E8" s="445">
        <f>industrie!E18</f>
        <v>212.36639355508106</v>
      </c>
      <c r="F8" s="445">
        <f>industrie!F18</f>
        <v>5298.6822263759695</v>
      </c>
      <c r="G8" s="445">
        <f>industrie!G18</f>
        <v>0</v>
      </c>
      <c r="H8" s="445">
        <f>industrie!H18</f>
        <v>0</v>
      </c>
      <c r="I8" s="445">
        <f>industrie!I18</f>
        <v>0</v>
      </c>
      <c r="J8" s="445">
        <f>industrie!J18</f>
        <v>134.84084634380534</v>
      </c>
      <c r="K8" s="445">
        <f>industrie!K18</f>
        <v>0</v>
      </c>
      <c r="L8" s="445">
        <f>industrie!L18</f>
        <v>0</v>
      </c>
      <c r="M8" s="445">
        <f>industrie!M18</f>
        <v>0</v>
      </c>
      <c r="N8" s="445">
        <f>industrie!N18</f>
        <v>490.2701822992077</v>
      </c>
      <c r="O8" s="445">
        <f>industrie!O18</f>
        <v>0</v>
      </c>
      <c r="P8" s="446">
        <f>industrie!P18</f>
        <v>0</v>
      </c>
      <c r="Q8" s="444">
        <f t="shared" si="0"/>
        <v>30827.848549382445</v>
      </c>
    </row>
    <row r="9" spans="1:17" s="450" customFormat="1">
      <c r="A9" s="448" t="s">
        <v>555</v>
      </c>
      <c r="B9" s="449">
        <f>transport!B14</f>
        <v>0.34928383100490618</v>
      </c>
      <c r="C9" s="449">
        <f>transport!C14</f>
        <v>0</v>
      </c>
      <c r="D9" s="449">
        <f>transport!D14</f>
        <v>1.238285497771749</v>
      </c>
      <c r="E9" s="449">
        <f>transport!E14</f>
        <v>125.37978525976487</v>
      </c>
      <c r="F9" s="449">
        <f>transport!F14</f>
        <v>0</v>
      </c>
      <c r="G9" s="449">
        <f>transport!G14</f>
        <v>28960.631916269082</v>
      </c>
      <c r="H9" s="449">
        <f>transport!H14</f>
        <v>4209.7386290533132</v>
      </c>
      <c r="I9" s="449">
        <f>transport!I14</f>
        <v>0</v>
      </c>
      <c r="J9" s="449">
        <f>transport!J14</f>
        <v>0</v>
      </c>
      <c r="K9" s="449">
        <f>transport!K14</f>
        <v>0</v>
      </c>
      <c r="L9" s="449">
        <f>transport!L14</f>
        <v>0</v>
      </c>
      <c r="M9" s="449">
        <f>transport!M14</f>
        <v>1441.3536379516925</v>
      </c>
      <c r="N9" s="449">
        <f>transport!N14</f>
        <v>0</v>
      </c>
      <c r="O9" s="449">
        <f>transport!O14</f>
        <v>0</v>
      </c>
      <c r="P9" s="449">
        <f>transport!P14</f>
        <v>0</v>
      </c>
      <c r="Q9" s="448">
        <f>SUM(B9:P9)</f>
        <v>34738.691537862629</v>
      </c>
    </row>
    <row r="10" spans="1:17">
      <c r="A10" s="444" t="s">
        <v>545</v>
      </c>
      <c r="B10" s="445">
        <f>transport!B54</f>
        <v>0.75934524742726428</v>
      </c>
      <c r="C10" s="445">
        <f>transport!C54</f>
        <v>0</v>
      </c>
      <c r="D10" s="445">
        <f>transport!D54</f>
        <v>0</v>
      </c>
      <c r="E10" s="445">
        <f>transport!E54</f>
        <v>0</v>
      </c>
      <c r="F10" s="445">
        <f>transport!F54</f>
        <v>0</v>
      </c>
      <c r="G10" s="445">
        <f>transport!G54</f>
        <v>164.73232771061882</v>
      </c>
      <c r="H10" s="445">
        <f>transport!H54</f>
        <v>0</v>
      </c>
      <c r="I10" s="445">
        <f>transport!I54</f>
        <v>0</v>
      </c>
      <c r="J10" s="445">
        <f>transport!J54</f>
        <v>0</v>
      </c>
      <c r="K10" s="445">
        <f>transport!K54</f>
        <v>0</v>
      </c>
      <c r="L10" s="445">
        <f>transport!L54</f>
        <v>0</v>
      </c>
      <c r="M10" s="445">
        <f>transport!M54</f>
        <v>7.0532054946750433</v>
      </c>
      <c r="N10" s="445">
        <f>transport!N54</f>
        <v>0</v>
      </c>
      <c r="O10" s="445">
        <f>transport!O54</f>
        <v>0</v>
      </c>
      <c r="P10" s="446">
        <f>transport!P54</f>
        <v>0</v>
      </c>
      <c r="Q10" s="444">
        <f t="shared" si="0"/>
        <v>172.54487845272112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710.60835754992002</v>
      </c>
      <c r="C14" s="452"/>
      <c r="D14" s="452">
        <f>'SEAP template'!E25</f>
        <v>992.98641384973007</v>
      </c>
      <c r="E14" s="452"/>
      <c r="F14" s="452"/>
      <c r="G14" s="452"/>
      <c r="H14" s="452"/>
      <c r="I14" s="452"/>
      <c r="J14" s="452"/>
      <c r="K14" s="452"/>
      <c r="L14" s="452"/>
      <c r="M14" s="452"/>
      <c r="N14" s="452"/>
      <c r="O14" s="452"/>
      <c r="P14" s="453"/>
      <c r="Q14" s="444">
        <f t="shared" si="0"/>
        <v>1703.5947713996502</v>
      </c>
    </row>
    <row r="15" spans="1:17" s="457" customFormat="1">
      <c r="A15" s="454" t="s">
        <v>549</v>
      </c>
      <c r="B15" s="455">
        <f ca="1">SUM(B4:B14)</f>
        <v>49941.529874541506</v>
      </c>
      <c r="C15" s="455">
        <f t="shared" ref="C15:Q15" ca="1" si="1">SUM(C4:C14)</f>
        <v>7637.1428571428569</v>
      </c>
      <c r="D15" s="455">
        <f t="shared" ca="1" si="1"/>
        <v>24808.544165416333</v>
      </c>
      <c r="E15" s="455">
        <f t="shared" si="1"/>
        <v>1474.6197927728565</v>
      </c>
      <c r="F15" s="455">
        <f t="shared" ca="1" si="1"/>
        <v>53009.539278034063</v>
      </c>
      <c r="G15" s="455">
        <f t="shared" si="1"/>
        <v>29125.3642439797</v>
      </c>
      <c r="H15" s="455">
        <f t="shared" si="1"/>
        <v>4209.7386290533132</v>
      </c>
      <c r="I15" s="455">
        <f t="shared" si="1"/>
        <v>0</v>
      </c>
      <c r="J15" s="455">
        <f t="shared" si="1"/>
        <v>1239.0392453946808</v>
      </c>
      <c r="K15" s="455">
        <f t="shared" si="1"/>
        <v>0</v>
      </c>
      <c r="L15" s="455">
        <f t="shared" ca="1" si="1"/>
        <v>0</v>
      </c>
      <c r="M15" s="455">
        <f t="shared" si="1"/>
        <v>1448.4068434463675</v>
      </c>
      <c r="N15" s="455">
        <f t="shared" ca="1" si="1"/>
        <v>4816.3026947202316</v>
      </c>
      <c r="O15" s="455">
        <f t="shared" si="1"/>
        <v>39.083333333333336</v>
      </c>
      <c r="P15" s="455">
        <f t="shared" si="1"/>
        <v>228.8</v>
      </c>
      <c r="Q15" s="455">
        <f t="shared" ca="1" si="1"/>
        <v>177978.11095783525</v>
      </c>
    </row>
    <row r="17" spans="1:17">
      <c r="A17" s="458" t="s">
        <v>550</v>
      </c>
      <c r="B17" s="725">
        <f ca="1">huishoudens!B10</f>
        <v>0.21814211023304644</v>
      </c>
      <c r="C17" s="725">
        <f ca="1">huishoudens!C10</f>
        <v>0.23764705882352946</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3235.3862687795408</v>
      </c>
      <c r="C22" s="445">
        <f t="shared" ref="C22:C32" ca="1" si="3">C4*$C$17</f>
        <v>0</v>
      </c>
      <c r="D22" s="445">
        <f t="shared" ref="D22:D32" si="4">D4*$D$17</f>
        <v>3646.7742772710594</v>
      </c>
      <c r="E22" s="445">
        <f t="shared" ref="E22:E32" si="5">E4*$E$17</f>
        <v>220.25030552123982</v>
      </c>
      <c r="F22" s="445">
        <f t="shared" ref="F22:F32" si="6">F4*$F$17</f>
        <v>8842.8883496687977</v>
      </c>
      <c r="G22" s="445">
        <f t="shared" ref="G22:G32" si="7">G4*$G$17</f>
        <v>0</v>
      </c>
      <c r="H22" s="445">
        <f t="shared" ref="H22:H32" si="8">H4*$H$17</f>
        <v>0</v>
      </c>
      <c r="I22" s="445">
        <f t="shared" ref="I22:I32" si="9">I4*$I$17</f>
        <v>0</v>
      </c>
      <c r="J22" s="445">
        <f t="shared" ref="J22:J32" si="10">J4*$J$17</f>
        <v>264.00103721370385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16209.300238454342</v>
      </c>
    </row>
    <row r="23" spans="1:17">
      <c r="A23" s="444" t="s">
        <v>149</v>
      </c>
      <c r="B23" s="445">
        <f t="shared" ca="1" si="2"/>
        <v>1529.8066090515167</v>
      </c>
      <c r="C23" s="445">
        <f t="shared" ca="1" si="3"/>
        <v>0</v>
      </c>
      <c r="D23" s="445">
        <f t="shared" ca="1" si="4"/>
        <v>870.31015160827394</v>
      </c>
      <c r="E23" s="445">
        <f t="shared" si="5"/>
        <v>30.574698788018544</v>
      </c>
      <c r="F23" s="445">
        <f t="shared" ca="1" si="6"/>
        <v>352.32087650219472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2783.0123359500035</v>
      </c>
    </row>
    <row r="24" spans="1:17">
      <c r="A24" s="444" t="s">
        <v>187</v>
      </c>
      <c r="B24" s="445">
        <f t="shared" ca="1" si="2"/>
        <v>131.80713469767272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131.80713469767272</v>
      </c>
    </row>
    <row r="25" spans="1:17">
      <c r="A25" s="444" t="s">
        <v>105</v>
      </c>
      <c r="B25" s="445">
        <f t="shared" ca="1" si="2"/>
        <v>772.65290154500326</v>
      </c>
      <c r="C25" s="445">
        <f t="shared" ca="1" si="3"/>
        <v>1814.9445378151263</v>
      </c>
      <c r="D25" s="445">
        <f t="shared" si="4"/>
        <v>0</v>
      </c>
      <c r="E25" s="445">
        <f t="shared" si="5"/>
        <v>7.2453060592099936</v>
      </c>
      <c r="F25" s="445">
        <f t="shared" si="6"/>
        <v>3543.5896066217192</v>
      </c>
      <c r="G25" s="445">
        <f t="shared" si="7"/>
        <v>0</v>
      </c>
      <c r="H25" s="445">
        <f t="shared" si="8"/>
        <v>0</v>
      </c>
      <c r="I25" s="445">
        <f t="shared" si="9"/>
        <v>0</v>
      </c>
      <c r="J25" s="445">
        <f t="shared" si="10"/>
        <v>126.88519605030604</v>
      </c>
      <c r="K25" s="445">
        <f t="shared" si="11"/>
        <v>0</v>
      </c>
      <c r="L25" s="445">
        <f t="shared" si="12"/>
        <v>0</v>
      </c>
      <c r="M25" s="445">
        <f t="shared" si="13"/>
        <v>0</v>
      </c>
      <c r="N25" s="445">
        <f t="shared" si="14"/>
        <v>0</v>
      </c>
      <c r="O25" s="445">
        <f t="shared" si="15"/>
        <v>0</v>
      </c>
      <c r="P25" s="446">
        <f t="shared" si="16"/>
        <v>0</v>
      </c>
      <c r="Q25" s="444">
        <f t="shared" ca="1" si="17"/>
        <v>6265.3175480913651</v>
      </c>
    </row>
    <row r="26" spans="1:17">
      <c r="A26" s="444" t="s">
        <v>613</v>
      </c>
      <c r="B26" s="445">
        <f t="shared" ca="1" si="2"/>
        <v>5069.4423556736692</v>
      </c>
      <c r="C26" s="445">
        <f t="shared" ca="1" si="3"/>
        <v>0</v>
      </c>
      <c r="D26" s="445">
        <f t="shared" si="4"/>
        <v>293.40810326657078</v>
      </c>
      <c r="E26" s="445">
        <f t="shared" si="5"/>
        <v>48.207171337003402</v>
      </c>
      <c r="F26" s="445">
        <f t="shared" si="6"/>
        <v>1414.748154442384</v>
      </c>
      <c r="G26" s="445">
        <f t="shared" si="7"/>
        <v>0</v>
      </c>
      <c r="H26" s="445">
        <f t="shared" si="8"/>
        <v>0</v>
      </c>
      <c r="I26" s="445">
        <f t="shared" si="9"/>
        <v>0</v>
      </c>
      <c r="J26" s="445">
        <f t="shared" si="10"/>
        <v>47.733659605707089</v>
      </c>
      <c r="K26" s="445">
        <f t="shared" si="11"/>
        <v>0</v>
      </c>
      <c r="L26" s="445">
        <f t="shared" si="12"/>
        <v>0</v>
      </c>
      <c r="M26" s="445">
        <f t="shared" si="13"/>
        <v>0</v>
      </c>
      <c r="N26" s="445">
        <f t="shared" si="14"/>
        <v>0</v>
      </c>
      <c r="O26" s="445">
        <f t="shared" si="15"/>
        <v>0</v>
      </c>
      <c r="P26" s="446">
        <f t="shared" si="16"/>
        <v>0</v>
      </c>
      <c r="Q26" s="444">
        <f t="shared" ca="1" si="17"/>
        <v>6873.5394443253335</v>
      </c>
    </row>
    <row r="27" spans="1:17" s="450" customFormat="1">
      <c r="A27" s="448" t="s">
        <v>555</v>
      </c>
      <c r="B27" s="719">
        <f t="shared" ca="1" si="2"/>
        <v>7.6193511965693003E-2</v>
      </c>
      <c r="C27" s="449">
        <f t="shared" ca="1" si="3"/>
        <v>0</v>
      </c>
      <c r="D27" s="449">
        <f t="shared" si="4"/>
        <v>0.25013367054989333</v>
      </c>
      <c r="E27" s="449">
        <f t="shared" si="5"/>
        <v>28.461211253966628</v>
      </c>
      <c r="F27" s="449">
        <f t="shared" si="6"/>
        <v>0</v>
      </c>
      <c r="G27" s="449">
        <f t="shared" si="7"/>
        <v>7732.4887216438456</v>
      </c>
      <c r="H27" s="449">
        <f t="shared" si="8"/>
        <v>1048.2249186342749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8809.5011787146032</v>
      </c>
    </row>
    <row r="28" spans="1:17">
      <c r="A28" s="444" t="s">
        <v>545</v>
      </c>
      <c r="B28" s="445">
        <f t="shared" ca="1" si="2"/>
        <v>0.16564517466921821</v>
      </c>
      <c r="C28" s="445">
        <f t="shared" ca="1" si="3"/>
        <v>0</v>
      </c>
      <c r="D28" s="445">
        <f t="shared" si="4"/>
        <v>0</v>
      </c>
      <c r="E28" s="445">
        <f t="shared" si="5"/>
        <v>0</v>
      </c>
      <c r="F28" s="445">
        <f t="shared" si="6"/>
        <v>0</v>
      </c>
      <c r="G28" s="445">
        <f t="shared" si="7"/>
        <v>43.983531498735225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44.14917667340444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155.01360666517874</v>
      </c>
      <c r="C32" s="445">
        <f t="shared" ca="1" si="3"/>
        <v>0</v>
      </c>
      <c r="D32" s="445">
        <f t="shared" si="4"/>
        <v>200.58325559764549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355.59686226282423</v>
      </c>
    </row>
    <row r="33" spans="1:17" s="457" customFormat="1">
      <c r="A33" s="454" t="s">
        <v>549</v>
      </c>
      <c r="B33" s="455">
        <f ca="1">SUM(B22:B32)</f>
        <v>10894.350715099217</v>
      </c>
      <c r="C33" s="455">
        <f t="shared" ref="C33:Q33" ca="1" si="19">SUM(C22:C32)</f>
        <v>1814.9445378151263</v>
      </c>
      <c r="D33" s="455">
        <f t="shared" ca="1" si="19"/>
        <v>5011.3259214140999</v>
      </c>
      <c r="E33" s="455">
        <f t="shared" si="19"/>
        <v>334.73869295943837</v>
      </c>
      <c r="F33" s="455">
        <f t="shared" ca="1" si="19"/>
        <v>14153.546987235097</v>
      </c>
      <c r="G33" s="455">
        <f t="shared" si="19"/>
        <v>7776.4722531425805</v>
      </c>
      <c r="H33" s="455">
        <f t="shared" si="19"/>
        <v>1048.2249186342749</v>
      </c>
      <c r="I33" s="455">
        <f t="shared" si="19"/>
        <v>0</v>
      </c>
      <c r="J33" s="455">
        <f t="shared" si="19"/>
        <v>438.61989286971698</v>
      </c>
      <c r="K33" s="455">
        <f t="shared" si="19"/>
        <v>0</v>
      </c>
      <c r="L33" s="455">
        <f t="shared" ca="1" si="19"/>
        <v>0</v>
      </c>
      <c r="M33" s="455">
        <f t="shared" si="19"/>
        <v>0</v>
      </c>
      <c r="N33" s="455">
        <f t="shared" ca="1" si="19"/>
        <v>0</v>
      </c>
      <c r="O33" s="455">
        <f t="shared" si="19"/>
        <v>0</v>
      </c>
      <c r="P33" s="455">
        <f t="shared" si="19"/>
        <v>0</v>
      </c>
      <c r="Q33" s="455">
        <f t="shared" ca="1" si="19"/>
        <v>41472.223919169541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1048.5183875341415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5346</v>
      </c>
      <c r="D8" s="963">
        <f>'SEAP template'!D76</f>
        <v>6289.4117647058838</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1270.4611764705885</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1048.5183875341415</v>
      </c>
      <c r="C10" s="967">
        <f>SUM(C4:C9)</f>
        <v>5346</v>
      </c>
      <c r="D10" s="967">
        <f t="shared" ref="D10:H10" si="0">SUM(D8:D9)</f>
        <v>6289.4117647058838</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1270.4611764705885</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0.21814211023304644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7637.1428571428569</v>
      </c>
      <c r="D17" s="964">
        <f>'SEAP template'!D87</f>
        <v>8984.8739495798327</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1814.9445378151263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7637.1428571428569</v>
      </c>
      <c r="D20" s="967">
        <f t="shared" ref="D20:H20" si="2">SUM(D17:D19)</f>
        <v>8984.8739495798327</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1814.9445378151263</v>
      </c>
    </row>
    <row r="22" spans="1:16">
      <c r="A22" s="458" t="s">
        <v>885</v>
      </c>
      <c r="B22" s="725" t="s">
        <v>879</v>
      </c>
      <c r="C22" s="725">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0.21814211023304644</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2022-07-26T12:58:23Z</dcterms:modified>
</cp:coreProperties>
</file>