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C946C371-F7DC-4DD1-A9ED-BA6EC81A2E6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<sst xmlns="http://schemas.openxmlformats.org/spreadsheetml/2006/main" count="2513" uniqueCount="962">
  <si>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</si>
  <si>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</si>
  <si>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</si>
  <si>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</si>
  <si>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</si>
  <si>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</si>
  <si>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</si>
  <si>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</si>
  <si>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</si>
  <si>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</si>
  <si>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</si>
  <si>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</si>
  <si>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</si>
  <si>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</si>
  <si>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</si>
  <si>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</si>
  <si>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</si>
  <si>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</si>
  <si>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</si>
  <si>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</si>
  <si>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</si>
  <si>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</si>
  <si>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</si>
  <si>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</si>
  <si>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</si>
  <si>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</si>
  <si>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</si>
  <si>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</si>
  <si>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</si>
  <si>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</si>
  <si>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</si>
  <si>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</si>
  <si>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</si>
  <si>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</si>
  <si>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</si>
  <si>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</si>
  <si>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</si>
  <si>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</si>
  <si>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</si>
  <si>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</si>
  <si>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</si>
  <si>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</si>
  <si>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</si>
  <si>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</si>
  <si>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</si>
  <si>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</si>
  <si>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</si>
  <si>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</si>
  <si>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</si>
  <si>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</si>
  <si>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</si>
  <si>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</si>
  <si>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</si>
  <si>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</si>
  <si>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</si>
  <si>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</si>
  <si>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</si>
  <si>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</si>
  <si>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</si>
  <si>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</si>
  <si>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</si>
  <si>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</si>
  <si>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</si>
  <si>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</si>
  <si>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</si>
  <si>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</si>
  <si>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</si>
  <si>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</si>
  <si>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</si>
  <si>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</si>
  <si>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</si>
  <si>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</si>
  <si>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</si>
  <si>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</si>
  <si>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</si>
  <si>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</si>
  <si>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</si>
  <si>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</si>
  <si>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</si>
  <si>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</si>
  <si>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</si>
  <si>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</si>
  <si>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</si>
  <si>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</si>
  <si>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</si>
  <si>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</si>
  <si>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</si>
  <si>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</si>
  <si>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</si>
  <si>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</si>
  <si>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</si>
  <si>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</si>
  <si>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</si>
  <si>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</si>
  <si>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</si>
  <si>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</si>
  <si>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</si>
  <si>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</si>
  <si>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</si>
  <si>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</si>
  <si>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</si>
  <si>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</si>
  <si>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</si>
  <si>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</si>
  <si>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</si>
  <si>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</si>
  <si>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</si>
  <si>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</si>
  <si>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</si>
  <si>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</si>
  <si>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</si>
  <si>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</si>
  <si>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</si>
  <si>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</si>
  <si>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</si>
  <si>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</si>
  <si>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</si>
  <si>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</si>
  <si>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</si>
  <si>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</si>
  <si>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</si>
  <si>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</si>
  <si>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</si>
  <si>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</si>
  <si>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</si>
  <si>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</si>
  <si>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</si>
  <si>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</si>
  <si>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</si>
  <si>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</si>
  <si>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</si>
  <si>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</si>
  <si>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</si>
  <si>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</si>
  <si>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</si>
  <si>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</si>
  <si>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</si>
  <si>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</si>
  <si>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</si>
  <si>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</si>
  <si>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</si>
  <si>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</si>
  <si>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</si>
  <si>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</si>
  <si>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</si>
  <si>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</si>
  <si>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</si>
  <si>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</si>
  <si>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</si>
  <si>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</si>
  <si>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</si>
  <si>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</si>
  <si>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</si>
  <si>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</si>
  <si>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</si>
  <si>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</si>
  <si>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</si>
  <si>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</si>
  <si>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</si>
  <si>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</si>
  <si>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</si>
  <si>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</si>
  <si>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</si>
  <si>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</si>
  <si>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</si>
  <si>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</si>
  <si>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</si>
  <si>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</si>
  <si>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</si>
  <si>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</si>
  <si>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</si>
  <si>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</si>
  <si>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</si>
  <si>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</si>
  <si>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</si>
  <si>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</si>
  <si>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</si>
  <si>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</si>
  <si>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</si>
  <si>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</si>
  <si>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</si>
  <si>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</si>
  <si>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</si>
  <si>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</si>
  <si>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</si>
  <si>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</si>
  <si>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</si>
  <si>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</si>
  <si>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</si>
  <si>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</si>
  <si>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</si>
  <si>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</si>
  <si>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</si>
  <si>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</si>
  <si>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</si>
  <si>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</si>
  <si>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</si>
  <si>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</si>
  <si>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</si>
  <si>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</si>
  <si>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</si>
  <si>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</si>
  <si>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</si>
  <si>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</si>
  <si>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</si>
  <si>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</si>
  <si>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</si>
  <si>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</si>
  <si>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</si>
  <si>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</si>
  <si>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</si>
  <si>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</si>
  <si>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</si>
  <si>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</si>
  <si>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</si>
  <si>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</si>
  <si>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</si>
  <si>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</si>
  <si>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</si>
  <si>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</si>
  <si>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</si>
  <si>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</si>
  <si>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</si>
  <si>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</si>
  <si>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</si>
  <si>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</si>
  <si>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</si>
  <si>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</si>
  <si>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</si>
  <si>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</si>
  <si>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</si>
  <si>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</si>
  <si>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</si>
  <si>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</si>
  <si>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</si>
  <si>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</si>
  <si>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</si>
  <si>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</si>
  <si>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</si>
  <si>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</si>
  <si>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</si>
  <si>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</si>
  <si>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</si>
  <si>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</si>
  <si>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</si>
  <si>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</si>
  <si>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</si>
  <si>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</si>
  <si>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</si>
  <si>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</si>
  <si>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</si>
  <si>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</si>
  <si>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</si>
  <si>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</si>
  <si>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</si>
  <si>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</si>
  <si>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</si>
  <si>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</si>
  <si>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</si>
  <si>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</si>
  <si>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</si>
  <si>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</si>
  <si>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</si>
  <si>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</si>
  <si>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</si>
  <si>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</si>
  <si>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</si>
  <si>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</si>
  <si>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</si>
  <si>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</si>
  <si>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</si>
  <si>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</si>
  <si>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</si>
  <si>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</si>
  <si>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</si>
  <si>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</si>
  <si>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</si>
  <si>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</si>
  <si>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</si>
  <si>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</si>
  <si>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</si>
  <si>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</si>
  <si>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</si>
  <si>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</si>
  <si>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</si>
  <si>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</si>
  <si>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</si>
  <si>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</si>
  <si>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</si>
  <si>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</si>
  <si>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</si>
  <si>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</si>
  <si>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</si>
  <si>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</si>
  <si>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</si>
  <si>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</si>
  <si>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</si>
  <si>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</si>
  <si>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</si>
  <si>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</si>
  <si>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</si>
  <si>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</si>
  <si>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</si>
  <si>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</si>
  <si>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</si>
  <si>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</si>
  <si>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</si>
  <si>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</si>
  <si>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</si>
  <si>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</si>
  <si>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</si>
  <si>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</si>
  <si>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</si>
  <si>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</si>
  <si>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</si>
  <si>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</si>
  <si>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</si>
  <si>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</si>
  <si>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</si>
  <si>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</si>
  <si>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</si>
  <si>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</si>
  <si>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</si>
  <si>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</si>
  <si>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</si>
  <si>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</si>
  <si>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</si>
  <si>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</si>
  <si>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</si>
  <si>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</si>
  <si>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</si>
  <si>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</si>
  <si>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</si>
  <si>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</si>
  <si>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</si>
  <si>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</si>
  <si>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</si>
  <si>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</si>
  <si>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</si>
  <si>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</si>
  <si>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</si>
  <si>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</si>
  <si>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</si>
  <si>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</si>
  <si>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</si>
  <si>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</si>
  <si>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</si>
  <si>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</si>
  <si>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</si>
  <si>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</si>
  <si>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</si>
  <si>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</si>
  <si>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</si>
  <si>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</si>
  <si>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</si>
  <si>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</si>
  <si>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</si>
  <si>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</si>
  <si>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</si>
  <si>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</si>
  <si>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</si>
  <si>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</si>
  <si>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</si>
  <si>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</si>
  <si>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</si>
  <si>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</si>
  <si>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</si>
  <si>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</si>
  <si>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</si>
  <si>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</si>
  <si>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</si>
  <si>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</si>
  <si>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</si>
  <si>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</si>
  <si>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</si>
  <si>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</si>
  <si>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</si>
  <si>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</si>
  <si>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</si>
  <si>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</si>
  <si>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</si>
  <si>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</si>
  <si>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</si>
  <si>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</si>
  <si>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</si>
  <si>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</si>
  <si>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</si>
  <si>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</si>
  <si>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</si>
  <si>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</si>
  <si>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</si>
  <si>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</si>
  <si>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</si>
  <si>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</si>
  <si>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</si>
  <si>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</si>
  <si>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</si>
  <si>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</si>
  <si>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</si>
  <si>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</si>
  <si>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</si>
  <si>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</si>
  <si>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</si>
  <si>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</si>
  <si>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</si>
  <si>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</si>
  <si>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</si>
  <si>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</si>
  <si>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</si>
  <si>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</si>
  <si>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</si>
  <si>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</si>
  <si>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</si>
  <si>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</si>
  <si>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</si>
  <si>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</si>
  <si>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</si>
  <si>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</si>
  <si>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</si>
  <si>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</si>
  <si>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</si>
  <si>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</si>
  <si>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</si>
  <si>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</si>
  <si>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</si>
  <si>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</si>
  <si>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</si>
  <si>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</si>
  <si>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</si>
  <si>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</si>
  <si>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</si>
  <si>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</si>
  <si>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</si>
  <si>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</si>
  <si>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</si>
  <si>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</si>
  <si>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</si>
  <si>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</si>
  <si>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</si>
  <si>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</si>
  <si>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</si>
  <si>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</si>
  <si>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</si>
  <si>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</si>
  <si>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</si>
  <si>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</si>
  <si>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</si>
  <si>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</si>
  <si>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</si>
  <si>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</si>
  <si>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</si>
  <si>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</si>
  <si>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</si>
  <si>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</si>
  <si>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</si>
  <si>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</si>
  <si>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</si>
  <si>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</si>
  <si>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</si>
  <si>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</si>
  <si>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</si>
  <si>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</si>
  <si>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</si>
  <si>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</si>
  <si>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</si>
  <si>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</si>
  <si>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</si>
  <si>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</si>
  <si>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</si>
  <si>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</si>
  <si>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</si>
  <si>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</si>
  <si>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</si>
  <si>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</si>
  <si>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</si>
  <si>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</si>
  <si>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</si>
  <si>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</si>
  <si>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</si>
  <si>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</si>
  <si>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</si>
  <si>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</si>
  <si>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</si>
  <si>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</si>
  <si>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</si>
  <si>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</si>
  <si>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</si>
  <si>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</si>
  <si>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</si>
  <si>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</si>
  <si>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</si>
  <si>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</si>
  <si>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</si>
  <si>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</si>
  <si>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</si>
  <si>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</si>
  <si>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</si>
  <si>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</si>
  <si>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</si>
  <si>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</si>
  <si>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</si>
  <si>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</si>
  <si>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</si>
  <si>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</si>
  <si>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</si>
  <si>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</si>
  <si>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</si>
  <si>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</si>
  <si>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</si>
  <si>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</si>
  <si>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</si>
  <si>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</si>
  <si>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</si>
  <si>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</si>
  <si>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</si>
  <si>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</si>
  <si>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</si>
  <si>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</si>
  <si>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</si>
  <si>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</si>
  <si>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</si>
  <si>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</si>
  <si>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</si>
  <si>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</si>
  <si>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</si>
  <si>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</si>
  <si>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</si>
  <si>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</si>
  <si>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</si>
  <si>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</si>
  <si>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</si>
  <si>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</si>
  <si>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</si>
  <si>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</si>
  <si>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</si>
  <si>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</si>
  <si>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</si>
  <si>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</si>
  <si>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</si>
  <si>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</si>
  <si>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</si>
  <si>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</si>
  <si>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</si>
  <si>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</si>
  <si>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</si>
  <si>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</si>
  <si>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</si>
  <si>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</si>
  <si>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</si>
  <si>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</si>
  <si>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</si>
  <si>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</si>
  <si>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</si>
  <si>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</si>
  <si>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</si>
  <si>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</si>
  <si>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</si>
  <si>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</si>
  <si>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</si>
  <si>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</si>
  <si>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</si>
  <si>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</si>
  <si>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</si>
  <si>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</si>
  <si>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</si>
  <si>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</si>
  <si>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</si>
  <si>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</si>
  <si>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</si>
  <si>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</si>
  <si>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</si>
  <si>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</si>
  <si>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</si>
  <si>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</si>
  <si>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</si>
  <si>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</si>
  <si>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</si>
  <si>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</si>
  <si>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</si>
  <si>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</si>
  <si>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</si>
  <si>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</si>
  <si>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</si>
  <si>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</si>
  <si>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</si>
  <si>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</si>
  <si>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</si>
  <si>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</si>
  <si>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</si>
  <si>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</si>
  <si>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</si>
  <si>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</si>
  <si>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</si>
  <si>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</si>
  <si>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</si>
  <si>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</si>
  <si>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</si>
  <si>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</si>
  <si>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</si>
  <si>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</si>
  <si>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</si>
  <si>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</si>
  <si>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</si>
  <si>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</si>
  <si>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</si>
  <si>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</si>
  <si>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</si>
  <si>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</si>
  <si>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</si>
  <si>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</si>
  <si>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</si>
  <si>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</si>
  <si>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</si>
  <si>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</si>
  <si>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</si>
  <si>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</si>
  <si>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</si>
  <si>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</si>
  <si>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</si>
  <si>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</si>
  <si>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</si>
  <si>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</si>
  <si>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</si>
  <si>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</si>
  <si>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</si>
  <si>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</si>
  <si>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</si>
  <si>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</si>
  <si>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</si>
  <si>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</si>
  <si>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</si>
  <si>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</si>
  <si>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</si>
  <si>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</si>
  <si>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</si>
  <si>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</si>
  <si>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</si>
  <si>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</si>
  <si>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</si>
  <si>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</si>
  <si>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</si>
  <si>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</si>
  <si>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</si>
  <si>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</si>
  <si>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</si>
  <si>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</si>
  <si>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</si>
  <si>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</si>
  <si>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</si>
  <si>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</si>
  <si>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</si>
  <si>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</si>
  <si>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</si>
  <si>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</si>
  <si>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</si>
  <si>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</si>
  <si>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</si>
  <si>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</si>
  <si>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</si>
  <si>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</si>
  <si>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</si>
  <si>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</si>
  <si>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</si>
  <si>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</si>
  <si>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</si>
  <si>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</si>
  <si>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</si>
  <si>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</si>
  <si>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</si>
  <si>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</si>
  <si>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</si>
  <si>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</si>
  <si>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</si>
  <si>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</si>
  <si>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</si>
  <si>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</si>
  <si>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</si>
  <si>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</si>
  <si>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</si>
  <si>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</si>
  <si>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</si>
  <si>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</si>
  <si>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</si>
  <si>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</si>
  <si>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</si>
  <si>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</si>
  <si>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</si>
  <si>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</si>
  <si>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</si>
  <si>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</si>
  <si>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</si>
  <si>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</si>
  <si>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</si>
  <si>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</si>
  <si>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</si>
  <si>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</si>
  <si>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</si>
  <si>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</si>
  <si>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</si>
  <si>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</si>
  <si>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</si>
  <si>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</si>
  <si>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</si>
  <si>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</si>
  <si>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</si>
  <si>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</si>
  <si>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</si>
  <si>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</si>
  <si>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</si>
  <si>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</si>
  <si>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</si>
  <si>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</si>
  <si>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</si>
  <si>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</si>
  <si>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</si>
  <si>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</si>
  <si>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</si>
  <si>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</si>
  <si>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</si>
  <si>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</si>
  <si>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</si>
  <si>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</si>
  <si>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</si>
  <si>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</si>
  <si>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</si>
  <si>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</si>
  <si>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</si>
  <si>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</si>
  <si>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</si>
  <si>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</si>
  <si>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</si>
  <si>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</si>
  <si>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</si>
  <si>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</si>
  <si>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</si>
  <si>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</si>
  <si>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</si>
  <si>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</si>
  <si>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</si>
  <si>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</si>
  <si>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</si>
  <si>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</si>
  <si>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</si>
  <si>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</si>
  <si>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</si>
  <si>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</si>
  <si>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</si>
  <si>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</si>
  <si>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</si>
  <si>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</si>
  <si>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</si>
  <si>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</si>
  <si>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</si>
  <si>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</si>
  <si>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</si>
  <si>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</si>
  <si>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</si>
  <si>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</si>
  <si>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</si>
  <si>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</si>
  <si>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</si>
  <si>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</si>
  <si>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</si>
  <si>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</si>
  <si>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</si>
  <si>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</si>
  <si>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</si>
  <si>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</si>
  <si>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</si>
  <si>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</si>
  <si>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</si>
  <si>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</si>
  <si>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</si>
  <si>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</si>
  <si>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</si>
  <si>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</si>
  <si>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</si>
  <si>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</si>
  <si>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</si>
  <si>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</si>
  <si>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</si>
  <si>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</si>
  <si>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</si>
  <si>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</si>
  <si>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</si>
  <si>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</si>
  <si>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</si>
  <si>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</si>
  <si>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</si>
  <si>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</si>
  <si>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</si>
  <si>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</si>
  <si>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</si>
  <si>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</si>
  <si>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</si>
  <si>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</si>
  <si>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</si>
  <si>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</si>
  <si>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</si>
  <si>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</si>
  <si>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</si>
  <si>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</si>
  <si>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</si>
  <si>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</si>
  <si>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</si>
  <si>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</si>
  <si>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</si>
  <si>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</si>
  <si>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</si>
  <si>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</si>
  <si>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</si>
  <si>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</si>
  <si>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</si>
  <si>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</si>
  <si>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</si>
  <si>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</si>
  <si>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</si>
  <si>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</si>
  <si>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</si>
  <si>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</si>
  <si>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</si>
  <si>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</si>
  <si>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</si>
  <si>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</si>
  <si>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</si>
  <si>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</si>
  <si>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</si>
  <si>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</si>
  <si>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</si>
  <si>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</si>
  <si>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</si>
  <si>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</si>
  <si>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</si>
  <si>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</si>
  <si>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</si>
  <si>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</si>
  <si>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</si>
  <si>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</si>
  <si>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</si>
  <si>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</si>
  <si>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</si>
  <si>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</si>
  <si>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</si>
  <si>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</si>
  <si>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</si>
  <si>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</si>
  <si>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</si>
  <si>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</si>
  <si>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</si>
  <si>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</si>
  <si>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</si>
  <si>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</si>
  <si>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</si>
  <si>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</si>
  <si>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</si>
  <si>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</si>
  <si>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</si>
  <si>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</si>
  <si>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</si>
  <si>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</si>
  <si>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</si>
  <si>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</si>
  <si>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</si>
  <si>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</si>
  <si>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</si>
  <si>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</si>
  <si>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</si>
  <si>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</si>
  <si>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</si>
  <si>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</si>
  <si>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</si>
  <si>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</si>
  <si>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</si>
  <si>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</si>
  <si>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</si>
  <si>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</si>
  <si>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</si>
  <si>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</si>
  <si>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</si>
  <si>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</si>
  <si>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</si>
  <si>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</si>
  <si>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</si>
  <si>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</si>
  <si>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</si>
  <si>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</si>
  <si>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</si>
  <si>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</si>
  <si>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</si>
  <si>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</si>
  <si>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</si>
  <si>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</si>
  <si>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</si>
  <si>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</si>
  <si>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</si>
  <si>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</si>
  <si>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</si>
  <si>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</si>
  <si>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</si>
  <si>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</si>
  <si>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</si>
  <si>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</si>
  <si>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</si>
  <si>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</si>
  <si>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</si>
  <si>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</si>
  <si>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</si>
  <si>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</si>
  <si>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</si>
  <si>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</si>
  <si>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</si>
  <si>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</si>
  <si>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</si>
  <si>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</si>
  <si>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</si>
  <si>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</si>
  <si>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</si>
  <si>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</si>
  <si>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</si>
  <si>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</si>
  <si>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</si>
  <si>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</si>
  <si>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</si>
  <si>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</si>
  <si>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</si>
  <si>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</si>
  <si>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</si>
  <si>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</si>
  <si>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</si>
  <si>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</si>
  <si>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</si>
  <si>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</si>
  <si>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</si>
  <si>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</si>
  <si>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</si>
  <si>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</si>
  <si>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</si>
  <si>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</si>
  <si>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</si>
  <si>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</si>
  <si>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</si>
  <si>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</si>
  <si>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</si>
  <si>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</si>
  <si>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</si>
  <si>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</si>
  <si>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</si>
  <si>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</si>
  <si>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</si>
  <si>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</si>
  <si>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</si>
  <si>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</si>
  <si>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</si>
  <si>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</si>
  <si>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</si>
  <si>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</si>
  <si>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</si>
  <si>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33016</t>
  </si>
  <si>
    <t>MESEN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</si>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</sst>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2FF015BD-F590-4C73-977D-2C6D223867B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33016</v>
      </c>
      <c r="B6" s="382"/>
      <c r="C6" s="383"/>
    </row>
    <row r="7" spans="1:7" s="380" customFormat="1" ht="15.75" customHeight="1">
      <c r="A7" s="384" t="str">
        <f>txtMunicipality</f>
        <v>MESEN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0.21305236002101724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0.21305236002101724</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409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285</v>
      </c>
      <c r="C14" s="324"/>
      <c r="D14" s="324"/>
      <c r="E14" s="324"/>
      <c r="F14" s="324"/>
    </row>
    <row r="15" spans="1:6">
      <c r="A15" s="1235" t="s">
        <v>177</v>
      </c>
      <c r="B15" s="1236">
        <v>3</v>
      </c>
      <c r="C15" s="324"/>
      <c r="D15" s="324"/>
      <c r="E15" s="324"/>
      <c r="F15" s="324"/>
    </row>
    <row r="16" spans="1:6">
      <c r="A16" s="1235" t="s">
        <v>6</v>
      </c>
      <c r="B16" s="1236">
        <v>72</v>
      </c>
      <c r="C16" s="324"/>
      <c r="D16" s="324"/>
      <c r="E16" s="324"/>
      <c r="F16" s="324"/>
    </row>
    <row r="17" spans="1:6">
      <c r="A17" s="1235" t="s">
        <v>7</v>
      </c>
      <c r="B17" s="1236">
        <v>18</v>
      </c>
      <c r="C17" s="324"/>
      <c r="D17" s="324"/>
      <c r="E17" s="324"/>
      <c r="F17" s="324"/>
    </row>
    <row r="18" spans="1:6">
      <c r="A18" s="1235" t="s">
        <v>8</v>
      </c>
      <c r="B18" s="1236">
        <v>41</v>
      </c>
      <c r="C18" s="324"/>
      <c r="D18" s="324"/>
      <c r="E18" s="324"/>
      <c r="F18" s="324"/>
    </row>
    <row r="19" spans="1:6">
      <c r="A19" s="1235" t="s">
        <v>9</v>
      </c>
      <c r="B19" s="1236">
        <v>51</v>
      </c>
      <c r="C19" s="324"/>
      <c r="D19" s="324"/>
      <c r="E19" s="324"/>
      <c r="F19" s="324"/>
    </row>
    <row r="20" spans="1:6">
      <c r="A20" s="1235" t="s">
        <v>10</v>
      </c>
      <c r="B20" s="1236">
        <v>22</v>
      </c>
      <c r="C20" s="324"/>
      <c r="D20" s="324"/>
      <c r="E20" s="324"/>
      <c r="F20" s="324"/>
    </row>
    <row r="21" spans="1:6">
      <c r="A21" s="1235" t="s">
        <v>11</v>
      </c>
      <c r="B21" s="1236">
        <v>1340</v>
      </c>
      <c r="C21" s="324"/>
      <c r="D21" s="324"/>
      <c r="E21" s="324"/>
      <c r="F21" s="324"/>
    </row>
    <row r="22" spans="1:6">
      <c r="A22" s="1235" t="s">
        <v>12</v>
      </c>
      <c r="B22" s="1236">
        <v>2452</v>
      </c>
      <c r="C22" s="324"/>
      <c r="D22" s="324"/>
      <c r="E22" s="324"/>
      <c r="F22" s="324"/>
    </row>
    <row r="23" spans="1:6">
      <c r="A23" s="1235" t="s">
        <v>13</v>
      </c>
      <c r="B23" s="1236">
        <v>30</v>
      </c>
      <c r="C23" s="324"/>
      <c r="D23" s="324"/>
      <c r="E23" s="324"/>
      <c r="F23" s="324"/>
    </row>
    <row r="24" spans="1:6">
      <c r="A24" s="1235" t="s">
        <v>14</v>
      </c>
      <c r="B24" s="1236">
        <v>1</v>
      </c>
      <c r="C24" s="324"/>
      <c r="D24" s="324"/>
      <c r="E24" s="324"/>
      <c r="F24" s="324"/>
    </row>
    <row r="25" spans="1:6">
      <c r="A25" s="1235" t="s">
        <v>15</v>
      </c>
      <c r="B25" s="1236">
        <v>320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0</v>
      </c>
      <c r="C29" s="324"/>
      <c r="D29" s="324"/>
      <c r="E29" s="324"/>
      <c r="F29" s="324"/>
    </row>
    <row r="30" spans="1:6">
      <c r="A30" s="1230" t="s">
        <v>960</v>
      </c>
      <c r="B30" s="1238">
        <v>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337</v>
      </c>
      <c r="D39" s="1236">
        <v>5340818.4142239001</v>
      </c>
      <c r="E39" s="1236">
        <v>402</v>
      </c>
      <c r="F39" s="1236">
        <v>1492649.1051361701</v>
      </c>
    </row>
    <row r="40" spans="1:6">
      <c r="A40" s="1235" t="s">
        <v>29</v>
      </c>
      <c r="B40" s="1235" t="s">
        <v>28</v>
      </c>
      <c r="C40" s="1236">
        <v>0</v>
      </c>
      <c r="D40" s="1236">
        <v>0</v>
      </c>
      <c r="E40" s="1236">
        <v>0</v>
      </c>
      <c r="F40" s="1236">
        <v>0</v>
      </c>
    </row>
    <row r="41" spans="1:6">
      <c r="A41" s="1235" t="s">
        <v>31</v>
      </c>
      <c r="B41" s="1235" t="s">
        <v>32</v>
      </c>
      <c r="C41" s="1236">
        <v>0</v>
      </c>
      <c r="D41" s="1236">
        <v>0</v>
      </c>
      <c r="E41" s="1236">
        <v>3</v>
      </c>
      <c r="F41" s="1236">
        <v>8771.3016404883001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3</v>
      </c>
      <c r="D48" s="1236">
        <v>39477.7938714431</v>
      </c>
      <c r="E48" s="1236">
        <v>7</v>
      </c>
      <c r="F48" s="1236">
        <v>50337.986885712802</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4</v>
      </c>
      <c r="F51" s="1236">
        <v>153263.60497742699</v>
      </c>
    </row>
    <row r="52" spans="1:6">
      <c r="A52" s="1235" t="s">
        <v>41</v>
      </c>
      <c r="B52" s="1235" t="s">
        <v>28</v>
      </c>
      <c r="C52" s="1236">
        <v>1</v>
      </c>
      <c r="D52" s="1236">
        <v>33459.709511654903</v>
      </c>
      <c r="E52" s="1236">
        <v>1</v>
      </c>
      <c r="F52" s="1236">
        <v>5278.2896472640005</v>
      </c>
    </row>
    <row r="53" spans="1:6">
      <c r="A53" s="1235" t="s">
        <v>43</v>
      </c>
      <c r="B53" s="1235" t="s">
        <v>44</v>
      </c>
      <c r="C53" s="1236">
        <v>20</v>
      </c>
      <c r="D53" s="1236">
        <v>251738.08896805</v>
      </c>
      <c r="E53" s="1236">
        <v>27</v>
      </c>
      <c r="F53" s="1236">
        <v>114462.87017933201</v>
      </c>
    </row>
    <row r="54" spans="1:6">
      <c r="A54" s="1235" t="s">
        <v>45</v>
      </c>
      <c r="B54" s="1235" t="s">
        <v>46</v>
      </c>
      <c r="C54" s="1236">
        <v>0</v>
      </c>
      <c r="D54" s="1236">
        <v>0</v>
      </c>
      <c r="E54" s="1236">
        <v>1</v>
      </c>
      <c r="F54" s="1236">
        <v>48621</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0</v>
      </c>
      <c r="D57" s="1236">
        <v>0</v>
      </c>
      <c r="E57" s="1236">
        <v>9</v>
      </c>
      <c r="F57" s="1236">
        <v>41587.042866624703</v>
      </c>
    </row>
    <row r="58" spans="1:6">
      <c r="A58" s="1235" t="s">
        <v>48</v>
      </c>
      <c r="B58" s="1235" t="s">
        <v>50</v>
      </c>
      <c r="C58" s="1236">
        <v>0</v>
      </c>
      <c r="D58" s="1236">
        <v>0</v>
      </c>
      <c r="E58" s="1236">
        <v>0</v>
      </c>
      <c r="F58" s="1236">
        <v>0</v>
      </c>
    </row>
    <row r="59" spans="1:6">
      <c r="A59" s="1235" t="s">
        <v>48</v>
      </c>
      <c r="B59" s="1235" t="s">
        <v>51</v>
      </c>
      <c r="C59" s="1236">
        <v>0</v>
      </c>
      <c r="D59" s="1236">
        <v>0</v>
      </c>
      <c r="E59" s="1236">
        <v>0</v>
      </c>
      <c r="F59" s="1236">
        <v>0</v>
      </c>
    </row>
    <row r="60" spans="1:6">
      <c r="A60" s="1235" t="s">
        <v>48</v>
      </c>
      <c r="B60" s="1235" t="s">
        <v>52</v>
      </c>
      <c r="C60" s="1236">
        <v>0</v>
      </c>
      <c r="D60" s="1236">
        <v>0</v>
      </c>
      <c r="E60" s="1236">
        <v>0</v>
      </c>
      <c r="F60" s="1236">
        <v>0</v>
      </c>
    </row>
    <row r="61" spans="1:6">
      <c r="A61" s="1235" t="s">
        <v>48</v>
      </c>
      <c r="B61" s="1235" t="s">
        <v>53</v>
      </c>
      <c r="C61" s="1236">
        <v>5</v>
      </c>
      <c r="D61" s="1236">
        <v>106576.37409620101</v>
      </c>
      <c r="E61" s="1236">
        <v>6</v>
      </c>
      <c r="F61" s="1236">
        <v>27601.5017646907</v>
      </c>
    </row>
    <row r="62" spans="1:6">
      <c r="A62" s="1235" t="s">
        <v>48</v>
      </c>
      <c r="B62" s="1235" t="s">
        <v>54</v>
      </c>
      <c r="C62" s="1236">
        <v>0</v>
      </c>
      <c r="D62" s="1236">
        <v>0</v>
      </c>
      <c r="E62" s="1236">
        <v>0</v>
      </c>
      <c r="F62" s="1236">
        <v>0</v>
      </c>
    </row>
    <row r="63" spans="1:6">
      <c r="A63" s="1235" t="s">
        <v>48</v>
      </c>
      <c r="B63" s="1235" t="s">
        <v>28</v>
      </c>
      <c r="C63" s="1236">
        <v>14</v>
      </c>
      <c r="D63" s="1236">
        <v>754360.149162972</v>
      </c>
      <c r="E63" s="1236">
        <v>25</v>
      </c>
      <c r="F63" s="1236">
        <v>406812.94789755298</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1164.9563602075</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3486581</v>
      </c>
      <c r="E73" s="443"/>
      <c r="F73" s="324"/>
    </row>
    <row r="74" spans="1:6">
      <c r="A74" s="1235" t="s">
        <v>63</v>
      </c>
      <c r="B74" s="1235" t="s">
        <v>730</v>
      </c>
      <c r="C74" s="1248" t="s">
        <v>731</v>
      </c>
      <c r="D74" s="1236">
        <v>198539.82966904284</v>
      </c>
      <c r="E74" s="443"/>
      <c r="F74" s="324"/>
    </row>
    <row r="75" spans="1:6">
      <c r="A75" s="1235" t="s">
        <v>64</v>
      </c>
      <c r="B75" s="1235" t="s">
        <v>728</v>
      </c>
      <c r="C75" s="1248" t="s">
        <v>732</v>
      </c>
      <c r="D75" s="1236">
        <v>0</v>
      </c>
      <c r="E75" s="443"/>
      <c r="F75" s="324"/>
    </row>
    <row r="76" spans="1:6">
      <c r="A76" s="1235" t="s">
        <v>64</v>
      </c>
      <c r="B76" s="1235" t="s">
        <v>730</v>
      </c>
      <c r="C76" s="1248" t="s">
        <v>733</v>
      </c>
      <c r="D76" s="1236">
        <v>0</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12674.340661914299</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51.231453648391877</v>
      </c>
      <c r="C91" s="324"/>
      <c r="D91" s="324"/>
      <c r="E91" s="324"/>
      <c r="F91" s="324"/>
    </row>
    <row r="92" spans="1:6">
      <c r="A92" s="1230" t="s">
        <v>68</v>
      </c>
      <c r="B92" s="1231">
        <v>35.10897641422472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271</v>
      </c>
      <c r="C97" s="324"/>
      <c r="D97" s="324"/>
      <c r="E97" s="324"/>
      <c r="F97" s="324"/>
    </row>
    <row r="98" spans="1:6">
      <c r="A98" s="1235" t="s">
        <v>71</v>
      </c>
      <c r="B98" s="1236">
        <v>0</v>
      </c>
      <c r="C98" s="324"/>
      <c r="D98" s="324"/>
      <c r="E98" s="324"/>
      <c r="F98" s="324"/>
    </row>
    <row r="99" spans="1:6">
      <c r="A99" s="1235" t="s">
        <v>72</v>
      </c>
      <c r="B99" s="1236">
        <v>5</v>
      </c>
      <c r="C99" s="324"/>
      <c r="D99" s="324"/>
      <c r="E99" s="324"/>
      <c r="F99" s="324"/>
    </row>
    <row r="100" spans="1:6">
      <c r="A100" s="1235" t="s">
        <v>73</v>
      </c>
      <c r="B100" s="1236">
        <v>16</v>
      </c>
      <c r="C100" s="324"/>
      <c r="D100" s="324"/>
      <c r="E100" s="324"/>
      <c r="F100" s="324"/>
    </row>
    <row r="101" spans="1:6">
      <c r="A101" s="1235" t="s">
        <v>74</v>
      </c>
      <c r="B101" s="1236">
        <v>4</v>
      </c>
      <c r="C101" s="324"/>
      <c r="D101" s="324"/>
      <c r="E101" s="324"/>
      <c r="F101" s="324"/>
    </row>
    <row r="102" spans="1:6">
      <c r="A102" s="1235" t="s">
        <v>75</v>
      </c>
      <c r="B102" s="1236">
        <v>7</v>
      </c>
      <c r="C102" s="324"/>
      <c r="D102" s="324"/>
      <c r="E102" s="324"/>
      <c r="F102" s="324"/>
    </row>
    <row r="103" spans="1:6">
      <c r="A103" s="1235" t="s">
        <v>76</v>
      </c>
      <c r="B103" s="1236">
        <v>22</v>
      </c>
      <c r="C103" s="324"/>
      <c r="D103" s="324"/>
      <c r="E103" s="324"/>
      <c r="F103" s="324"/>
    </row>
    <row r="104" spans="1:6">
      <c r="A104" s="1235" t="s">
        <v>77</v>
      </c>
      <c r="B104" s="1236">
        <v>47</v>
      </c>
      <c r="C104" s="324"/>
      <c r="D104" s="324"/>
      <c r="E104" s="324"/>
      <c r="F104" s="324"/>
    </row>
    <row r="105" spans="1:6">
      <c r="A105" s="1230" t="s">
        <v>78</v>
      </c>
      <c r="B105" s="123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0</v>
      </c>
      <c r="C123" s="1236">
        <v>0</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0</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2400.8680682942168</v>
      </c>
      <c r="C3" s="43" t="s">
        <v>163</v>
      </c>
      <c r="D3" s="43"/>
      <c r="E3" s="155"/>
      <c r="F3" s="43"/>
      <c r="G3" s="43"/>
      <c r="H3" s="43"/>
      <c r="I3" s="43"/>
      <c r="J3" s="43"/>
      <c r="K3" s="96"/>
    </row>
    <row r="4" spans="1:11">
      <c r="A4" s="350" t="s">
        <v>164</v>
      </c>
      <c r="B4" s="49">
        <f>IF(ISERROR('SEAP template'!B78+'SEAP template'!C78),0,'SEAP template'!B78+'SEAP template'!C78)</f>
        <v>86.340430062616605</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0.21305236002101724</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48.621000000000002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48.621000000000002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0.21305236002101724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10.358818796581879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1492.64910513617</v>
      </c>
      <c r="C5" s="17">
        <f>IF(ISERROR('Eigen informatie GS &amp; warmtenet'!B57),0,'Eigen informatie GS &amp; warmtenet'!B57)</f>
        <v>0</v>
      </c>
      <c r="D5" s="30">
        <f>(SUM(HH_hh_gas_kWh,HH_rest_gas_kWh)/1000)*0.902</f>
        <v>4817.4182096299573</v>
      </c>
      <c r="E5" s="17">
        <f>B32*B41</f>
        <v>42.886403584544475</v>
      </c>
      <c r="F5" s="17">
        <f>B36*B45</f>
        <v>1463.9014675951619</v>
      </c>
      <c r="G5" s="18"/>
      <c r="H5" s="17"/>
      <c r="I5" s="17"/>
      <c r="J5" s="17">
        <f>B35*B44+C35*C44</f>
        <v>32.963349639615103</v>
      </c>
      <c r="K5" s="17"/>
      <c r="L5" s="17"/>
      <c r="M5" s="17"/>
      <c r="N5" s="17">
        <f>B34*B43+C34*C43</f>
        <v>464.64707408817105</v>
      </c>
      <c r="O5" s="17">
        <f>B52*B53*B54</f>
        <v>0</v>
      </c>
      <c r="P5" s="17">
        <f>B60*B61*B62/1000-B60*B61*B62/1000/B63</f>
        <v>0</v>
      </c>
    </row>
    <row r="6" spans="1:16">
      <c r="A6" s="16" t="s">
        <v>591</v>
      </c>
      <c r="B6" s="727">
        <f>kWh_PV_kleiner_dan_10kW</f>
        <v>51.231453648391877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1543.8805587845618</v>
      </c>
      <c r="C8" s="21">
        <f>C5</f>
        <v>0</v>
      </c>
      <c r="D8" s="21">
        <f>D5</f>
        <v>4817.4182096299573</v>
      </c>
      <c r="E8" s="21">
        <f>E5</f>
        <v>42.886403584544475</v>
      </c>
      <c r="F8" s="21">
        <f>F5</f>
        <v>1463.9014675951619</v>
      </c>
      <c r="G8" s="21"/>
      <c r="H8" s="21"/>
      <c r="I8" s="21"/>
      <c r="J8" s="21">
        <f>J5</f>
        <v>32.963349639615103</v>
      </c>
      <c r="K8" s="21"/>
      <c r="L8" s="21">
        <f>L5</f>
        <v>0</v>
      </c>
      <c r="M8" s="21">
        <f>M5</f>
        <v>0</v>
      </c>
      <c r="N8" s="21">
        <f>N5</f>
        <v>464.64707408817105</v>
      </c>
      <c r="O8" s="21">
        <f>O5</f>
        <v>0</v>
      </c>
      <c r="P8" s="21">
        <f>P5</f>
        <v>0</v>
      </c>
    </row>
    <row r="9" spans="1:16">
      <c r="B9" s="19"/>
      <c r="C9" s="19"/>
      <c r="D9" s="255"/>
      <c r="E9" s="19"/>
      <c r="F9" s="19"/>
      <c r="G9" s="19"/>
      <c r="H9" s="19"/>
      <c r="I9" s="19"/>
      <c r="J9" s="19"/>
      <c r="K9" s="19"/>
      <c r="L9" s="19"/>
      <c r="M9" s="19"/>
      <c r="N9" s="19"/>
      <c r="O9" s="19"/>
      <c r="P9" s="19"/>
    </row>
    <row r="10" spans="1:16">
      <c r="A10" s="24" t="s">
        <v>207</v>
      </c>
      <c r="B10" s="25">
        <f ca="1">'EF ele_warmte'!B12</f>
        <v>0.21305236002101724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328.92739663961771</v>
      </c>
      <c r="C12" s="23">
        <f ca="1">C10*C8</f>
        <v>0</v>
      </c>
      <c r="D12" s="23">
        <f>D8*D10</f>
        <v>973.11847834525145</v>
      </c>
      <c r="E12" s="23">
        <f>E10*E8</f>
        <v>9.7352136136915952</v>
      </c>
      <c r="F12" s="23">
        <f>F10*F8</f>
        <v>390.86169184790822</v>
      </c>
      <c r="G12" s="23"/>
      <c r="H12" s="23"/>
      <c r="I12" s="23"/>
      <c r="J12" s="23">
        <f>J10*J8</f>
        <v>11.669025772423746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409</v>
      </c>
      <c r="C26" s="36"/>
      <c r="D26" s="225"/>
    </row>
    <row r="27" spans="1:5" s="15" customFormat="1">
      <c r="A27" s="227" t="s">
        <v>671</v>
      </c>
      <c r="B27" s="37">
        <f>SUM(HH_hh_gas_aantal,HH_rest_gas_aantal)</f>
        <v>337</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320.14999999999998</v>
      </c>
      <c r="C31" s="34" t="s">
        <v>104</v>
      </c>
      <c r="D31" s="171"/>
    </row>
    <row r="32" spans="1:5">
      <c r="A32" s="168" t="s">
        <v>72</v>
      </c>
      <c r="B32" s="33">
        <f>IF((B21*($B$26-($B$27-0.05*$B$27)-$B$60))&lt;0,0,B21*($B$26-($B$27-0.05*$B$27)-$B$60))</f>
        <v>0.62990817466959237</v>
      </c>
      <c r="C32" s="34" t="s">
        <v>104</v>
      </c>
      <c r="D32" s="171"/>
    </row>
    <row r="33" spans="1:6">
      <c r="A33" s="168" t="s">
        <v>73</v>
      </c>
      <c r="B33" s="33">
        <f>IF((B22*($B$26-($B$27-0.05*$B$27)-$B$60))&lt;0,0,B22*($B$26-($B$27-0.05*$B$27)-$B$60))</f>
        <v>18.053082584238048</v>
      </c>
      <c r="C33" s="34" t="s">
        <v>104</v>
      </c>
      <c r="D33" s="171"/>
    </row>
    <row r="34" spans="1:6">
      <c r="A34" s="168" t="s">
        <v>74</v>
      </c>
      <c r="B34" s="33">
        <f>IF((B24*($B$26-($B$27-0.05*$B$27)-$B$60))&lt;0,0,B24*($B$26-($B$27-0.05*$B$27)-$B$60))</f>
        <v>3.5999754580346295</v>
      </c>
      <c r="C34" s="33">
        <f>B26*C24</f>
        <v>83.63134442456969</v>
      </c>
      <c r="D34" s="230"/>
    </row>
    <row r="35" spans="1:6">
      <c r="A35" s="168" t="s">
        <v>76</v>
      </c>
      <c r="B35" s="33">
        <f>IF((B19*($B$26-($B$27-0.05*$B$27)-$B$60))&lt;0,0,B19*($B$26-($B$27-0.05*$B$27)-$B$60))</f>
        <v>1.8747267103261682</v>
      </c>
      <c r="C35" s="33">
        <f>B35/2</f>
        <v>0.93736335516308411</v>
      </c>
      <c r="D35" s="230"/>
    </row>
    <row r="36" spans="1:6">
      <c r="A36" s="168" t="s">
        <v>77</v>
      </c>
      <c r="B36" s="33">
        <f>IF((B18*($B$26-($B$27-0.05*$B$27)-$B$60))&lt;0,0,B18*($B$26-($B$27-0.05*$B$27)-$B$60))</f>
        <v>64.69230707273158</v>
      </c>
      <c r="C36" s="34" t="s">
        <v>104</v>
      </c>
      <c r="D36" s="171"/>
    </row>
    <row r="37" spans="1:6">
      <c r="A37" s="168" t="s">
        <v>78</v>
      </c>
      <c r="B37" s="33">
        <f>B60</f>
        <v>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476.00149252886837</v>
      </c>
      <c r="C5" s="17">
        <f>IF(ISERROR('Eigen informatie GS &amp; warmtenet'!B58),0,'Eigen informatie GS &amp; warmtenet'!B58)</f>
        <v>0</v>
      </c>
      <c r="D5" s="30">
        <f>SUM(D6:D12)</f>
        <v>776.56474397977399</v>
      </c>
      <c r="E5" s="17">
        <f>SUM(E6:E12)</f>
        <v>9.9242835403665737</v>
      </c>
      <c r="F5" s="17">
        <f>SUM(F6:F12)</f>
        <v>95.685356198833759</v>
      </c>
      <c r="G5" s="18"/>
      <c r="H5" s="17"/>
      <c r="I5" s="17"/>
      <c r="J5" s="17">
        <f>SUM(J6:J12)</f>
        <v>0</v>
      </c>
      <c r="K5" s="17"/>
      <c r="L5" s="17"/>
      <c r="M5" s="17"/>
      <c r="N5" s="17">
        <f>SUM(N6:N12)</f>
        <v>20.931631833433364</v>
      </c>
      <c r="O5" s="17">
        <f>B38*B39*B40</f>
        <v>0</v>
      </c>
      <c r="P5" s="17">
        <f>B46*B47*B48/1000-B46*B47*B48/1000/B49</f>
        <v>0</v>
      </c>
      <c r="R5" s="32"/>
    </row>
    <row r="6" spans="1:18">
      <c r="A6" s="32" t="s">
        <v>53</v>
      </c>
      <c r="B6" s="37">
        <f>B26</f>
        <v>27.601501764690699</v>
      </c>
      <c r="C6" s="33"/>
      <c r="D6" s="37">
        <f>IF(ISERROR(TER_kantoor_gas_kWh/1000),0,TER_kantoor_gas_kWh/1000)*0.902</f>
        <v>96.131889434773313</v>
      </c>
      <c r="E6" s="33">
        <f>$C$26*'E Balans VL '!I12/100/3.6*1000000</f>
        <v>0.95479145124398002</v>
      </c>
      <c r="F6" s="33">
        <f>$C$26*('E Balans VL '!L12+'E Balans VL '!N12)/100/3.6*1000000</f>
        <v>4.2136623298111173</v>
      </c>
      <c r="G6" s="34"/>
      <c r="H6" s="33"/>
      <c r="I6" s="33"/>
      <c r="J6" s="33">
        <f>$C$26*('E Balans VL '!D12+'E Balans VL '!E12)/100/3.6*1000000</f>
        <v>0</v>
      </c>
      <c r="K6" s="33"/>
      <c r="L6" s="33"/>
      <c r="M6" s="33"/>
      <c r="N6" s="33">
        <f>$C$26*'E Balans VL '!Y12/100/3.6*1000000</f>
        <v>0.42549027054424804</v>
      </c>
      <c r="O6" s="33"/>
      <c r="P6" s="33"/>
      <c r="R6" s="32"/>
    </row>
    <row r="7" spans="1:18">
      <c r="A7" s="32" t="s">
        <v>52</v>
      </c>
      <c r="B7" s="37">
        <f t="shared" ref="B7:B12" si="0">B27</f>
        <v>0</v>
      </c>
      <c r="C7" s="33"/>
      <c r="D7" s="37">
        <f>IF(ISERROR(TER_horeca_gas_kWh/1000),0,TER_horeca_gas_kWh/1000)*0.902</f>
        <v>0</v>
      </c>
      <c r="E7" s="33">
        <f>$C$27*'E Balans VL '!I9/100/3.6*1000000</f>
        <v>0</v>
      </c>
      <c r="F7" s="33">
        <f>$C$27*('E Balans VL '!L9+'E Balans VL '!N9)/100/3.6*1000000</f>
        <v>0</v>
      </c>
      <c r="G7" s="34"/>
      <c r="H7" s="33"/>
      <c r="I7" s="33"/>
      <c r="J7" s="33">
        <f>$C$27*('E Balans VL '!D9+'E Balans VL '!E9)/100/3.6*1000000</f>
        <v>0</v>
      </c>
      <c r="K7" s="33"/>
      <c r="L7" s="33"/>
      <c r="M7" s="33"/>
      <c r="N7" s="33">
        <f>$C$27*'E Balans VL '!Y9/100/3.6*1000000</f>
        <v>0</v>
      </c>
      <c r="O7" s="33"/>
      <c r="P7" s="33"/>
      <c r="R7" s="32"/>
    </row>
    <row r="8" spans="1:18">
      <c r="A8" s="6" t="s">
        <v>51</v>
      </c>
      <c r="B8" s="37">
        <f t="shared" si="0"/>
        <v>0</v>
      </c>
      <c r="C8" s="33"/>
      <c r="D8" s="37">
        <f>IF(ISERROR(TER_handel_gas_kWh/1000),0,TER_handel_gas_kWh/1000)*0.902</f>
        <v>0</v>
      </c>
      <c r="E8" s="33">
        <f>$C$28*'E Balans VL '!I13/100/3.6*1000000</f>
        <v>0</v>
      </c>
      <c r="F8" s="33">
        <f>$C$28*('E Balans VL '!L13+'E Balans VL '!N13)/100/3.6*1000000</f>
        <v>0</v>
      </c>
      <c r="G8" s="34"/>
      <c r="H8" s="33"/>
      <c r="I8" s="33"/>
      <c r="J8" s="33">
        <f>$C$28*('E Balans VL '!D13+'E Balans VL '!E13)/100/3.6*1000000</f>
        <v>0</v>
      </c>
      <c r="K8" s="33"/>
      <c r="L8" s="33"/>
      <c r="M8" s="33"/>
      <c r="N8" s="33">
        <f>$C$28*'E Balans VL '!Y13/100/3.6*1000000</f>
        <v>0</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41.587042866624699</v>
      </c>
      <c r="C10" s="33"/>
      <c r="D10" s="37">
        <f>IF(ISERROR(TER_ander_gas_kWh/1000),0,TER_ander_gas_kWh/1000)*0.902</f>
        <v>0</v>
      </c>
      <c r="E10" s="33">
        <f>$C$30*'E Balans VL '!I14/100/3.6*1000000</f>
        <v>0.2531673083197144</v>
      </c>
      <c r="F10" s="33">
        <f>$C$30*('E Balans VL '!L14+'E Balans VL '!N14)/100/3.6*1000000</f>
        <v>11.010145771701282</v>
      </c>
      <c r="G10" s="34"/>
      <c r="H10" s="33"/>
      <c r="I10" s="33"/>
      <c r="J10" s="33">
        <f>$C$30*('E Balans VL '!D14+'E Balans VL '!E14)/100/3.6*1000000</f>
        <v>0</v>
      </c>
      <c r="K10" s="33"/>
      <c r="L10" s="33"/>
      <c r="M10" s="33"/>
      <c r="N10" s="33">
        <f>$C$30*'E Balans VL '!Y14/100/3.6*1000000</f>
        <v>8.6615025216150858</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406.81294789755299</v>
      </c>
      <c r="C12" s="33"/>
      <c r="D12" s="37">
        <f>IF(ISERROR(TER_rest_gas_kWh/1000),0,TER_rest_gas_kWh/1000)*0.902</f>
        <v>680.43285454500074</v>
      </c>
      <c r="E12" s="33">
        <f>$C$32*'E Balans VL '!I8/100/3.6*1000000</f>
        <v>8.7163247808028785</v>
      </c>
      <c r="F12" s="33">
        <f>$C$32*('E Balans VL '!L8+'E Balans VL '!N8)/100/3.6*1000000</f>
        <v>80.461548097321355</v>
      </c>
      <c r="G12" s="34"/>
      <c r="H12" s="33"/>
      <c r="I12" s="33"/>
      <c r="J12" s="33">
        <f>$C$32*('E Balans VL '!D8+'E Balans VL '!E8)/100/3.6*1000000</f>
        <v>0</v>
      </c>
      <c r="K12" s="33"/>
      <c r="L12" s="33"/>
      <c r="M12" s="33"/>
      <c r="N12" s="33">
        <f>$C$32*'E Balans VL '!Y8/100/3.6*1000000</f>
        <v>11.844639041274029</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476.00149252886837</v>
      </c>
      <c r="C16" s="21">
        <f ca="1">C5+C13+C14</f>
        <v>0</v>
      </c>
      <c r="D16" s="21">
        <f t="shared" ref="D16:N16" ca="1" si="1">MAX((D5+D13+D14),0)</f>
        <v>776.56474397977399</v>
      </c>
      <c r="E16" s="21">
        <f t="shared" si="1"/>
        <v>9.9242835403665737</v>
      </c>
      <c r="F16" s="21">
        <f t="shared" ca="1" si="1"/>
        <v>95.685356198833759</v>
      </c>
      <c r="G16" s="21">
        <f t="shared" si="1"/>
        <v>0</v>
      </c>
      <c r="H16" s="21">
        <f t="shared" si="1"/>
        <v>0</v>
      </c>
      <c r="I16" s="21">
        <f t="shared" si="1"/>
        <v>0</v>
      </c>
      <c r="J16" s="21">
        <f t="shared" si="1"/>
        <v>0</v>
      </c>
      <c r="K16" s="21">
        <f t="shared" si="1"/>
        <v>0</v>
      </c>
      <c r="L16" s="21">
        <f t="shared" ca="1" si="1"/>
        <v>0</v>
      </c>
      <c r="M16" s="21">
        <f t="shared" si="1"/>
        <v>0</v>
      </c>
      <c r="N16" s="21">
        <f t="shared" ca="1" si="1"/>
        <v>20.931631833433364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0.21305236002101724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101.41324135680202</v>
      </c>
      <c r="C20" s="23">
        <f t="shared" ref="C20:P20" ca="1" si="2">C16*C18</f>
        <v>0</v>
      </c>
      <c r="D20" s="23">
        <f t="shared" ca="1" si="2"/>
        <v>156.86607828391436</v>
      </c>
      <c r="E20" s="23">
        <f t="shared" si="2"/>
        <v>2.2528123636632125</v>
      </c>
      <c r="F20" s="23">
        <f t="shared" ca="1" si="2"/>
        <v>25.547990105088616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27.601501764690699</v>
      </c>
      <c r="C26" s="39">
        <f>IF(ISERROR(B26*3.6/1000000/'E Balans VL '!Z12*100),0,B26*3.6/1000000/'E Balans VL '!Z12*100)</f>
        <v>5.7399270706040399E-4</v>
      </c>
      <c r="D26" s="233" t="s">
        <v>676</v>
      </c>
      <c r="F26" s="6"/>
    </row>
    <row r="27" spans="1:18">
      <c r="A27" s="228" t="s">
        <v>52</v>
      </c>
      <c r="B27" s="33">
        <f>IF(ISERROR(TER_horeca_ele_kWh/1000),0,TER_horeca_ele_kWh/1000)</f>
        <v>0</v>
      </c>
      <c r="C27" s="39">
        <f>IF(ISERROR(B27*3.6/1000000/'E Balans VL '!Z9*100),0,B27*3.6/1000000/'E Balans VL '!Z9*100)</f>
        <v>0</v>
      </c>
      <c r="D27" s="233" t="s">
        <v>676</v>
      </c>
      <c r="F27" s="6"/>
    </row>
    <row r="28" spans="1:18">
      <c r="A28" s="168" t="s">
        <v>51</v>
      </c>
      <c r="B28" s="33">
        <f>IF(ISERROR(TER_handel_ele_kWh/1000),0,TER_handel_ele_kWh/1000)</f>
        <v>0</v>
      </c>
      <c r="C28" s="39">
        <f>IF(ISERROR(B28*3.6/1000000/'E Balans VL '!Z13*100),0,B28*3.6/1000000/'E Balans VL '!Z13*100)</f>
        <v>0</v>
      </c>
      <c r="D28" s="233" t="s">
        <v>676</v>
      </c>
      <c r="F28" s="6"/>
    </row>
    <row r="29" spans="1:18">
      <c r="A29" s="228" t="s">
        <v>50</v>
      </c>
      <c r="B29" s="33">
        <f>IF(ISERROR(TER_gezond_ele_kWh/1000),0,TER_gezond_ele_kWh/1000)</f>
        <v>0</v>
      </c>
      <c r="C29" s="39">
        <f>IF(ISERROR(B29*3.6/1000000/'E Balans VL '!Z10*100),0,B29*3.6/1000000/'E Balans VL '!Z10*100)</f>
        <v>0</v>
      </c>
      <c r="D29" s="233" t="s">
        <v>676</v>
      </c>
      <c r="F29" s="6"/>
    </row>
    <row r="30" spans="1:18">
      <c r="A30" s="228" t="s">
        <v>49</v>
      </c>
      <c r="B30" s="33">
        <f>IF(ISERROR(TER_ander_ele_kWh/1000),0,TER_ander_ele_kWh/1000)</f>
        <v>41.587042866624699</v>
      </c>
      <c r="C30" s="39">
        <f>IF(ISERROR(B30*3.6/1000000/'E Balans VL '!Z14*100),0,B30*3.6/1000000/'E Balans VL '!Z14*100)</f>
        <v>3.2189499237960839E-3</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406.81294789755299</v>
      </c>
      <c r="C32" s="39">
        <f>IF(ISERROR(B32*3.6/1000000/'E Balans VL '!Z8*100),0,B32*3.6/1000000/'E Balans VL '!Z8*100)</f>
        <v>3.3546119914925057E-3</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59.109288526201098</v>
      </c>
      <c r="C5" s="17">
        <f>IF(ISERROR('Eigen informatie GS &amp; warmtenet'!B59),0,'Eigen informatie GS &amp; warmtenet'!B59)</f>
        <v>0</v>
      </c>
      <c r="D5" s="30">
        <f>SUM(D6:D15)</f>
        <v>35.608970072041672</v>
      </c>
      <c r="E5" s="17">
        <f>SUM(E6:E15)</f>
        <v>0.60161318305813438</v>
      </c>
      <c r="F5" s="17">
        <f>SUM(F6:F15)</f>
        <v>16.91987183144915</v>
      </c>
      <c r="G5" s="18"/>
      <c r="H5" s="17"/>
      <c r="I5" s="17"/>
      <c r="J5" s="17">
        <f>SUM(J6:J15)</f>
        <v>0.33973448987335109</v>
      </c>
      <c r="K5" s="17"/>
      <c r="L5" s="17"/>
      <c r="M5" s="17"/>
      <c r="N5" s="17">
        <f>SUM(N6:N15)</f>
        <v>1.5559693846505911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8.7713016404883</v>
      </c>
      <c r="C9" s="33"/>
      <c r="D9" s="37">
        <f>IF( ISERROR(IND_andere_gas_kWh/1000),0,IND_andere_gas_kWh/1000)*0.902</f>
        <v>0</v>
      </c>
      <c r="E9" s="33">
        <f>C31*'E Balans VL '!I19/100/3.6*1000000</f>
        <v>0.14732475623958532</v>
      </c>
      <c r="F9" s="33">
        <f>C31*'E Balans VL '!L19/100/3.6*1000000+C31*'E Balans VL '!N19/100/3.6*1000000</f>
        <v>6.8569040464944422</v>
      </c>
      <c r="G9" s="34"/>
      <c r="H9" s="33"/>
      <c r="I9" s="33"/>
      <c r="J9" s="40">
        <f>C31*'E Balans VL '!D19/100/3.6*1000000+C31*'E Balans VL '!E19/100/3.6*1000000</f>
        <v>7.9109398031626966E-4</v>
      </c>
      <c r="K9" s="33"/>
      <c r="L9" s="33"/>
      <c r="M9" s="33"/>
      <c r="N9" s="33">
        <f>C31*'E Balans VL '!Y19/100/3.6*1000000</f>
        <v>0.65009417470612341</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50.337986885712802</v>
      </c>
      <c r="C15" s="33"/>
      <c r="D15" s="37">
        <f>IF( ISERROR(IND_rest_gas_kWh/1000),0,IND_rest_gas_kWh/1000)*0.902</f>
        <v>35.608970072041672</v>
      </c>
      <c r="E15" s="33">
        <f>C37*'E Balans VL '!I15/100/3.6*1000000</f>
        <v>0.45428842681854903</v>
      </c>
      <c r="F15" s="33">
        <f>C37*'E Balans VL '!L15/100/3.6*1000000+C37*'E Balans VL '!N15/100/3.6*1000000</f>
        <v>10.062967784954708</v>
      </c>
      <c r="G15" s="34"/>
      <c r="H15" s="33"/>
      <c r="I15" s="33"/>
      <c r="J15" s="40">
        <f>C37*'E Balans VL '!D15/100/3.6*1000000+C37*'E Balans VL '!E15/100/3.6*1000000</f>
        <v>0.33894339589303479</v>
      </c>
      <c r="K15" s="33"/>
      <c r="L15" s="33"/>
      <c r="M15" s="33"/>
      <c r="N15" s="33">
        <f>C37*'E Balans VL '!Y15/100/3.6*1000000</f>
        <v>0.9058752099444678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59.109288526201098</v>
      </c>
      <c r="C18" s="21">
        <f>C5+C16</f>
        <v>0</v>
      </c>
      <c r="D18" s="21">
        <f>MAX((D5+D16),0)</f>
        <v>35.608970072041672</v>
      </c>
      <c r="E18" s="21">
        <f>MAX((E5+E16),0)</f>
        <v>0.60161318305813438</v>
      </c>
      <c r="F18" s="21">
        <f>MAX((F5+F16),0)</f>
        <v>16.91987183144915</v>
      </c>
      <c r="G18" s="21"/>
      <c r="H18" s="21"/>
      <c r="I18" s="21"/>
      <c r="J18" s="21">
        <f>MAX((J5+J16),0)</f>
        <v>0.33973448987335109</v>
      </c>
      <c r="K18" s="21"/>
      <c r="L18" s="21">
        <f>MAX((L5+L16),0)</f>
        <v>0</v>
      </c>
      <c r="M18" s="21"/>
      <c r="N18" s="21">
        <f>MAX((N5+N16),0)</f>
        <v>1.5559693846505911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0.21305236002101724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12.59337341967038</v>
      </c>
      <c r="C22" s="23">
        <f ca="1">C18*C20</f>
        <v>0</v>
      </c>
      <c r="D22" s="23">
        <f>D18*D20</f>
        <v>7.1930119545524178</v>
      </c>
      <c r="E22" s="23">
        <f>E18*E20</f>
        <v>0.1365661925541965</v>
      </c>
      <c r="F22" s="23">
        <f>F18*F20</f>
        <v>4.5176057789969235</v>
      </c>
      <c r="G22" s="23"/>
      <c r="H22" s="23"/>
      <c r="I22" s="23"/>
      <c r="J22" s="23">
        <f>J18*J20</f>
        <v>0.12026600941516628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8.7713016404883</v>
      </c>
      <c r="C31" s="39">
        <f>IF(ISERROR(B31*3.6/1000000/'E Balans VL '!Z19*100),0,B31*3.6/1000000/'E Balans VL '!Z19*100)</f>
        <v>3.8879704152062404E-4</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50.337986885712802</v>
      </c>
      <c r="C37" s="39">
        <f>IF(ISERROR(B37*3.6/1000000/'E Balans VL '!Z15*100),0,B37*3.6/1000000/'E Balans VL '!Z15*100)</f>
        <v>3.744326148341987E-4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158.541894624691</v>
      </c>
      <c r="C5" s="17">
        <f>'Eigen informatie GS &amp; warmtenet'!B60</f>
        <v>0</v>
      </c>
      <c r="D5" s="30">
        <f>IF(ISERROR(SUM(LB_lb_gas_kWh,LB_rest_gas_kWh)/1000),0,SUM(LB_lb_gas_kWh,LB_rest_gas_kWh)/1000)*0.902</f>
        <v>30.18065797951272</v>
      </c>
      <c r="E5" s="17">
        <f>B17*'E Balans VL '!I25/3.6*1000000/100</f>
        <v>1.428663642501856</v>
      </c>
      <c r="F5" s="17">
        <f>B17*('E Balans VL '!L25/3.6*1000000+'E Balans VL '!N25/3.6*1000000)/100</f>
        <v>594.06131452638601</v>
      </c>
      <c r="G5" s="18"/>
      <c r="H5" s="17"/>
      <c r="I5" s="17"/>
      <c r="J5" s="17">
        <f>('E Balans VL '!D25+'E Balans VL '!E25)/3.6*1000000*landbouw!B17/100</f>
        <v>16.043784025052155</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158.541894624691</v>
      </c>
      <c r="C8" s="21">
        <f>C5+C6</f>
        <v>0</v>
      </c>
      <c r="D8" s="21">
        <f>MAX((D5+D6),0)</f>
        <v>30.18065797951272</v>
      </c>
      <c r="E8" s="21">
        <f>MAX((E5+E6),0)</f>
        <v>1.428663642501856</v>
      </c>
      <c r="F8" s="21">
        <f>MAX((F5+F6),0)</f>
        <v>594.06131452638601</v>
      </c>
      <c r="G8" s="21"/>
      <c r="H8" s="21"/>
      <c r="I8" s="21"/>
      <c r="J8" s="21">
        <f>MAX((J5+J6),0)</f>
        <v>16.043784025052155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0.21305236002101724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33.777724811993842</v>
      </c>
      <c r="C12" s="23">
        <f ca="1">C8*C10</f>
        <v>0</v>
      </c>
      <c r="D12" s="23">
        <f>D8*D10</f>
        <v>6.0964929118615698</v>
      </c>
      <c r="E12" s="23">
        <f>E8*E10</f>
        <v>0.32430664684792132</v>
      </c>
      <c r="F12" s="23">
        <f>F8*F10</f>
        <v>158.61437097854508</v>
      </c>
      <c r="G12" s="23"/>
      <c r="H12" s="23"/>
      <c r="I12" s="23"/>
      <c r="J12" s="23">
        <f>J8*J10</f>
        <v>5.6794995448684622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2.4402658006867799E-2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20.999321832592731</v>
      </c>
      <c r="C26" s="243">
        <f>B26*'GWP N2O_CH4'!B5</f>
        <v>440.98575848444733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20.741447322229256</v>
      </c>
      <c r="C27" s="243">
        <f>B27*'GWP N2O_CH4'!B5</f>
        <v>435.57039376681439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0.32909531952480781</v>
      </c>
      <c r="C28" s="243">
        <f>B28*'GWP N2O_CH4'!B4</f>
        <v>102.01954905269042</v>
      </c>
      <c r="D28" s="50"/>
    </row>
    <row r="29" spans="1:4">
      <c r="A29" s="41" t="s">
        <v>266</v>
      </c>
      <c r="B29" s="243">
        <f>B34*'ha_N2O bodem landbouw'!B4</f>
        <v>1.6321685492262261</v>
      </c>
      <c r="C29" s="243">
        <f>B29*'GWP N2O_CH4'!B4</f>
        <v>505.97225026013012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4.2376157538198016E-4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1.3662405294844632E-7</v>
      </c>
      <c r="C5" s="431" t="s">
        <v>204</v>
      </c>
      <c r="D5" s="416">
        <f>SUM(D6:D11)</f>
        <v>4.1821836705545551E-7</v>
      </c>
      <c r="E5" s="416">
        <f>SUM(E6:E11)</f>
        <v>4.3435516581531064E-5</v>
      </c>
      <c r="F5" s="429" t="s">
        <v>204</v>
      </c>
      <c r="G5" s="416">
        <f>SUM(G6:G11)</f>
        <v>7.659019259783734E-3</v>
      </c>
      <c r="H5" s="416">
        <f>SUM(H6:H11)</f>
        <v>1.4562326250600883E-3</v>
      </c>
      <c r="I5" s="431" t="s">
        <v>204</v>
      </c>
      <c r="J5" s="431" t="s">
        <v>204</v>
      </c>
      <c r="K5" s="431" t="s">
        <v>204</v>
      </c>
      <c r="L5" s="431" t="s">
        <v>204</v>
      </c>
      <c r="M5" s="416">
        <f>SUM(M6:M11)</f>
        <v>3.9696744939055582E-4</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1.3249530566354861E-7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4.1821836705545551E-7</v>
      </c>
      <c r="E6" s="419">
        <f>vkm_GW_PW*SUMIFS(TableVerdeelsleutelVkm[LPG],TableVerdeelsleutelVkm[Voertuigtype],"Lichte voertuigen")*SUMIFS(TableECFTransport[EnergieConsumptieFactor (PJ per km)],TableECFTransport[Index],CONCATENATE($A6,"_LPG_LPG"))</f>
        <v>4.3435516581531064E-5</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5.7978810222985254E-3</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1.4561778622706923E-3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3.167886389429466E-4</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4.128747284897701E-9</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1.8611382374852088E-3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5.4762789396185626E-8</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8.0178810447609228E-5</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0</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0</v>
      </c>
      <c r="E8" s="419">
        <f>vkm_NGW_PW*SUMIFS(TableVerdeelsleutelVkm[LPG],TableVerdeelsleutelVkm[Voertuigtype],"Lichte voertuigen")*SUMIFS(TableECFTransport[EnergieConsumptieFactor (PJ per km)],TableECFTransport[Index],CONCATENATE($A8,"_LPG_LPG"))</f>
        <v>0</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0</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0</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0</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0</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3.7951125819012867E-2</v>
      </c>
      <c r="C14" s="21"/>
      <c r="D14" s="21">
        <f t="shared" ref="D14:M14" si="0">((D5)*10^9/3600)+D12</f>
        <v>0.11617176862651543</v>
      </c>
      <c r="E14" s="21">
        <f t="shared" si="0"/>
        <v>12.065421272647518</v>
      </c>
      <c r="F14" s="21"/>
      <c r="G14" s="21">
        <f t="shared" si="0"/>
        <v>2127.505349939926</v>
      </c>
      <c r="H14" s="21">
        <f t="shared" si="0"/>
        <v>404.50906251669119</v>
      </c>
      <c r="I14" s="21"/>
      <c r="J14" s="21"/>
      <c r="K14" s="21"/>
      <c r="L14" s="21"/>
      <c r="M14" s="21">
        <f t="shared" si="0"/>
        <v>110.26873594182106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0.21305236002101724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8.0855769211952526E-3</v>
      </c>
      <c r="C18" s="23"/>
      <c r="D18" s="23">
        <f t="shared" ref="D18:M18" si="1">D14*D16</f>
        <v>2.3466697262556117E-2</v>
      </c>
      <c r="E18" s="23">
        <f t="shared" si="1"/>
        <v>2.7388506288909866</v>
      </c>
      <c r="F18" s="23"/>
      <c r="G18" s="23">
        <f t="shared" si="1"/>
        <v>568.04392843396022</v>
      </c>
      <c r="H18" s="23">
        <f t="shared" si="1"/>
        <v>100.7227565666561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7.6684508907651004E-7</v>
      </c>
      <c r="C50" s="313">
        <f t="shared" ref="C50:P50" si="2">SUM(C51:C52)</f>
        <v>0</v>
      </c>
      <c r="D50" s="313">
        <f t="shared" si="2"/>
        <v>0</v>
      </c>
      <c r="E50" s="313">
        <f t="shared" si="2"/>
        <v>0</v>
      </c>
      <c r="F50" s="313">
        <f t="shared" si="2"/>
        <v>0</v>
      </c>
      <c r="G50" s="313">
        <f t="shared" si="2"/>
        <v>1.6635934305907484E-4</v>
      </c>
      <c r="H50" s="313">
        <f t="shared" si="2"/>
        <v>0</v>
      </c>
      <c r="I50" s="313">
        <f t="shared" si="2"/>
        <v>0</v>
      </c>
      <c r="J50" s="313">
        <f t="shared" si="2"/>
        <v>0</v>
      </c>
      <c r="K50" s="313">
        <f t="shared" si="2"/>
        <v>0</v>
      </c>
      <c r="L50" s="313">
        <f t="shared" si="2"/>
        <v>0</v>
      </c>
      <c r="M50" s="313">
        <f t="shared" si="2"/>
        <v>7.1228680421248051E-6</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7.6684508907651004E-7</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1.6635934305907484E-4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7.1228680421248051E-6</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0.21301252474347501</v>
      </c>
      <c r="C54" s="21">
        <f t="shared" ref="C54:P54" si="3">(C50)*10^9/3600</f>
        <v>0</v>
      </c>
      <c r="D54" s="21">
        <f t="shared" si="3"/>
        <v>0</v>
      </c>
      <c r="E54" s="21">
        <f t="shared" si="3"/>
        <v>0</v>
      </c>
      <c r="F54" s="21">
        <f t="shared" si="3"/>
        <v>0</v>
      </c>
      <c r="G54" s="21">
        <f t="shared" si="3"/>
        <v>46.210928627520786</v>
      </c>
      <c r="H54" s="21">
        <f t="shared" si="3"/>
        <v>0</v>
      </c>
      <c r="I54" s="21">
        <f t="shared" si="3"/>
        <v>0</v>
      </c>
      <c r="J54" s="21">
        <f t="shared" si="3"/>
        <v>0</v>
      </c>
      <c r="K54" s="21">
        <f t="shared" si="3"/>
        <v>0</v>
      </c>
      <c r="L54" s="21">
        <f t="shared" si="3"/>
        <v>0</v>
      </c>
      <c r="M54" s="21">
        <f t="shared" si="3"/>
        <v>1.9785744561457792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0.21305236002101724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4.538282111063268E-2</v>
      </c>
      <c r="C58" s="23">
        <f t="shared" ref="C58:P58" ca="1" si="4">C54*C56</f>
        <v>0</v>
      </c>
      <c r="D58" s="23">
        <f t="shared" si="4"/>
        <v>0</v>
      </c>
      <c r="E58" s="23">
        <f t="shared" si="4"/>
        <v>0</v>
      </c>
      <c r="F58" s="23">
        <f t="shared" si="4"/>
        <v>0</v>
      </c>
      <c r="G58" s="23">
        <f t="shared" si="4"/>
        <v>12.33831794354805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86.340430062616605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86.340430062616605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524.62249252886841</v>
      </c>
      <c r="D10" s="635">
        <f ca="1">tertiair!C16</f>
        <v>0</v>
      </c>
      <c r="E10" s="635">
        <f ca="1">tertiair!D16</f>
        <v>776.56474397977399</v>
      </c>
      <c r="F10" s="635">
        <f>tertiair!E16</f>
        <v>9.9242835403665737</v>
      </c>
      <c r="G10" s="635">
        <f ca="1">tertiair!F16</f>
        <v>95.685356198833759</v>
      </c>
      <c r="H10" s="635">
        <f>tertiair!G16</f>
        <v>0</v>
      </c>
      <c r="I10" s="635">
        <f>tertiair!H16</f>
        <v>0</v>
      </c>
      <c r="J10" s="635">
        <f>tertiair!I16</f>
        <v>0</v>
      </c>
      <c r="K10" s="635">
        <f>tertiair!J16</f>
        <v>0</v>
      </c>
      <c r="L10" s="635">
        <f>tertiair!K16</f>
        <v>0</v>
      </c>
      <c r="M10" s="635">
        <f ca="1">tertiair!L16</f>
        <v>0</v>
      </c>
      <c r="N10" s="635">
        <f>tertiair!M16</f>
        <v>0</v>
      </c>
      <c r="O10" s="635">
        <f ca="1">tertiair!N16</f>
        <v>20.931631833433364</v>
      </c>
      <c r="P10" s="635">
        <f>tertiair!O16</f>
        <v>0</v>
      </c>
      <c r="Q10" s="636">
        <f>tertiair!P16</f>
        <v>0</v>
      </c>
      <c r="R10" s="638">
        <f ca="1">SUM(C10:Q10)</f>
        <v>1427.728508081276</v>
      </c>
      <c r="S10" s="67"/>
    </row>
    <row r="11" spans="1:19" s="441" customFormat="1">
      <c r="A11" s="749" t="s">
        <v>214</v>
      </c>
      <c r="B11" s="754"/>
      <c r="C11" s="635">
        <f>huishoudens!B8</f>
        <v>1543.8805587845618</v>
      </c>
      <c r="D11" s="635">
        <f>huishoudens!C8</f>
        <v>0</v>
      </c>
      <c r="E11" s="635">
        <f>huishoudens!D8</f>
        <v>4817.4182096299573</v>
      </c>
      <c r="F11" s="635">
        <f>huishoudens!E8</f>
        <v>42.886403584544475</v>
      </c>
      <c r="G11" s="635">
        <f>huishoudens!F8</f>
        <v>1463.9014675951619</v>
      </c>
      <c r="H11" s="635">
        <f>huishoudens!G8</f>
        <v>0</v>
      </c>
      <c r="I11" s="635">
        <f>huishoudens!H8</f>
        <v>0</v>
      </c>
      <c r="J11" s="635">
        <f>huishoudens!I8</f>
        <v>0</v>
      </c>
      <c r="K11" s="635">
        <f>huishoudens!J8</f>
        <v>32.963349639615103</v>
      </c>
      <c r="L11" s="635">
        <f>huishoudens!K8</f>
        <v>0</v>
      </c>
      <c r="M11" s="635">
        <f>huishoudens!L8</f>
        <v>0</v>
      </c>
      <c r="N11" s="635">
        <f>huishoudens!M8</f>
        <v>0</v>
      </c>
      <c r="O11" s="635">
        <f>huishoudens!N8</f>
        <v>464.64707408817105</v>
      </c>
      <c r="P11" s="635">
        <f>huishoudens!O8</f>
        <v>0</v>
      </c>
      <c r="Q11" s="636">
        <f>huishoudens!P8</f>
        <v>0</v>
      </c>
      <c r="R11" s="638">
        <f>SUM(C11:Q11)</f>
        <v>8365.6970633220117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59.109288526201098</v>
      </c>
      <c r="D13" s="635">
        <f>industrie!C18</f>
        <v>0</v>
      </c>
      <c r="E13" s="635">
        <f>industrie!D18</f>
        <v>35.608970072041672</v>
      </c>
      <c r="F13" s="635">
        <f>industrie!E18</f>
        <v>0.60161318305813438</v>
      </c>
      <c r="G13" s="635">
        <f>industrie!F18</f>
        <v>16.91987183144915</v>
      </c>
      <c r="H13" s="635">
        <f>industrie!G18</f>
        <v>0</v>
      </c>
      <c r="I13" s="635">
        <f>industrie!H18</f>
        <v>0</v>
      </c>
      <c r="J13" s="635">
        <f>industrie!I18</f>
        <v>0</v>
      </c>
      <c r="K13" s="635">
        <f>industrie!J18</f>
        <v>0.33973448987335109</v>
      </c>
      <c r="L13" s="635">
        <f>industrie!K18</f>
        <v>0</v>
      </c>
      <c r="M13" s="635">
        <f>industrie!L18</f>
        <v>0</v>
      </c>
      <c r="N13" s="635">
        <f>industrie!M18</f>
        <v>0</v>
      </c>
      <c r="O13" s="635">
        <f>industrie!N18</f>
        <v>1.5559693846505911</v>
      </c>
      <c r="P13" s="635">
        <f>industrie!O18</f>
        <v>0</v>
      </c>
      <c r="Q13" s="636">
        <f>industrie!P18</f>
        <v>0</v>
      </c>
      <c r="R13" s="638">
        <f>SUM(C13:Q13)</f>
        <v>114.13544748727401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2127.6123398396312</v>
      </c>
      <c r="D16" s="668">
        <f t="shared" ref="D16:R16" ca="1" si="0">SUM(D9:D15)</f>
        <v>0</v>
      </c>
      <c r="E16" s="668">
        <f t="shared" ca="1" si="0"/>
        <v>5629.5919236817726</v>
      </c>
      <c r="F16" s="668">
        <f t="shared" si="0"/>
        <v>53.412300307969183</v>
      </c>
      <c r="G16" s="668">
        <f t="shared" ca="1" si="0"/>
        <v>1576.5066956254448</v>
      </c>
      <c r="H16" s="668">
        <f t="shared" si="0"/>
        <v>0</v>
      </c>
      <c r="I16" s="668">
        <f t="shared" si="0"/>
        <v>0</v>
      </c>
      <c r="J16" s="668">
        <f t="shared" si="0"/>
        <v>0</v>
      </c>
      <c r="K16" s="668">
        <f t="shared" si="0"/>
        <v>33.303084129488454</v>
      </c>
      <c r="L16" s="668">
        <f t="shared" si="0"/>
        <v>0</v>
      </c>
      <c r="M16" s="668">
        <f t="shared" ca="1" si="0"/>
        <v>0</v>
      </c>
      <c r="N16" s="668">
        <f t="shared" si="0"/>
        <v>0</v>
      </c>
      <c r="O16" s="668">
        <f t="shared" ca="1" si="0"/>
        <v>487.13467530625502</v>
      </c>
      <c r="P16" s="668">
        <f t="shared" si="0"/>
        <v>0</v>
      </c>
      <c r="Q16" s="668">
        <f t="shared" si="0"/>
        <v>0</v>
      </c>
      <c r="R16" s="668">
        <f t="shared" ca="1" si="0"/>
        <v>9907.5610188905612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0.21301252474347501</v>
      </c>
      <c r="D19" s="635">
        <f>transport!C54</f>
        <v>0</v>
      </c>
      <c r="E19" s="635">
        <f>transport!D54</f>
        <v>0</v>
      </c>
      <c r="F19" s="635">
        <f>transport!E54</f>
        <v>0</v>
      </c>
      <c r="G19" s="635">
        <f>transport!F54</f>
        <v>0</v>
      </c>
      <c r="H19" s="635">
        <f>transport!G54</f>
        <v>46.210928627520786</v>
      </c>
      <c r="I19" s="635">
        <f>transport!H54</f>
        <v>0</v>
      </c>
      <c r="J19" s="635">
        <f>transport!I54</f>
        <v>0</v>
      </c>
      <c r="K19" s="635">
        <f>transport!J54</f>
        <v>0</v>
      </c>
      <c r="L19" s="635">
        <f>transport!K54</f>
        <v>0</v>
      </c>
      <c r="M19" s="635">
        <f>transport!L54</f>
        <v>0</v>
      </c>
      <c r="N19" s="635">
        <f>transport!M54</f>
        <v>1.9785744561457792</v>
      </c>
      <c r="O19" s="635">
        <f>transport!N54</f>
        <v>0</v>
      </c>
      <c r="P19" s="635">
        <f>transport!O54</f>
        <v>0</v>
      </c>
      <c r="Q19" s="636">
        <f>transport!P54</f>
        <v>0</v>
      </c>
      <c r="R19" s="638">
        <f>SUM(C19:Q19)</f>
        <v>48.402515608410042</v>
      </c>
      <c r="S19" s="67"/>
    </row>
    <row r="20" spans="1:19" s="441" customFormat="1">
      <c r="A20" s="749" t="s">
        <v>296</v>
      </c>
      <c r="B20" s="754"/>
      <c r="C20" s="635">
        <f>transport!B14</f>
        <v>3.7951125819012867E-2</v>
      </c>
      <c r="D20" s="635">
        <f>transport!C14</f>
        <v>0</v>
      </c>
      <c r="E20" s="635">
        <f>transport!D14</f>
        <v>0.11617176862651543</v>
      </c>
      <c r="F20" s="635">
        <f>transport!E14</f>
        <v>12.065421272647518</v>
      </c>
      <c r="G20" s="635">
        <f>transport!F14</f>
        <v>0</v>
      </c>
      <c r="H20" s="635">
        <f>transport!G14</f>
        <v>2127.505349939926</v>
      </c>
      <c r="I20" s="635">
        <f>transport!H14</f>
        <v>404.50906251669119</v>
      </c>
      <c r="J20" s="635">
        <f>transport!I14</f>
        <v>0</v>
      </c>
      <c r="K20" s="635">
        <f>transport!J14</f>
        <v>0</v>
      </c>
      <c r="L20" s="635">
        <f>transport!K14</f>
        <v>0</v>
      </c>
      <c r="M20" s="635">
        <f>transport!L14</f>
        <v>0</v>
      </c>
      <c r="N20" s="635">
        <f>transport!M14</f>
        <v>110.26873594182106</v>
      </c>
      <c r="O20" s="635">
        <f>transport!N14</f>
        <v>0</v>
      </c>
      <c r="P20" s="635">
        <f>transport!O14</f>
        <v>0</v>
      </c>
      <c r="Q20" s="636">
        <f>transport!P14</f>
        <v>0</v>
      </c>
      <c r="R20" s="638">
        <f>SUM(C20:Q20)</f>
        <v>2654.5026925655311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0.25096365056248787</v>
      </c>
      <c r="D22" s="752">
        <f t="shared" ref="D22:R22" si="1">SUM(D18:D21)</f>
        <v>0</v>
      </c>
      <c r="E22" s="752">
        <f t="shared" si="1"/>
        <v>0.11617176862651543</v>
      </c>
      <c r="F22" s="752">
        <f t="shared" si="1"/>
        <v>12.065421272647518</v>
      </c>
      <c r="G22" s="752">
        <f t="shared" si="1"/>
        <v>0</v>
      </c>
      <c r="H22" s="752">
        <f t="shared" si="1"/>
        <v>2173.7162785674468</v>
      </c>
      <c r="I22" s="752">
        <f t="shared" si="1"/>
        <v>404.50906251669119</v>
      </c>
      <c r="J22" s="752">
        <f t="shared" si="1"/>
        <v>0</v>
      </c>
      <c r="K22" s="752">
        <f t="shared" si="1"/>
        <v>0</v>
      </c>
      <c r="L22" s="752">
        <f t="shared" si="1"/>
        <v>0</v>
      </c>
      <c r="M22" s="752">
        <f t="shared" si="1"/>
        <v>0</v>
      </c>
      <c r="N22" s="752">
        <f t="shared" si="1"/>
        <v>112.24731039796684</v>
      </c>
      <c r="O22" s="752">
        <f t="shared" si="1"/>
        <v>0</v>
      </c>
      <c r="P22" s="752">
        <f t="shared" si="1"/>
        <v>0</v>
      </c>
      <c r="Q22" s="752">
        <f t="shared" si="1"/>
        <v>0</v>
      </c>
      <c r="R22" s="752">
        <f t="shared" si="1"/>
        <v>2702.905208173941</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158.541894624691</v>
      </c>
      <c r="D24" s="635">
        <f>+landbouw!C8</f>
        <v>0</v>
      </c>
      <c r="E24" s="635">
        <f>+landbouw!D8</f>
        <v>30.18065797951272</v>
      </c>
      <c r="F24" s="635">
        <f>+landbouw!E8</f>
        <v>1.428663642501856</v>
      </c>
      <c r="G24" s="635">
        <f>+landbouw!F8</f>
        <v>594.06131452638601</v>
      </c>
      <c r="H24" s="635">
        <f>+landbouw!G8</f>
        <v>0</v>
      </c>
      <c r="I24" s="635">
        <f>+landbouw!H8</f>
        <v>0</v>
      </c>
      <c r="J24" s="635">
        <f>+landbouw!I8</f>
        <v>0</v>
      </c>
      <c r="K24" s="635">
        <f>+landbouw!J8</f>
        <v>16.043784025052155</v>
      </c>
      <c r="L24" s="635">
        <f>+landbouw!K8</f>
        <v>0</v>
      </c>
      <c r="M24" s="635">
        <f>+landbouw!L8</f>
        <v>0</v>
      </c>
      <c r="N24" s="635">
        <f>+landbouw!M8</f>
        <v>0</v>
      </c>
      <c r="O24" s="635">
        <f>+landbouw!N8</f>
        <v>0</v>
      </c>
      <c r="P24" s="635">
        <f>+landbouw!O8</f>
        <v>0</v>
      </c>
      <c r="Q24" s="636">
        <f>+landbouw!P8</f>
        <v>0</v>
      </c>
      <c r="R24" s="638">
        <f>SUM(C24:Q24)</f>
        <v>800.25631479814365</v>
      </c>
      <c r="S24" s="67"/>
    </row>
    <row r="25" spans="1:19" s="441" customFormat="1" ht="15" thickBot="1">
      <c r="A25" s="771" t="s">
        <v>864</v>
      </c>
      <c r="B25" s="923"/>
      <c r="C25" s="924">
        <f>IF(Onbekend_ele_kWh="---",0,Onbekend_ele_kWh)/1000+IF(REST_rest_ele_kWh="---",0,REST_rest_ele_kWh)/1000</f>
        <v>114.462870179332</v>
      </c>
      <c r="D25" s="924"/>
      <c r="E25" s="924">
        <f>IF(onbekend_gas_kWh="---",0,onbekend_gas_kWh)/1000+IF(REST_rest_gas_kWh="---",0,REST_rest_gas_kWh)/1000</f>
        <v>251.73808896804999</v>
      </c>
      <c r="F25" s="924"/>
      <c r="G25" s="924"/>
      <c r="H25" s="924"/>
      <c r="I25" s="924"/>
      <c r="J25" s="924"/>
      <c r="K25" s="924"/>
      <c r="L25" s="924"/>
      <c r="M25" s="924"/>
      <c r="N25" s="924"/>
      <c r="O25" s="924"/>
      <c r="P25" s="924"/>
      <c r="Q25" s="925"/>
      <c r="R25" s="638">
        <f>SUM(C25:Q25)</f>
        <v>366.20095914738198</v>
      </c>
      <c r="S25" s="67"/>
    </row>
    <row r="26" spans="1:19" s="441" customFormat="1" ht="15.75" thickBot="1">
      <c r="A26" s="641" t="s">
        <v>865</v>
      </c>
      <c r="B26" s="757"/>
      <c r="C26" s="752">
        <f>SUM(C24:C25)</f>
        <v>273.00476480402301</v>
      </c>
      <c r="D26" s="752">
        <f t="shared" ref="D26:R26" si="2">SUM(D24:D25)</f>
        <v>0</v>
      </c>
      <c r="E26" s="752">
        <f t="shared" si="2"/>
        <v>281.91874694756274</v>
      </c>
      <c r="F26" s="752">
        <f t="shared" si="2"/>
        <v>1.428663642501856</v>
      </c>
      <c r="G26" s="752">
        <f t="shared" si="2"/>
        <v>594.06131452638601</v>
      </c>
      <c r="H26" s="752">
        <f t="shared" si="2"/>
        <v>0</v>
      </c>
      <c r="I26" s="752">
        <f t="shared" si="2"/>
        <v>0</v>
      </c>
      <c r="J26" s="752">
        <f t="shared" si="2"/>
        <v>0</v>
      </c>
      <c r="K26" s="752">
        <f t="shared" si="2"/>
        <v>16.043784025052155</v>
      </c>
      <c r="L26" s="752">
        <f t="shared" si="2"/>
        <v>0</v>
      </c>
      <c r="M26" s="752">
        <f t="shared" si="2"/>
        <v>0</v>
      </c>
      <c r="N26" s="752">
        <f t="shared" si="2"/>
        <v>0</v>
      </c>
      <c r="O26" s="752">
        <f t="shared" si="2"/>
        <v>0</v>
      </c>
      <c r="P26" s="752">
        <f t="shared" si="2"/>
        <v>0</v>
      </c>
      <c r="Q26" s="752">
        <f t="shared" si="2"/>
        <v>0</v>
      </c>
      <c r="R26" s="752">
        <f t="shared" si="2"/>
        <v>1166.4572739455257</v>
      </c>
      <c r="S26" s="67"/>
    </row>
    <row r="27" spans="1:19" s="441" customFormat="1" ht="17.25" thickTop="1" thickBot="1">
      <c r="A27" s="642" t="s">
        <v>109</v>
      </c>
      <c r="B27" s="744"/>
      <c r="C27" s="643">
        <f ca="1">C22+C16+C26</f>
        <v>2400.8680682942168</v>
      </c>
      <c r="D27" s="643">
        <f t="shared" ref="D27:R27" ca="1" si="3">D22+D16+D26</f>
        <v>0</v>
      </c>
      <c r="E27" s="643">
        <f t="shared" ca="1" si="3"/>
        <v>5911.6268423979618</v>
      </c>
      <c r="F27" s="643">
        <f t="shared" si="3"/>
        <v>66.906385223118562</v>
      </c>
      <c r="G27" s="643">
        <f t="shared" ca="1" si="3"/>
        <v>2170.568010151831</v>
      </c>
      <c r="H27" s="643">
        <f t="shared" si="3"/>
        <v>2173.7162785674468</v>
      </c>
      <c r="I27" s="643">
        <f t="shared" si="3"/>
        <v>404.50906251669119</v>
      </c>
      <c r="J27" s="643">
        <f t="shared" si="3"/>
        <v>0</v>
      </c>
      <c r="K27" s="643">
        <f t="shared" si="3"/>
        <v>49.346868154540608</v>
      </c>
      <c r="L27" s="643">
        <f t="shared" si="3"/>
        <v>0</v>
      </c>
      <c r="M27" s="643">
        <f t="shared" ca="1" si="3"/>
        <v>0</v>
      </c>
      <c r="N27" s="643">
        <f t="shared" si="3"/>
        <v>112.24731039796684</v>
      </c>
      <c r="O27" s="643">
        <f t="shared" ca="1" si="3"/>
        <v>487.13467530625502</v>
      </c>
      <c r="P27" s="643">
        <f t="shared" si="3"/>
        <v>0</v>
      </c>
      <c r="Q27" s="643">
        <f t="shared" si="3"/>
        <v>0</v>
      </c>
      <c r="R27" s="643">
        <f t="shared" ca="1" si="3"/>
        <v>13776.923501010027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111.7720601533839</v>
      </c>
      <c r="D40" s="635">
        <f ca="1">tertiair!C20</f>
        <v>0</v>
      </c>
      <c r="E40" s="635">
        <f ca="1">tertiair!D20</f>
        <v>156.86607828391436</v>
      </c>
      <c r="F40" s="635">
        <f>tertiair!E20</f>
        <v>2.2528123636632125</v>
      </c>
      <c r="G40" s="635">
        <f ca="1">tertiair!F20</f>
        <v>25.547990105088616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296.43894090605011</v>
      </c>
    </row>
    <row r="41" spans="1:18">
      <c r="A41" s="762" t="s">
        <v>214</v>
      </c>
      <c r="B41" s="769"/>
      <c r="C41" s="635">
        <f ca="1">huishoudens!B12</f>
        <v>328.92739663961771</v>
      </c>
      <c r="D41" s="635">
        <f ca="1">huishoudens!C12</f>
        <v>0</v>
      </c>
      <c r="E41" s="635">
        <f>huishoudens!D12</f>
        <v>973.11847834525145</v>
      </c>
      <c r="F41" s="635">
        <f>huishoudens!E12</f>
        <v>9.7352136136915952</v>
      </c>
      <c r="G41" s="635">
        <f>huishoudens!F12</f>
        <v>390.86169184790822</v>
      </c>
      <c r="H41" s="635">
        <f>huishoudens!G12</f>
        <v>0</v>
      </c>
      <c r="I41" s="635">
        <f>huishoudens!H12</f>
        <v>0</v>
      </c>
      <c r="J41" s="635">
        <f>huishoudens!I12</f>
        <v>0</v>
      </c>
      <c r="K41" s="635">
        <f>huishoudens!J12</f>
        <v>11.669025772423746</v>
      </c>
      <c r="L41" s="635">
        <f>huishoudens!K12</f>
        <v>0</v>
      </c>
      <c r="M41" s="635">
        <f>huishoudens!L12</f>
        <v>0</v>
      </c>
      <c r="N41" s="635">
        <f>huishoudens!M12</f>
        <v>0</v>
      </c>
      <c r="O41" s="635">
        <f>huishoudens!N12</f>
        <v>0</v>
      </c>
      <c r="P41" s="635">
        <f>huishoudens!O12</f>
        <v>0</v>
      </c>
      <c r="Q41" s="710">
        <f>huishoudens!P12</f>
        <v>0</v>
      </c>
      <c r="R41" s="790">
        <f t="shared" ca="1" si="4"/>
        <v>1714.3118062188926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12.59337341967038</v>
      </c>
      <c r="D43" s="635">
        <f ca="1">industrie!C22</f>
        <v>0</v>
      </c>
      <c r="E43" s="635">
        <f>industrie!D22</f>
        <v>7.1930119545524178</v>
      </c>
      <c r="F43" s="635">
        <f>industrie!E22</f>
        <v>0.1365661925541965</v>
      </c>
      <c r="G43" s="635">
        <f>industrie!F22</f>
        <v>4.5176057789969235</v>
      </c>
      <c r="H43" s="635">
        <f>industrie!G22</f>
        <v>0</v>
      </c>
      <c r="I43" s="635">
        <f>industrie!H22</f>
        <v>0</v>
      </c>
      <c r="J43" s="635">
        <f>industrie!I22</f>
        <v>0</v>
      </c>
      <c r="K43" s="635">
        <f>industrie!J22</f>
        <v>0.12026600941516628</v>
      </c>
      <c r="L43" s="635">
        <f>industrie!K22</f>
        <v>0</v>
      </c>
      <c r="M43" s="635">
        <f>industrie!L22</f>
        <v>0</v>
      </c>
      <c r="N43" s="635">
        <f>industrie!M22</f>
        <v>0</v>
      </c>
      <c r="O43" s="635">
        <f>industrie!N22</f>
        <v>0</v>
      </c>
      <c r="P43" s="635">
        <f>industrie!O22</f>
        <v>0</v>
      </c>
      <c r="Q43" s="710">
        <f>industrie!P22</f>
        <v>0</v>
      </c>
      <c r="R43" s="789">
        <f t="shared" ca="1" si="4"/>
        <v>24.560823355189079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453.29283021267202</v>
      </c>
      <c r="D46" s="668">
        <f t="shared" ref="D46:Q46" ca="1" si="5">SUM(D39:D45)</f>
        <v>0</v>
      </c>
      <c r="E46" s="668">
        <f t="shared" ca="1" si="5"/>
        <v>1137.1775685837183</v>
      </c>
      <c r="F46" s="668">
        <f t="shared" si="5"/>
        <v>12.124592169909004</v>
      </c>
      <c r="G46" s="668">
        <f t="shared" ca="1" si="5"/>
        <v>420.92728773199377</v>
      </c>
      <c r="H46" s="668">
        <f t="shared" si="5"/>
        <v>0</v>
      </c>
      <c r="I46" s="668">
        <f t="shared" si="5"/>
        <v>0</v>
      </c>
      <c r="J46" s="668">
        <f t="shared" si="5"/>
        <v>0</v>
      </c>
      <c r="K46" s="668">
        <f t="shared" si="5"/>
        <v>11.789291781838912</v>
      </c>
      <c r="L46" s="668">
        <f t="shared" si="5"/>
        <v>0</v>
      </c>
      <c r="M46" s="668">
        <f t="shared" ca="1" si="5"/>
        <v>0</v>
      </c>
      <c r="N46" s="668">
        <f t="shared" si="5"/>
        <v>0</v>
      </c>
      <c r="O46" s="668">
        <f t="shared" ca="1" si="5"/>
        <v>0</v>
      </c>
      <c r="P46" s="668">
        <f t="shared" si="5"/>
        <v>0</v>
      </c>
      <c r="Q46" s="668">
        <f t="shared" si="5"/>
        <v>0</v>
      </c>
      <c r="R46" s="668">
        <f ca="1">SUM(R39:R45)</f>
        <v>2035.3115704801319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4.538282111063268E-2</v>
      </c>
      <c r="D49" s="635">
        <f ca="1">transport!C58</f>
        <v>0</v>
      </c>
      <c r="E49" s="635">
        <f>transport!D58</f>
        <v>0</v>
      </c>
      <c r="F49" s="635">
        <f>transport!E58</f>
        <v>0</v>
      </c>
      <c r="G49" s="635">
        <f>transport!F58</f>
        <v>0</v>
      </c>
      <c r="H49" s="635">
        <f>transport!G58</f>
        <v>12.33831794354805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12.383700764658682</v>
      </c>
    </row>
    <row r="50" spans="1:18">
      <c r="A50" s="765" t="s">
        <v>296</v>
      </c>
      <c r="B50" s="775"/>
      <c r="C50" s="930">
        <f ca="1">transport!B18</f>
        <v>8.0855769211952526E-3</v>
      </c>
      <c r="D50" s="930">
        <f>transport!C18</f>
        <v>0</v>
      </c>
      <c r="E50" s="930">
        <f>transport!D18</f>
        <v>2.3466697262556117E-2</v>
      </c>
      <c r="F50" s="930">
        <f>transport!E18</f>
        <v>2.7388506288909866</v>
      </c>
      <c r="G50" s="930">
        <f>transport!F18</f>
        <v>0</v>
      </c>
      <c r="H50" s="930">
        <f>transport!G18</f>
        <v>568.04392843396022</v>
      </c>
      <c r="I50" s="930">
        <f>transport!H18</f>
        <v>100.7227565666561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671.53708790369103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5.3468398031827929E-2</v>
      </c>
      <c r="D52" s="668">
        <f t="shared" ref="D52:Q52" ca="1" si="6">SUM(D48:D51)</f>
        <v>0</v>
      </c>
      <c r="E52" s="668">
        <f t="shared" si="6"/>
        <v>2.3466697262556117E-2</v>
      </c>
      <c r="F52" s="668">
        <f t="shared" si="6"/>
        <v>2.7388506288909866</v>
      </c>
      <c r="G52" s="668">
        <f t="shared" si="6"/>
        <v>0</v>
      </c>
      <c r="H52" s="668">
        <f t="shared" si="6"/>
        <v>580.3822463775083</v>
      </c>
      <c r="I52" s="668">
        <f t="shared" si="6"/>
        <v>100.7227565666561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683.9207886683497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33.777724811993842</v>
      </c>
      <c r="D54" s="930">
        <f ca="1">+landbouw!C12</f>
        <v>0</v>
      </c>
      <c r="E54" s="930">
        <f>+landbouw!D12</f>
        <v>6.0964929118615698</v>
      </c>
      <c r="F54" s="930">
        <f>+landbouw!E12</f>
        <v>0.32430664684792132</v>
      </c>
      <c r="G54" s="930">
        <f>+landbouw!F12</f>
        <v>158.61437097854508</v>
      </c>
      <c r="H54" s="930">
        <f>+landbouw!G12</f>
        <v>0</v>
      </c>
      <c r="I54" s="930">
        <f>+landbouw!H12</f>
        <v>0</v>
      </c>
      <c r="J54" s="930">
        <f>+landbouw!I12</f>
        <v>0</v>
      </c>
      <c r="K54" s="930">
        <f>+landbouw!J12</f>
        <v>5.6794995448684622</v>
      </c>
      <c r="L54" s="930">
        <f>+landbouw!K12</f>
        <v>0</v>
      </c>
      <c r="M54" s="930">
        <f>+landbouw!L12</f>
        <v>0</v>
      </c>
      <c r="N54" s="930">
        <f>+landbouw!M12</f>
        <v>0</v>
      </c>
      <c r="O54" s="930">
        <f>+landbouw!N12</f>
        <v>0</v>
      </c>
      <c r="P54" s="930">
        <f>+landbouw!O12</f>
        <v>0</v>
      </c>
      <c r="Q54" s="931">
        <f>+landbouw!P12</f>
        <v>0</v>
      </c>
      <c r="R54" s="667">
        <f ca="1">SUM(C54:Q54)</f>
        <v>204.49239489411687</v>
      </c>
    </row>
    <row r="55" spans="1:18" ht="15" thickBot="1">
      <c r="A55" s="765" t="s">
        <v>864</v>
      </c>
      <c r="B55" s="775"/>
      <c r="C55" s="930">
        <f ca="1">C25*'EF ele_warmte'!B12</f>
        <v>24.386584626485998</v>
      </c>
      <c r="D55" s="930"/>
      <c r="E55" s="930">
        <f>E25*EF_CO2_aardgas</f>
        <v>50.851093971546099</v>
      </c>
      <c r="F55" s="930"/>
      <c r="G55" s="930"/>
      <c r="H55" s="930"/>
      <c r="I55" s="930"/>
      <c r="J55" s="930"/>
      <c r="K55" s="930"/>
      <c r="L55" s="930"/>
      <c r="M55" s="930"/>
      <c r="N55" s="930"/>
      <c r="O55" s="930"/>
      <c r="P55" s="930"/>
      <c r="Q55" s="931"/>
      <c r="R55" s="667">
        <f ca="1">SUM(C55:Q55)</f>
        <v>75.23767859803209</v>
      </c>
    </row>
    <row r="56" spans="1:18" ht="15.75" thickBot="1">
      <c r="A56" s="763" t="s">
        <v>865</v>
      </c>
      <c r="B56" s="776"/>
      <c r="C56" s="668">
        <f ca="1">SUM(C54:C55)</f>
        <v>58.16430943847984</v>
      </c>
      <c r="D56" s="668">
        <f t="shared" ref="D56:Q56" ca="1" si="7">SUM(D54:D55)</f>
        <v>0</v>
      </c>
      <c r="E56" s="668">
        <f t="shared" si="7"/>
        <v>56.947586883407666</v>
      </c>
      <c r="F56" s="668">
        <f t="shared" si="7"/>
        <v>0.32430664684792132</v>
      </c>
      <c r="G56" s="668">
        <f t="shared" si="7"/>
        <v>158.61437097854508</v>
      </c>
      <c r="H56" s="668">
        <f t="shared" si="7"/>
        <v>0</v>
      </c>
      <c r="I56" s="668">
        <f t="shared" si="7"/>
        <v>0</v>
      </c>
      <c r="J56" s="668">
        <f t="shared" si="7"/>
        <v>0</v>
      </c>
      <c r="K56" s="668">
        <f t="shared" si="7"/>
        <v>5.6794995448684622</v>
      </c>
      <c r="L56" s="668">
        <f t="shared" si="7"/>
        <v>0</v>
      </c>
      <c r="M56" s="668">
        <f t="shared" si="7"/>
        <v>0</v>
      </c>
      <c r="N56" s="668">
        <f t="shared" si="7"/>
        <v>0</v>
      </c>
      <c r="O56" s="668">
        <f t="shared" si="7"/>
        <v>0</v>
      </c>
      <c r="P56" s="668">
        <f t="shared" si="7"/>
        <v>0</v>
      </c>
      <c r="Q56" s="669">
        <f t="shared" si="7"/>
        <v>0</v>
      </c>
      <c r="R56" s="670">
        <f ca="1">SUM(R54:R55)</f>
        <v>279.73007349214896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511.5106080491837</v>
      </c>
      <c r="D61" s="676">
        <f t="shared" ref="D61:Q61" ca="1" si="8">D46+D52+D56</f>
        <v>0</v>
      </c>
      <c r="E61" s="676">
        <f t="shared" ca="1" si="8"/>
        <v>1194.1486221643886</v>
      </c>
      <c r="F61" s="676">
        <f t="shared" si="8"/>
        <v>15.187749445647912</v>
      </c>
      <c r="G61" s="676">
        <f t="shared" ca="1" si="8"/>
        <v>579.54165871053885</v>
      </c>
      <c r="H61" s="676">
        <f t="shared" si="8"/>
        <v>580.3822463775083</v>
      </c>
      <c r="I61" s="676">
        <f t="shared" si="8"/>
        <v>100.7227565666561</v>
      </c>
      <c r="J61" s="676">
        <f t="shared" si="8"/>
        <v>0</v>
      </c>
      <c r="K61" s="676">
        <f t="shared" si="8"/>
        <v>17.468791326707375</v>
      </c>
      <c r="L61" s="676">
        <f t="shared" si="8"/>
        <v>0</v>
      </c>
      <c r="M61" s="676">
        <f t="shared" ca="1" si="8"/>
        <v>0</v>
      </c>
      <c r="N61" s="676">
        <f t="shared" si="8"/>
        <v>0</v>
      </c>
      <c r="O61" s="676">
        <f t="shared" ca="1" si="8"/>
        <v>0</v>
      </c>
      <c r="P61" s="676">
        <f t="shared" si="8"/>
        <v>0</v>
      </c>
      <c r="Q61" s="676">
        <f t="shared" si="8"/>
        <v>0</v>
      </c>
      <c r="R61" s="676">
        <f ca="1">R46+R52+R56</f>
        <v>2998.9624326406306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0.21305236002101724</v>
      </c>
      <c r="D63" s="720">
        <f t="shared" ca="1" si="9"/>
        <v>0</v>
      </c>
      <c r="E63" s="932">
        <f t="shared" ca="1" si="9"/>
        <v>0.20200000000000004</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86.340430062616605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86.340430062616605</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1543.8805587845618</v>
      </c>
      <c r="C4" s="445">
        <f>huishoudens!C8</f>
        <v>0</v>
      </c>
      <c r="D4" s="445">
        <f>huishoudens!D8</f>
        <v>4817.4182096299573</v>
      </c>
      <c r="E4" s="445">
        <f>huishoudens!E8</f>
        <v>42.886403584544475</v>
      </c>
      <c r="F4" s="445">
        <f>huishoudens!F8</f>
        <v>1463.9014675951619</v>
      </c>
      <c r="G4" s="445">
        <f>huishoudens!G8</f>
        <v>0</v>
      </c>
      <c r="H4" s="445">
        <f>huishoudens!H8</f>
        <v>0</v>
      </c>
      <c r="I4" s="445">
        <f>huishoudens!I8</f>
        <v>0</v>
      </c>
      <c r="J4" s="445">
        <f>huishoudens!J8</f>
        <v>32.963349639615103</v>
      </c>
      <c r="K4" s="445">
        <f>huishoudens!K8</f>
        <v>0</v>
      </c>
      <c r="L4" s="445">
        <f>huishoudens!L8</f>
        <v>0</v>
      </c>
      <c r="M4" s="445">
        <f>huishoudens!M8</f>
        <v>0</v>
      </c>
      <c r="N4" s="445">
        <f>huishoudens!N8</f>
        <v>464.64707408817105</v>
      </c>
      <c r="O4" s="445">
        <f>huishoudens!O8</f>
        <v>0</v>
      </c>
      <c r="P4" s="446">
        <f>huishoudens!P8</f>
        <v>0</v>
      </c>
      <c r="Q4" s="447">
        <f>SUM(B4:P4)</f>
        <v>8365.6970633220117</v>
      </c>
    </row>
    <row r="5" spans="1:17">
      <c r="A5" s="444" t="s">
        <v>149</v>
      </c>
      <c r="B5" s="445">
        <f ca="1">tertiair!B16</f>
        <v>476.00149252886837</v>
      </c>
      <c r="C5" s="445">
        <f ca="1">tertiair!C16</f>
        <v>0</v>
      </c>
      <c r="D5" s="445">
        <f ca="1">tertiair!D16</f>
        <v>776.56474397977399</v>
      </c>
      <c r="E5" s="445">
        <f>tertiair!E16</f>
        <v>9.9242835403665737</v>
      </c>
      <c r="F5" s="445">
        <f ca="1">tertiair!F16</f>
        <v>95.685356198833759</v>
      </c>
      <c r="G5" s="445">
        <f>tertiair!G16</f>
        <v>0</v>
      </c>
      <c r="H5" s="445">
        <f>tertiair!H16</f>
        <v>0</v>
      </c>
      <c r="I5" s="445">
        <f>tertiair!I16</f>
        <v>0</v>
      </c>
      <c r="J5" s="445">
        <f>tertiair!J16</f>
        <v>0</v>
      </c>
      <c r="K5" s="445">
        <f>tertiair!K16</f>
        <v>0</v>
      </c>
      <c r="L5" s="445">
        <f ca="1">tertiair!L16</f>
        <v>0</v>
      </c>
      <c r="M5" s="445">
        <f>tertiair!M16</f>
        <v>0</v>
      </c>
      <c r="N5" s="445">
        <f ca="1">tertiair!N16</f>
        <v>20.931631833433364</v>
      </c>
      <c r="O5" s="445">
        <f>tertiair!O16</f>
        <v>0</v>
      </c>
      <c r="P5" s="446">
        <f>tertiair!P16</f>
        <v>0</v>
      </c>
      <c r="Q5" s="444">
        <f t="shared" ref="Q5:Q14" ca="1" si="0">SUM(B5:P5)</f>
        <v>1379.1075080812759</v>
      </c>
    </row>
    <row r="6" spans="1:17">
      <c r="A6" s="444" t="s">
        <v>187</v>
      </c>
      <c r="B6" s="445">
        <f>'openbare verlichting'!B8</f>
        <v>48.621000000000002</v>
      </c>
      <c r="C6" s="445"/>
      <c r="D6" s="445"/>
      <c r="E6" s="445"/>
      <c r="F6" s="445"/>
      <c r="G6" s="445"/>
      <c r="H6" s="445"/>
      <c r="I6" s="445"/>
      <c r="J6" s="445"/>
      <c r="K6" s="445"/>
      <c r="L6" s="445"/>
      <c r="M6" s="445"/>
      <c r="N6" s="445"/>
      <c r="O6" s="445"/>
      <c r="P6" s="446"/>
      <c r="Q6" s="444">
        <f t="shared" si="0"/>
        <v>48.621000000000002</v>
      </c>
    </row>
    <row r="7" spans="1:17">
      <c r="A7" s="444" t="s">
        <v>105</v>
      </c>
      <c r="B7" s="445">
        <f>landbouw!B8</f>
        <v>158.541894624691</v>
      </c>
      <c r="C7" s="445">
        <f>landbouw!C8</f>
        <v>0</v>
      </c>
      <c r="D7" s="445">
        <f>landbouw!D8</f>
        <v>30.18065797951272</v>
      </c>
      <c r="E7" s="445">
        <f>landbouw!E8</f>
        <v>1.428663642501856</v>
      </c>
      <c r="F7" s="445">
        <f>landbouw!F8</f>
        <v>594.06131452638601</v>
      </c>
      <c r="G7" s="445">
        <f>landbouw!G8</f>
        <v>0</v>
      </c>
      <c r="H7" s="445">
        <f>landbouw!H8</f>
        <v>0</v>
      </c>
      <c r="I7" s="445">
        <f>landbouw!I8</f>
        <v>0</v>
      </c>
      <c r="J7" s="445">
        <f>landbouw!J8</f>
        <v>16.043784025052155</v>
      </c>
      <c r="K7" s="445">
        <f>landbouw!K8</f>
        <v>0</v>
      </c>
      <c r="L7" s="445">
        <f>landbouw!L8</f>
        <v>0</v>
      </c>
      <c r="M7" s="445">
        <f>landbouw!M8</f>
        <v>0</v>
      </c>
      <c r="N7" s="445">
        <f>landbouw!N8</f>
        <v>0</v>
      </c>
      <c r="O7" s="445">
        <f>landbouw!O8</f>
        <v>0</v>
      </c>
      <c r="P7" s="446">
        <f>landbouw!P8</f>
        <v>0</v>
      </c>
      <c r="Q7" s="444">
        <f t="shared" si="0"/>
        <v>800.25631479814365</v>
      </c>
    </row>
    <row r="8" spans="1:17">
      <c r="A8" s="444" t="s">
        <v>613</v>
      </c>
      <c r="B8" s="445">
        <f>industrie!B18</f>
        <v>59.109288526201098</v>
      </c>
      <c r="C8" s="445">
        <f>industrie!C18</f>
        <v>0</v>
      </c>
      <c r="D8" s="445">
        <f>industrie!D18</f>
        <v>35.608970072041672</v>
      </c>
      <c r="E8" s="445">
        <f>industrie!E18</f>
        <v>0.60161318305813438</v>
      </c>
      <c r="F8" s="445">
        <f>industrie!F18</f>
        <v>16.91987183144915</v>
      </c>
      <c r="G8" s="445">
        <f>industrie!G18</f>
        <v>0</v>
      </c>
      <c r="H8" s="445">
        <f>industrie!H18</f>
        <v>0</v>
      </c>
      <c r="I8" s="445">
        <f>industrie!I18</f>
        <v>0</v>
      </c>
      <c r="J8" s="445">
        <f>industrie!J18</f>
        <v>0.33973448987335109</v>
      </c>
      <c r="K8" s="445">
        <f>industrie!K18</f>
        <v>0</v>
      </c>
      <c r="L8" s="445">
        <f>industrie!L18</f>
        <v>0</v>
      </c>
      <c r="M8" s="445">
        <f>industrie!M18</f>
        <v>0</v>
      </c>
      <c r="N8" s="445">
        <f>industrie!N18</f>
        <v>1.5559693846505911</v>
      </c>
      <c r="O8" s="445">
        <f>industrie!O18</f>
        <v>0</v>
      </c>
      <c r="P8" s="446">
        <f>industrie!P18</f>
        <v>0</v>
      </c>
      <c r="Q8" s="444">
        <f t="shared" si="0"/>
        <v>114.13544748727401</v>
      </c>
    </row>
    <row r="9" spans="1:17" s="450" customFormat="1">
      <c r="A9" s="448" t="s">
        <v>555</v>
      </c>
      <c r="B9" s="449">
        <f>transport!B14</f>
        <v>3.7951125819012867E-2</v>
      </c>
      <c r="C9" s="449">
        <f>transport!C14</f>
        <v>0</v>
      </c>
      <c r="D9" s="449">
        <f>transport!D14</f>
        <v>0.11617176862651543</v>
      </c>
      <c r="E9" s="449">
        <f>transport!E14</f>
        <v>12.065421272647518</v>
      </c>
      <c r="F9" s="449">
        <f>transport!F14</f>
        <v>0</v>
      </c>
      <c r="G9" s="449">
        <f>transport!G14</f>
        <v>2127.505349939926</v>
      </c>
      <c r="H9" s="449">
        <f>transport!H14</f>
        <v>404.50906251669119</v>
      </c>
      <c r="I9" s="449">
        <f>transport!I14</f>
        <v>0</v>
      </c>
      <c r="J9" s="449">
        <f>transport!J14</f>
        <v>0</v>
      </c>
      <c r="K9" s="449">
        <f>transport!K14</f>
        <v>0</v>
      </c>
      <c r="L9" s="449">
        <f>transport!L14</f>
        <v>0</v>
      </c>
      <c r="M9" s="449">
        <f>transport!M14</f>
        <v>110.26873594182106</v>
      </c>
      <c r="N9" s="449">
        <f>transport!N14</f>
        <v>0</v>
      </c>
      <c r="O9" s="449">
        <f>transport!O14</f>
        <v>0</v>
      </c>
      <c r="P9" s="449">
        <f>transport!P14</f>
        <v>0</v>
      </c>
      <c r="Q9" s="448">
        <f>SUM(B9:P9)</f>
        <v>2654.5026925655311</v>
      </c>
    </row>
    <row r="10" spans="1:17">
      <c r="A10" s="444" t="s">
        <v>545</v>
      </c>
      <c r="B10" s="445">
        <f>transport!B54</f>
        <v>0.21301252474347501</v>
      </c>
      <c r="C10" s="445">
        <f>transport!C54</f>
        <v>0</v>
      </c>
      <c r="D10" s="445">
        <f>transport!D54</f>
        <v>0</v>
      </c>
      <c r="E10" s="445">
        <f>transport!E54</f>
        <v>0</v>
      </c>
      <c r="F10" s="445">
        <f>transport!F54</f>
        <v>0</v>
      </c>
      <c r="G10" s="445">
        <f>transport!G54</f>
        <v>46.210928627520786</v>
      </c>
      <c r="H10" s="445">
        <f>transport!H54</f>
        <v>0</v>
      </c>
      <c r="I10" s="445">
        <f>transport!I54</f>
        <v>0</v>
      </c>
      <c r="J10" s="445">
        <f>transport!J54</f>
        <v>0</v>
      </c>
      <c r="K10" s="445">
        <f>transport!K54</f>
        <v>0</v>
      </c>
      <c r="L10" s="445">
        <f>transport!L54</f>
        <v>0</v>
      </c>
      <c r="M10" s="445">
        <f>transport!M54</f>
        <v>1.9785744561457792</v>
      </c>
      <c r="N10" s="445">
        <f>transport!N54</f>
        <v>0</v>
      </c>
      <c r="O10" s="445">
        <f>transport!O54</f>
        <v>0</v>
      </c>
      <c r="P10" s="446">
        <f>transport!P54</f>
        <v>0</v>
      </c>
      <c r="Q10" s="444">
        <f t="shared" si="0"/>
        <v>48.402515608410042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114.462870179332</v>
      </c>
      <c r="C14" s="452"/>
      <c r="D14" s="452">
        <f>'SEAP template'!E25</f>
        <v>251.73808896804999</v>
      </c>
      <c r="E14" s="452"/>
      <c r="F14" s="452"/>
      <c r="G14" s="452"/>
      <c r="H14" s="452"/>
      <c r="I14" s="452"/>
      <c r="J14" s="452"/>
      <c r="K14" s="452"/>
      <c r="L14" s="452"/>
      <c r="M14" s="452"/>
      <c r="N14" s="452"/>
      <c r="O14" s="452"/>
      <c r="P14" s="453"/>
      <c r="Q14" s="444">
        <f t="shared" si="0"/>
        <v>366.20095914738198</v>
      </c>
    </row>
    <row r="15" spans="1:17" s="457" customFormat="1">
      <c r="A15" s="454" t="s">
        <v>549</v>
      </c>
      <c r="B15" s="455">
        <f ca="1">SUM(B4:B14)</f>
        <v>2400.8680682942168</v>
      </c>
      <c r="C15" s="455">
        <f t="shared" ref="C15:Q15" ca="1" si="1">SUM(C4:C14)</f>
        <v>0</v>
      </c>
      <c r="D15" s="455">
        <f t="shared" ca="1" si="1"/>
        <v>5911.6268423979618</v>
      </c>
      <c r="E15" s="455">
        <f t="shared" si="1"/>
        <v>66.906385223118548</v>
      </c>
      <c r="F15" s="455">
        <f t="shared" ca="1" si="1"/>
        <v>2170.568010151831</v>
      </c>
      <c r="G15" s="455">
        <f t="shared" si="1"/>
        <v>2173.7162785674468</v>
      </c>
      <c r="H15" s="455">
        <f t="shared" si="1"/>
        <v>404.50906251669119</v>
      </c>
      <c r="I15" s="455">
        <f t="shared" si="1"/>
        <v>0</v>
      </c>
      <c r="J15" s="455">
        <f t="shared" si="1"/>
        <v>49.346868154540608</v>
      </c>
      <c r="K15" s="455">
        <f t="shared" si="1"/>
        <v>0</v>
      </c>
      <c r="L15" s="455">
        <f t="shared" ca="1" si="1"/>
        <v>0</v>
      </c>
      <c r="M15" s="455">
        <f t="shared" si="1"/>
        <v>112.24731039796684</v>
      </c>
      <c r="N15" s="455">
        <f t="shared" ca="1" si="1"/>
        <v>487.13467530625502</v>
      </c>
      <c r="O15" s="455">
        <f t="shared" si="1"/>
        <v>0</v>
      </c>
      <c r="P15" s="455">
        <f t="shared" si="1"/>
        <v>0</v>
      </c>
      <c r="Q15" s="455">
        <f t="shared" ca="1" si="1"/>
        <v>13776.923501010026</v>
      </c>
    </row>
    <row r="17" spans="1:17">
      <c r="A17" s="458" t="s">
        <v>550</v>
      </c>
      <c r="B17" s="725">
        <f ca="1">huishoudens!B10</f>
        <v>0.21305236002101724</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328.92739663961771</v>
      </c>
      <c r="C22" s="445">
        <f t="shared" ref="C22:C32" ca="1" si="3">C4*$C$17</f>
        <v>0</v>
      </c>
      <c r="D22" s="445">
        <f t="shared" ref="D22:D32" si="4">D4*$D$17</f>
        <v>973.11847834525145</v>
      </c>
      <c r="E22" s="445">
        <f t="shared" ref="E22:E32" si="5">E4*$E$17</f>
        <v>9.7352136136915952</v>
      </c>
      <c r="F22" s="445">
        <f t="shared" ref="F22:F32" si="6">F4*$F$17</f>
        <v>390.86169184790822</v>
      </c>
      <c r="G22" s="445">
        <f t="shared" ref="G22:G32" si="7">G4*$G$17</f>
        <v>0</v>
      </c>
      <c r="H22" s="445">
        <f t="shared" ref="H22:H32" si="8">H4*$H$17</f>
        <v>0</v>
      </c>
      <c r="I22" s="445">
        <f t="shared" ref="I22:I32" si="9">I4*$I$17</f>
        <v>0</v>
      </c>
      <c r="J22" s="445">
        <f t="shared" ref="J22:J32" si="10">J4*$J$17</f>
        <v>11.669025772423746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1714.3118062188926</v>
      </c>
    </row>
    <row r="23" spans="1:17">
      <c r="A23" s="444" t="s">
        <v>149</v>
      </c>
      <c r="B23" s="445">
        <f t="shared" ca="1" si="2"/>
        <v>101.41324135680202</v>
      </c>
      <c r="C23" s="445">
        <f t="shared" ca="1" si="3"/>
        <v>0</v>
      </c>
      <c r="D23" s="445">
        <f t="shared" ca="1" si="4"/>
        <v>156.86607828391436</v>
      </c>
      <c r="E23" s="445">
        <f t="shared" si="5"/>
        <v>2.2528123636632125</v>
      </c>
      <c r="F23" s="445">
        <f t="shared" ca="1" si="6"/>
        <v>25.547990105088616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286.08012210946822</v>
      </c>
    </row>
    <row r="24" spans="1:17">
      <c r="A24" s="444" t="s">
        <v>187</v>
      </c>
      <c r="B24" s="445">
        <f t="shared" ca="1" si="2"/>
        <v>10.358818796581879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10.358818796581879</v>
      </c>
    </row>
    <row r="25" spans="1:17">
      <c r="A25" s="444" t="s">
        <v>105</v>
      </c>
      <c r="B25" s="445">
        <f t="shared" ca="1" si="2"/>
        <v>33.777724811993842</v>
      </c>
      <c r="C25" s="445">
        <f t="shared" ca="1" si="3"/>
        <v>0</v>
      </c>
      <c r="D25" s="445">
        <f t="shared" si="4"/>
        <v>6.0964929118615698</v>
      </c>
      <c r="E25" s="445">
        <f t="shared" si="5"/>
        <v>0.32430664684792132</v>
      </c>
      <c r="F25" s="445">
        <f t="shared" si="6"/>
        <v>158.61437097854508</v>
      </c>
      <c r="G25" s="445">
        <f t="shared" si="7"/>
        <v>0</v>
      </c>
      <c r="H25" s="445">
        <f t="shared" si="8"/>
        <v>0</v>
      </c>
      <c r="I25" s="445">
        <f t="shared" si="9"/>
        <v>0</v>
      </c>
      <c r="J25" s="445">
        <f t="shared" si="10"/>
        <v>5.6794995448684622</v>
      </c>
      <c r="K25" s="445">
        <f t="shared" si="11"/>
        <v>0</v>
      </c>
      <c r="L25" s="445">
        <f t="shared" si="12"/>
        <v>0</v>
      </c>
      <c r="M25" s="445">
        <f t="shared" si="13"/>
        <v>0</v>
      </c>
      <c r="N25" s="445">
        <f t="shared" si="14"/>
        <v>0</v>
      </c>
      <c r="O25" s="445">
        <f t="shared" si="15"/>
        <v>0</v>
      </c>
      <c r="P25" s="446">
        <f t="shared" si="16"/>
        <v>0</v>
      </c>
      <c r="Q25" s="444">
        <f t="shared" ca="1" si="17"/>
        <v>204.49239489411687</v>
      </c>
    </row>
    <row r="26" spans="1:17">
      <c r="A26" s="444" t="s">
        <v>613</v>
      </c>
      <c r="B26" s="445">
        <f t="shared" ca="1" si="2"/>
        <v>12.59337341967038</v>
      </c>
      <c r="C26" s="445">
        <f t="shared" ca="1" si="3"/>
        <v>0</v>
      </c>
      <c r="D26" s="445">
        <f t="shared" si="4"/>
        <v>7.1930119545524178</v>
      </c>
      <c r="E26" s="445">
        <f t="shared" si="5"/>
        <v>0.1365661925541965</v>
      </c>
      <c r="F26" s="445">
        <f t="shared" si="6"/>
        <v>4.5176057789969235</v>
      </c>
      <c r="G26" s="445">
        <f t="shared" si="7"/>
        <v>0</v>
      </c>
      <c r="H26" s="445">
        <f t="shared" si="8"/>
        <v>0</v>
      </c>
      <c r="I26" s="445">
        <f t="shared" si="9"/>
        <v>0</v>
      </c>
      <c r="J26" s="445">
        <f t="shared" si="10"/>
        <v>0.12026600941516628</v>
      </c>
      <c r="K26" s="445">
        <f t="shared" si="11"/>
        <v>0</v>
      </c>
      <c r="L26" s="445">
        <f t="shared" si="12"/>
        <v>0</v>
      </c>
      <c r="M26" s="445">
        <f t="shared" si="13"/>
        <v>0</v>
      </c>
      <c r="N26" s="445">
        <f t="shared" si="14"/>
        <v>0</v>
      </c>
      <c r="O26" s="445">
        <f t="shared" si="15"/>
        <v>0</v>
      </c>
      <c r="P26" s="446">
        <f t="shared" si="16"/>
        <v>0</v>
      </c>
      <c r="Q26" s="444">
        <f t="shared" ca="1" si="17"/>
        <v>24.560823355189079</v>
      </c>
    </row>
    <row r="27" spans="1:17" s="450" customFormat="1">
      <c r="A27" s="448" t="s">
        <v>555</v>
      </c>
      <c r="B27" s="719">
        <f t="shared" ca="1" si="2"/>
        <v>8.0855769211952526E-3</v>
      </c>
      <c r="C27" s="449">
        <f t="shared" ca="1" si="3"/>
        <v>0</v>
      </c>
      <c r="D27" s="449">
        <f t="shared" si="4"/>
        <v>2.3466697262556117E-2</v>
      </c>
      <c r="E27" s="449">
        <f t="shared" si="5"/>
        <v>2.7388506288909866</v>
      </c>
      <c r="F27" s="449">
        <f t="shared" si="6"/>
        <v>0</v>
      </c>
      <c r="G27" s="449">
        <f t="shared" si="7"/>
        <v>568.04392843396022</v>
      </c>
      <c r="H27" s="449">
        <f t="shared" si="8"/>
        <v>100.7227565666561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671.53708790369103</v>
      </c>
    </row>
    <row r="28" spans="1:17">
      <c r="A28" s="444" t="s">
        <v>545</v>
      </c>
      <c r="B28" s="445">
        <f t="shared" ca="1" si="2"/>
        <v>4.538282111063268E-2</v>
      </c>
      <c r="C28" s="445">
        <f t="shared" ca="1" si="3"/>
        <v>0</v>
      </c>
      <c r="D28" s="445">
        <f t="shared" si="4"/>
        <v>0</v>
      </c>
      <c r="E28" s="445">
        <f t="shared" si="5"/>
        <v>0</v>
      </c>
      <c r="F28" s="445">
        <f t="shared" si="6"/>
        <v>0</v>
      </c>
      <c r="G28" s="445">
        <f t="shared" si="7"/>
        <v>12.33831794354805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12.383700764658682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24.386584626485998</v>
      </c>
      <c r="C32" s="445">
        <f t="shared" ca="1" si="3"/>
        <v>0</v>
      </c>
      <c r="D32" s="445">
        <f t="shared" si="4"/>
        <v>50.851093971546099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75.23767859803209</v>
      </c>
    </row>
    <row r="33" spans="1:17" s="457" customFormat="1">
      <c r="A33" s="454" t="s">
        <v>549</v>
      </c>
      <c r="B33" s="455">
        <f ca="1">SUM(B22:B32)</f>
        <v>511.5106080491837</v>
      </c>
      <c r="C33" s="455">
        <f t="shared" ref="C33:Q33" ca="1" si="19">SUM(C22:C32)</f>
        <v>0</v>
      </c>
      <c r="D33" s="455">
        <f t="shared" ca="1" si="19"/>
        <v>1194.1486221643886</v>
      </c>
      <c r="E33" s="455">
        <f t="shared" si="19"/>
        <v>15.187749445647912</v>
      </c>
      <c r="F33" s="455">
        <f t="shared" ca="1" si="19"/>
        <v>579.54165871053885</v>
      </c>
      <c r="G33" s="455">
        <f t="shared" si="19"/>
        <v>580.3822463775083</v>
      </c>
      <c r="H33" s="455">
        <f t="shared" si="19"/>
        <v>100.7227565666561</v>
      </c>
      <c r="I33" s="455">
        <f t="shared" si="19"/>
        <v>0</v>
      </c>
      <c r="J33" s="455">
        <f t="shared" si="19"/>
        <v>17.468791326707372</v>
      </c>
      <c r="K33" s="455">
        <f t="shared" si="19"/>
        <v>0</v>
      </c>
      <c r="L33" s="455">
        <f t="shared" ca="1" si="19"/>
        <v>0</v>
      </c>
      <c r="M33" s="455">
        <f t="shared" si="19"/>
        <v>0</v>
      </c>
      <c r="N33" s="455">
        <f t="shared" ca="1" si="19"/>
        <v>0</v>
      </c>
      <c r="O33" s="455">
        <f t="shared" si="19"/>
        <v>0</v>
      </c>
      <c r="P33" s="455">
        <f t="shared" si="19"/>
        <v>0</v>
      </c>
      <c r="Q33" s="455">
        <f t="shared" ca="1" si="19"/>
        <v>2998.9624326406306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86.340430062616605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86.340430062616605</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0.21305236002101724</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0.21305236002101724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2022-07-26T12:55:20Z</dcterms:modified>
</cp:coreProperties>
</file>