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3E9A932-ED08-4250-984C-2B2D14D1F2E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<sst xmlns="http://schemas.openxmlformats.org/spreadsheetml/2006/main" count="2528" uniqueCount="968">
  <si>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</si>
  <si>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</si>
  <si>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</si>
  <si>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</si>
  <si>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</si>
  <si>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</si>
  <si>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</si>
  <si>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</si>
  <si>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</si>
  <si>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</si>
  <si>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</si>
  <si>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</si>
  <si>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</si>
  <si>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</si>
  <si>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</si>
  <si>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</si>
  <si>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</si>
  <si>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</si>
  <si>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</si>
  <si>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</si>
  <si>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</si>
  <si>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</si>
  <si>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</si>
  <si>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</si>
  <si>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</si>
  <si>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</si>
  <si>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</si>
  <si>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</si>
  <si>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</si>
  <si>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</si>
  <si>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</si>
  <si>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</si>
  <si>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</si>
  <si>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</si>
  <si>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</si>
  <si>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</si>
  <si>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</si>
  <si>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</si>
  <si>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</si>
  <si>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</si>
  <si>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</si>
  <si>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</si>
  <si>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</si>
  <si>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</si>
  <si>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</si>
  <si>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</si>
  <si>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</si>
  <si>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</si>
  <si>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</si>
  <si>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</si>
  <si>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</si>
  <si>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</si>
  <si>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</si>
  <si>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</si>
  <si>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</si>
  <si>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</si>
  <si>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</si>
  <si>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</si>
  <si>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</si>
  <si>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</si>
  <si>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</si>
  <si>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</si>
  <si>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</si>
  <si>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</si>
  <si>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</si>
  <si>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</si>
  <si>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</si>
  <si>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</si>
  <si>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</si>
  <si>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</si>
  <si>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</si>
  <si>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</si>
  <si>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</si>
  <si>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</si>
  <si>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</si>
  <si>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</si>
  <si>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</si>
  <si>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</si>
  <si>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</si>
  <si>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</si>
  <si>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</si>
  <si>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</si>
  <si>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</si>
  <si>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</si>
  <si>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</si>
  <si>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</si>
  <si>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</si>
  <si>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</si>
  <si>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</si>
  <si>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</si>
  <si>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</si>
  <si>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</si>
  <si>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</si>
  <si>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</si>
  <si>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</si>
  <si>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</si>
  <si>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</si>
  <si>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</si>
  <si>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</si>
  <si>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</si>
  <si>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</si>
  <si>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</si>
  <si>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</si>
  <si>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</si>
  <si>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</si>
  <si>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</si>
  <si>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</si>
  <si>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</si>
  <si>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</si>
  <si>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</si>
  <si>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</si>
  <si>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</si>
  <si>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</si>
  <si>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</si>
  <si>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</si>
  <si>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</si>
  <si>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</si>
  <si>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</si>
  <si>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</si>
  <si>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</si>
  <si>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</si>
  <si>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</si>
  <si>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</si>
  <si>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</si>
  <si>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</si>
  <si>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</si>
  <si>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</si>
  <si>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</si>
  <si>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</si>
  <si>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</si>
  <si>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</si>
  <si>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</si>
  <si>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</si>
  <si>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</si>
  <si>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</si>
  <si>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</si>
  <si>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</si>
  <si>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</si>
  <si>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</si>
  <si>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</si>
  <si>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</si>
  <si>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</si>
  <si>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</si>
  <si>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</si>
  <si>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</si>
  <si>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</si>
  <si>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</si>
  <si>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</si>
  <si>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</si>
  <si>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</si>
  <si>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</si>
  <si>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</si>
  <si>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</si>
  <si>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</si>
  <si>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</si>
  <si>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</si>
  <si>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</si>
  <si>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</si>
  <si>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</si>
  <si>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</si>
  <si>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</si>
  <si>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</si>
  <si>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</si>
  <si>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</si>
  <si>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</si>
  <si>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</si>
  <si>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</si>
  <si>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</si>
  <si>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</si>
  <si>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</si>
  <si>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</si>
  <si>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</si>
  <si>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</si>
  <si>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</si>
  <si>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</si>
  <si>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</si>
  <si>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</si>
  <si>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</si>
  <si>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</si>
  <si>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</si>
  <si>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</si>
  <si>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</si>
  <si>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</si>
  <si>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</si>
  <si>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</si>
  <si>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</si>
  <si>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</si>
  <si>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</si>
  <si>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</si>
  <si>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</si>
  <si>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</si>
  <si>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</si>
  <si>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</si>
  <si>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</si>
  <si>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</si>
  <si>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</si>
  <si>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</si>
  <si>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</si>
  <si>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</si>
  <si>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</si>
  <si>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</si>
  <si>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</si>
  <si>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</si>
  <si>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</si>
  <si>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</si>
  <si>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</si>
  <si>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</si>
  <si>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</si>
  <si>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</si>
  <si>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</si>
  <si>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</si>
  <si>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</si>
  <si>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</si>
  <si>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</si>
  <si>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</si>
  <si>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</si>
  <si>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</si>
  <si>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</si>
  <si>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</si>
  <si>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</si>
  <si>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</si>
  <si>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</si>
  <si>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</si>
  <si>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</si>
  <si>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</si>
  <si>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</si>
  <si>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</si>
  <si>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</si>
  <si>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</si>
  <si>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</si>
  <si>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</si>
  <si>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</si>
  <si>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</si>
  <si>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</si>
  <si>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</si>
  <si>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</si>
  <si>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</si>
  <si>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</si>
  <si>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</si>
  <si>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</si>
  <si>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</si>
  <si>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</si>
  <si>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</si>
  <si>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</si>
  <si>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</si>
  <si>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</si>
  <si>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</si>
  <si>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</si>
  <si>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</si>
  <si>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</si>
  <si>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</si>
  <si>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</si>
  <si>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</si>
  <si>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</si>
  <si>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</si>
  <si>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</si>
  <si>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</si>
  <si>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</si>
  <si>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</si>
  <si>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</si>
  <si>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</si>
  <si>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</si>
  <si>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</si>
  <si>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</si>
  <si>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</si>
  <si>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</si>
  <si>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</si>
  <si>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</si>
  <si>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</si>
  <si>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</si>
  <si>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</si>
  <si>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</si>
  <si>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</si>
  <si>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</si>
  <si>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</si>
  <si>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</si>
  <si>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</si>
  <si>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</si>
  <si>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</si>
  <si>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</si>
  <si>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</si>
  <si>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</si>
  <si>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</si>
  <si>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</si>
  <si>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</si>
  <si>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</si>
  <si>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</si>
  <si>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</si>
  <si>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</si>
  <si>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</si>
  <si>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</si>
  <si>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</si>
  <si>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</si>
  <si>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</si>
  <si>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</si>
  <si>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</si>
  <si>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</si>
  <si>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</si>
  <si>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</si>
  <si>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</si>
  <si>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</si>
  <si>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</si>
  <si>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</si>
  <si>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</si>
  <si>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</si>
  <si>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</si>
  <si>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</si>
  <si>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</si>
  <si>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</si>
  <si>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</si>
  <si>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</si>
  <si>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</si>
  <si>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</si>
  <si>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</si>
  <si>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</si>
  <si>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</si>
  <si>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</si>
  <si>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</si>
  <si>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</si>
  <si>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</si>
  <si>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</si>
  <si>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</si>
  <si>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</si>
  <si>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</si>
  <si>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</si>
  <si>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</si>
  <si>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</si>
  <si>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</si>
  <si>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</si>
  <si>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</si>
  <si>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</si>
  <si>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</si>
  <si>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</si>
  <si>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</si>
  <si>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</si>
  <si>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</si>
  <si>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</si>
  <si>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</si>
  <si>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</si>
  <si>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</si>
  <si>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</si>
  <si>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</si>
  <si>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</si>
  <si>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</si>
  <si>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</si>
  <si>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</si>
  <si>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</si>
  <si>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</si>
  <si>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</si>
  <si>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</si>
  <si>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</si>
  <si>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</si>
  <si>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</si>
  <si>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</si>
  <si>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</si>
  <si>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</si>
  <si>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</si>
  <si>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</si>
  <si>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</si>
  <si>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</si>
  <si>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</si>
  <si>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</si>
  <si>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</si>
  <si>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</si>
  <si>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</si>
  <si>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</si>
  <si>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</si>
  <si>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</si>
  <si>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</si>
  <si>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</si>
  <si>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</si>
  <si>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</si>
  <si>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</si>
  <si>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</si>
  <si>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</si>
  <si>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</si>
  <si>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</si>
  <si>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</si>
  <si>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</si>
  <si>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</si>
  <si>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</si>
  <si>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</si>
  <si>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</si>
  <si>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</si>
  <si>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</si>
  <si>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</si>
  <si>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</si>
  <si>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</si>
  <si>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</si>
  <si>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</si>
  <si>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</si>
  <si>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</si>
  <si>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</si>
  <si>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</si>
  <si>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</si>
  <si>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</si>
  <si>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</si>
  <si>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</si>
  <si>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</si>
  <si>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</si>
  <si>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</si>
  <si>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</si>
  <si>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</si>
  <si>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</si>
  <si>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</si>
  <si>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</si>
  <si>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</si>
  <si>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</si>
  <si>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</si>
  <si>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</si>
  <si>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</si>
  <si>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</si>
  <si>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</si>
  <si>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</si>
  <si>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</si>
  <si>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</si>
  <si>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</si>
  <si>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</si>
  <si>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</si>
  <si>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</si>
  <si>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</si>
  <si>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</si>
  <si>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</si>
  <si>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</si>
  <si>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</si>
  <si>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</si>
  <si>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</si>
  <si>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</si>
  <si>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</si>
  <si>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</si>
  <si>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</si>
  <si>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</si>
  <si>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</si>
  <si>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</si>
  <si>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</si>
  <si>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</si>
  <si>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</si>
  <si>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</si>
  <si>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</si>
  <si>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</si>
  <si>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</si>
  <si>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</si>
  <si>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</si>
  <si>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</si>
  <si>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</si>
  <si>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</si>
  <si>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</si>
  <si>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</si>
  <si>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</si>
  <si>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</si>
  <si>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</si>
  <si>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</si>
  <si>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</si>
  <si>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</si>
  <si>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</si>
  <si>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</si>
  <si>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</si>
  <si>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</si>
  <si>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</si>
  <si>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</si>
  <si>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</si>
  <si>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</si>
  <si>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</si>
  <si>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</si>
  <si>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</si>
  <si>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</si>
  <si>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</si>
  <si>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</si>
  <si>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</si>
  <si>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</si>
  <si>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</si>
  <si>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</si>
  <si>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</si>
  <si>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</si>
  <si>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</si>
  <si>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</si>
  <si>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</si>
  <si>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</si>
  <si>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</si>
  <si>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</si>
  <si>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</si>
  <si>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</si>
  <si>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</si>
  <si>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</si>
  <si>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</si>
  <si>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</si>
  <si>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</si>
  <si>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</si>
  <si>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</si>
  <si>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</si>
  <si>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</si>
  <si>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</si>
  <si>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</si>
  <si>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</si>
  <si>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</si>
  <si>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</si>
  <si>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</si>
  <si>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</si>
  <si>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</si>
  <si>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</si>
  <si>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</si>
  <si>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</si>
  <si>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</si>
  <si>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</si>
  <si>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</si>
  <si>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</si>
  <si>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</si>
  <si>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</si>
  <si>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</si>
  <si>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</si>
  <si>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</si>
  <si>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</si>
  <si>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</si>
  <si>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</si>
  <si>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</si>
  <si>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</si>
  <si>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</si>
  <si>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</si>
  <si>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</si>
  <si>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</si>
  <si>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</si>
  <si>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</si>
  <si>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</si>
  <si>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</si>
  <si>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</si>
  <si>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</si>
  <si>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</si>
  <si>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</si>
  <si>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</si>
  <si>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</si>
  <si>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</si>
  <si>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</si>
  <si>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</si>
  <si>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</si>
  <si>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</si>
  <si>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</si>
  <si>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</si>
  <si>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</si>
  <si>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</si>
  <si>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</si>
  <si>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</si>
  <si>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</si>
  <si>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</si>
  <si>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</si>
  <si>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</si>
  <si>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</si>
  <si>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</si>
  <si>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</si>
  <si>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</si>
  <si>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</si>
  <si>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</si>
  <si>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</si>
  <si>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</si>
  <si>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</si>
  <si>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</si>
  <si>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</si>
  <si>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</si>
  <si>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</si>
  <si>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</si>
  <si>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</si>
  <si>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</si>
  <si>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</si>
  <si>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</si>
  <si>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</si>
  <si>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</si>
  <si>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</si>
  <si>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</si>
  <si>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</si>
  <si>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</si>
  <si>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</si>
  <si>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</si>
  <si>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</si>
  <si>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</si>
  <si>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</si>
  <si>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</si>
  <si>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</si>
  <si>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</si>
  <si>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</si>
  <si>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</si>
  <si>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</si>
  <si>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</si>
  <si>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</si>
  <si>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</si>
  <si>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</si>
  <si>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</si>
  <si>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</si>
  <si>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</si>
  <si>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</si>
  <si>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</si>
  <si>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</si>
  <si>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</si>
  <si>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</si>
  <si>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</si>
  <si>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</si>
  <si>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</si>
  <si>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</si>
  <si>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</si>
  <si>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</si>
  <si>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</si>
  <si>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</si>
  <si>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</si>
  <si>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</si>
  <si>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</si>
  <si>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</si>
  <si>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</si>
  <si>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</si>
  <si>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</si>
  <si>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</si>
  <si>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</si>
  <si>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</si>
  <si>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</si>
  <si>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</si>
  <si>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</si>
  <si>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</si>
  <si>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</si>
  <si>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</si>
  <si>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</si>
  <si>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</si>
  <si>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</si>
  <si>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</si>
  <si>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</si>
  <si>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</si>
  <si>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</si>
  <si>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</si>
  <si>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</si>
  <si>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</si>
  <si>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</si>
  <si>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</si>
  <si>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</si>
  <si>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</si>
  <si>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</si>
  <si>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</si>
  <si>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</si>
  <si>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</si>
  <si>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</si>
  <si>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</si>
  <si>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</si>
  <si>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</si>
  <si>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</si>
  <si>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</si>
  <si>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</si>
  <si>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</si>
  <si>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</si>
  <si>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</si>
  <si>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</si>
  <si>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</si>
  <si>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</si>
  <si>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</si>
  <si>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</si>
  <si>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</si>
  <si>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</si>
  <si>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</si>
  <si>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</si>
  <si>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</si>
  <si>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</si>
  <si>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</si>
  <si>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</si>
  <si>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</si>
  <si>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</si>
  <si>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</si>
  <si>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</si>
  <si>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</si>
  <si>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</si>
  <si>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</si>
  <si>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</si>
  <si>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</si>
  <si>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</si>
  <si>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</si>
  <si>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</si>
  <si>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</si>
  <si>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</si>
  <si>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</si>
  <si>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</si>
  <si>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</si>
  <si>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</si>
  <si>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</si>
  <si>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</si>
  <si>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</si>
  <si>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</si>
  <si>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</si>
  <si>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</si>
  <si>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</si>
  <si>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</si>
  <si>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</si>
  <si>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</si>
  <si>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</si>
  <si>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</si>
  <si>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</si>
  <si>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</si>
  <si>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</si>
  <si>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</si>
  <si>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</si>
  <si>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</si>
  <si>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</si>
  <si>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</si>
  <si>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</si>
  <si>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</si>
  <si>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</si>
  <si>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</si>
  <si>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</si>
  <si>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</si>
  <si>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</si>
  <si>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</si>
  <si>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</si>
  <si>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</si>
  <si>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</si>
  <si>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</si>
  <si>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</si>
  <si>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</si>
  <si>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</si>
  <si>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</si>
  <si>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</si>
  <si>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</si>
  <si>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</si>
  <si>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</si>
  <si>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</si>
  <si>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</si>
  <si>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</si>
  <si>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</si>
  <si>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</si>
  <si>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</si>
  <si>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</si>
  <si>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</si>
  <si>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</si>
  <si>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</si>
  <si>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</si>
  <si>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</si>
  <si>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</si>
  <si>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</si>
  <si>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</si>
  <si>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</si>
  <si>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</si>
  <si>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</si>
  <si>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</si>
  <si>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</si>
  <si>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</si>
  <si>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</si>
  <si>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</si>
  <si>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</si>
  <si>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</si>
  <si>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</si>
  <si>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</si>
  <si>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</si>
  <si>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</si>
  <si>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</si>
  <si>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</si>
  <si>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</si>
  <si>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</si>
  <si>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</si>
  <si>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</si>
  <si>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</si>
  <si>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</si>
  <si>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</si>
  <si>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</si>
  <si>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</si>
  <si>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</si>
  <si>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</si>
  <si>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</si>
  <si>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</si>
  <si>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</si>
  <si>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</si>
  <si>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</si>
  <si>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</si>
  <si>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</si>
  <si>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</si>
  <si>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</si>
  <si>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</si>
  <si>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</si>
  <si>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</si>
  <si>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</si>
  <si>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</si>
  <si>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</si>
  <si>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</si>
  <si>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</si>
  <si>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</si>
  <si>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</si>
  <si>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</si>
  <si>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</si>
  <si>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</si>
  <si>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</si>
  <si>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</si>
  <si>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</si>
  <si>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</si>
  <si>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</si>
  <si>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</si>
  <si>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</si>
  <si>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</si>
  <si>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</si>
  <si>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</si>
  <si>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</si>
  <si>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</si>
  <si>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</si>
  <si>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</si>
  <si>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</si>
  <si>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</si>
  <si>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</si>
  <si>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</si>
  <si>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</si>
  <si>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</si>
  <si>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</si>
  <si>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</si>
  <si>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</si>
  <si>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</si>
  <si>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</si>
  <si>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</si>
  <si>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</si>
  <si>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</si>
  <si>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</si>
  <si>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</si>
  <si>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</si>
  <si>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</si>
  <si>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</si>
  <si>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</si>
  <si>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</si>
  <si>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</si>
  <si>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</si>
  <si>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</si>
  <si>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</si>
  <si>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</si>
  <si>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</si>
  <si>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</si>
  <si>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</si>
  <si>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</si>
  <si>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</si>
  <si>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</si>
  <si>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</si>
  <si>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</si>
  <si>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</si>
  <si>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</si>
  <si>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</si>
  <si>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</si>
  <si>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</si>
  <si>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</si>
  <si>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</si>
  <si>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</si>
  <si>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</si>
  <si>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</si>
  <si>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</si>
  <si>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</si>
  <si>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</si>
  <si>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</si>
  <si>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</si>
  <si>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</si>
  <si>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</si>
  <si>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</si>
  <si>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</si>
  <si>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</si>
  <si>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</si>
  <si>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</si>
  <si>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</si>
  <si>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</si>
  <si>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</si>
  <si>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</si>
  <si>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</si>
  <si>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</si>
  <si>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</si>
  <si>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</si>
  <si>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</si>
  <si>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</si>
  <si>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</si>
  <si>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</si>
  <si>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</si>
  <si>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</si>
  <si>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</si>
  <si>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</si>
  <si>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</si>
  <si>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</si>
  <si>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</si>
  <si>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</si>
  <si>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</si>
  <si>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</si>
  <si>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</si>
  <si>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</si>
  <si>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</si>
  <si>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</si>
  <si>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</si>
  <si>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</si>
  <si>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</si>
  <si>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</si>
  <si>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</si>
  <si>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</si>
  <si>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</si>
  <si>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</si>
  <si>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</si>
  <si>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</si>
  <si>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</si>
  <si>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</si>
  <si>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</si>
  <si>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</si>
  <si>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</si>
  <si>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</si>
  <si>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</si>
  <si>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</si>
  <si>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</si>
  <si>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</si>
  <si>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</si>
  <si>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</si>
  <si>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</si>
  <si>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</si>
  <si>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</si>
  <si>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</si>
  <si>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</si>
  <si>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</si>
  <si>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</si>
  <si>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</si>
  <si>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</si>
  <si>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</si>
  <si>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</si>
  <si>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</si>
  <si>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</si>
  <si>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</si>
  <si>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</si>
  <si>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</si>
  <si>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</si>
  <si>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</si>
  <si>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</si>
  <si>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</si>
  <si>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</si>
  <si>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</si>
  <si>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</si>
  <si>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</si>
  <si>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</si>
  <si>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</si>
  <si>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</si>
  <si>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</si>
  <si>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</si>
  <si>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</si>
  <si>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</si>
  <si>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</si>
  <si>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</si>
  <si>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</si>
  <si>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</si>
  <si>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</si>
  <si>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</si>
  <si>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</si>
  <si>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</si>
  <si>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</si>
  <si>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</si>
  <si>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</si>
  <si>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</si>
  <si>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</si>
  <si>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</si>
  <si>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</si>
  <si>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</si>
  <si>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</si>
  <si>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</si>
  <si>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</si>
  <si>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</si>
  <si>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</si>
  <si>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</si>
  <si>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</si>
  <si>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</si>
  <si>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</si>
  <si>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</si>
  <si>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</si>
  <si>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</si>
  <si>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</si>
  <si>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33011</t>
  </si>
  <si>
    <t>IEPER</t>
  </si>
  <si>
    <t>Paarden&amp;pony's 200 - 600 kg</t>
  </si>
  <si>
    <t>Paarden&amp;pony's &lt; 200 kg</t>
  </si>
  <si>
    <t>vloeibaar gas (MWh)</t>
  </si>
  <si>
    <t>interne verbrandingsmotor</t>
  </si>
  <si>
    <t>WKK interne verbrandinsgmotor (gas)</t>
  </si>
  <si>
    <t>GASELWEST</t>
  </si>
  <si>
    <t>biogas - overig</t>
  </si>
  <si>
    <t>niet WKK interne verbrandingsmotor (andere biomassa)</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</si>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</sst>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192A6B5-EB97-40A6-B7D1-DC7CE2B2564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33011</v>
      </c>
      <c r="B6" s="382"/>
      <c r="C6" s="383"/>
    </row>
    <row r="7" spans="1:7" s="380" customFormat="1" ht="15.75" customHeight="1">
      <c r="A7" s="384" t="str">
        <f>txtMunicipality</f>
        <v>IEPER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0.17505488243142162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0.17505488243142162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14846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9188</v>
      </c>
      <c r="C14" s="324"/>
      <c r="D14" s="324"/>
      <c r="E14" s="324"/>
      <c r="F14" s="324"/>
    </row>
    <row r="15" spans="1:6">
      <c r="A15" s="1235" t="s">
        <v>177</v>
      </c>
      <c r="B15" s="1236">
        <v>116</v>
      </c>
      <c r="C15" s="324"/>
      <c r="D15" s="324"/>
      <c r="E15" s="324"/>
      <c r="F15" s="324"/>
    </row>
    <row r="16" spans="1:6">
      <c r="A16" s="1235" t="s">
        <v>6</v>
      </c>
      <c r="B16" s="1236">
        <v>3737</v>
      </c>
      <c r="C16" s="324"/>
      <c r="D16" s="324"/>
      <c r="E16" s="324"/>
      <c r="F16" s="324"/>
    </row>
    <row r="17" spans="1:6">
      <c r="A17" s="1235" t="s">
        <v>7</v>
      </c>
      <c r="B17" s="1236">
        <v>2482</v>
      </c>
      <c r="C17" s="324"/>
      <c r="D17" s="324"/>
      <c r="E17" s="324"/>
      <c r="F17" s="324"/>
    </row>
    <row r="18" spans="1:6">
      <c r="A18" s="1235" t="s">
        <v>8</v>
      </c>
      <c r="B18" s="1236">
        <v>3780</v>
      </c>
      <c r="C18" s="324"/>
      <c r="D18" s="324"/>
      <c r="E18" s="324"/>
      <c r="F18" s="324"/>
    </row>
    <row r="19" spans="1:6">
      <c r="A19" s="1235" t="s">
        <v>9</v>
      </c>
      <c r="B19" s="1236">
        <v>3788</v>
      </c>
      <c r="C19" s="324"/>
      <c r="D19" s="324"/>
      <c r="E19" s="324"/>
      <c r="F19" s="324"/>
    </row>
    <row r="20" spans="1:6">
      <c r="A20" s="1235" t="s">
        <v>10</v>
      </c>
      <c r="B20" s="1236">
        <v>2777</v>
      </c>
      <c r="C20" s="324"/>
      <c r="D20" s="324"/>
      <c r="E20" s="324"/>
      <c r="F20" s="324"/>
    </row>
    <row r="21" spans="1:6">
      <c r="A21" s="1235" t="s">
        <v>11</v>
      </c>
      <c r="B21" s="1236">
        <v>44043</v>
      </c>
      <c r="C21" s="324"/>
      <c r="D21" s="324"/>
      <c r="E21" s="324"/>
      <c r="F21" s="324"/>
    </row>
    <row r="22" spans="1:6">
      <c r="A22" s="1235" t="s">
        <v>12</v>
      </c>
      <c r="B22" s="1236">
        <v>105145</v>
      </c>
      <c r="C22" s="324"/>
      <c r="D22" s="324"/>
      <c r="E22" s="324"/>
      <c r="F22" s="324"/>
    </row>
    <row r="23" spans="1:6">
      <c r="A23" s="1235" t="s">
        <v>13</v>
      </c>
      <c r="B23" s="1236">
        <v>2399</v>
      </c>
      <c r="C23" s="324"/>
      <c r="D23" s="324"/>
      <c r="E23" s="324"/>
      <c r="F23" s="324"/>
    </row>
    <row r="24" spans="1:6">
      <c r="A24" s="1235" t="s">
        <v>14</v>
      </c>
      <c r="B24" s="1236">
        <v>111</v>
      </c>
      <c r="C24" s="324"/>
      <c r="D24" s="324"/>
      <c r="E24" s="324"/>
      <c r="F24" s="324"/>
    </row>
    <row r="25" spans="1:6">
      <c r="A25" s="1235" t="s">
        <v>15</v>
      </c>
      <c r="B25" s="1236">
        <v>12767</v>
      </c>
      <c r="C25" s="324"/>
      <c r="D25" s="324"/>
      <c r="E25" s="324"/>
      <c r="F25" s="324"/>
    </row>
    <row r="26" spans="1:6">
      <c r="A26" s="1235" t="s">
        <v>16</v>
      </c>
      <c r="B26" s="1236">
        <v>997</v>
      </c>
      <c r="C26" s="324"/>
      <c r="D26" s="324"/>
      <c r="E26" s="324"/>
      <c r="F26" s="324"/>
    </row>
    <row r="27" spans="1:6">
      <c r="A27" s="1235" t="s">
        <v>17</v>
      </c>
      <c r="B27" s="1236">
        <v>42</v>
      </c>
      <c r="C27" s="324"/>
      <c r="D27" s="324"/>
      <c r="E27" s="324"/>
      <c r="F27" s="324"/>
    </row>
    <row r="28" spans="1:6">
      <c r="A28" s="1235" t="s">
        <v>18</v>
      </c>
      <c r="B28" s="1237">
        <v>349448</v>
      </c>
      <c r="C28" s="324"/>
      <c r="D28" s="324"/>
      <c r="E28" s="324"/>
      <c r="F28" s="324"/>
    </row>
    <row r="29" spans="1:6">
      <c r="A29" s="1235" t="s">
        <v>959</v>
      </c>
      <c r="B29" s="1237">
        <v>173</v>
      </c>
      <c r="C29" s="324"/>
      <c r="D29" s="324"/>
      <c r="E29" s="324"/>
      <c r="F29" s="324"/>
    </row>
    <row r="30" spans="1:6">
      <c r="A30" s="1230" t="s">
        <v>960</v>
      </c>
      <c r="B30" s="1238">
        <v>37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3</v>
      </c>
      <c r="D36" s="1236">
        <v>99452.4609481566</v>
      </c>
      <c r="E36" s="1236">
        <v>15</v>
      </c>
      <c r="F36" s="1236">
        <v>494138.68781070999</v>
      </c>
    </row>
    <row r="37" spans="1:6">
      <c r="A37" s="1235" t="s">
        <v>24</v>
      </c>
      <c r="B37" s="1235" t="s">
        <v>27</v>
      </c>
      <c r="C37" s="1236">
        <v>0</v>
      </c>
      <c r="D37" s="1236">
        <v>0</v>
      </c>
      <c r="E37" s="1236">
        <v>0</v>
      </c>
      <c r="F37" s="1236">
        <v>0</v>
      </c>
    </row>
    <row r="38" spans="1:6">
      <c r="A38" s="1235" t="s">
        <v>24</v>
      </c>
      <c r="B38" s="1235" t="s">
        <v>28</v>
      </c>
      <c r="C38" s="1236">
        <v>2</v>
      </c>
      <c r="D38" s="1236">
        <v>286614.75195840502</v>
      </c>
      <c r="E38" s="1236">
        <v>2</v>
      </c>
      <c r="F38" s="1236">
        <v>3012.9106597079999</v>
      </c>
    </row>
    <row r="39" spans="1:6">
      <c r="A39" s="1235" t="s">
        <v>29</v>
      </c>
      <c r="B39" s="1235" t="s">
        <v>30</v>
      </c>
      <c r="C39" s="1236">
        <v>9795</v>
      </c>
      <c r="D39" s="1236">
        <v>150021053.33912501</v>
      </c>
      <c r="E39" s="1236">
        <v>13758</v>
      </c>
      <c r="F39" s="1236">
        <v>55475744.618870698</v>
      </c>
    </row>
    <row r="40" spans="1:6">
      <c r="A40" s="1235" t="s">
        <v>29</v>
      </c>
      <c r="B40" s="1235" t="s">
        <v>28</v>
      </c>
      <c r="C40" s="1236">
        <v>1</v>
      </c>
      <c r="D40" s="1236">
        <v>5021.7953433864996</v>
      </c>
      <c r="E40" s="1236">
        <v>1</v>
      </c>
      <c r="F40" s="1236">
        <v>10945.368843171</v>
      </c>
    </row>
    <row r="41" spans="1:6">
      <c r="A41" s="1235" t="s">
        <v>31</v>
      </c>
      <c r="B41" s="1235" t="s">
        <v>32</v>
      </c>
      <c r="C41" s="1236">
        <v>95</v>
      </c>
      <c r="D41" s="1236">
        <v>1875202.1865397</v>
      </c>
      <c r="E41" s="1236">
        <v>240</v>
      </c>
      <c r="F41" s="1236">
        <v>15189446.9499349</v>
      </c>
    </row>
    <row r="42" spans="1:6">
      <c r="A42" s="1235" t="s">
        <v>31</v>
      </c>
      <c r="B42" s="1235" t="s">
        <v>33</v>
      </c>
      <c r="C42" s="1236">
        <v>4</v>
      </c>
      <c r="D42" s="1236">
        <v>5191912.9388928702</v>
      </c>
      <c r="E42" s="1236">
        <v>4</v>
      </c>
      <c r="F42" s="1236">
        <v>20189926.282072399</v>
      </c>
    </row>
    <row r="43" spans="1:6">
      <c r="A43" s="1235" t="s">
        <v>31</v>
      </c>
      <c r="B43" s="1235" t="s">
        <v>34</v>
      </c>
      <c r="C43" s="1236">
        <v>0</v>
      </c>
      <c r="D43" s="1236">
        <v>0</v>
      </c>
      <c r="E43" s="1236">
        <v>0</v>
      </c>
      <c r="F43" s="1236">
        <v>0</v>
      </c>
    </row>
    <row r="44" spans="1:6">
      <c r="A44" s="1235" t="s">
        <v>31</v>
      </c>
      <c r="B44" s="1235" t="s">
        <v>35</v>
      </c>
      <c r="C44" s="1236">
        <v>25</v>
      </c>
      <c r="D44" s="1236">
        <v>26029207.556760699</v>
      </c>
      <c r="E44" s="1236">
        <v>32</v>
      </c>
      <c r="F44" s="1236">
        <v>47559757.656471699</v>
      </c>
    </row>
    <row r="45" spans="1:6">
      <c r="A45" s="1235" t="s">
        <v>31</v>
      </c>
      <c r="B45" s="1235" t="s">
        <v>36</v>
      </c>
      <c r="C45" s="1236">
        <v>5</v>
      </c>
      <c r="D45" s="1236">
        <v>266181.99890366598</v>
      </c>
      <c r="E45" s="1236">
        <v>5</v>
      </c>
      <c r="F45" s="1236">
        <v>104366.50649379801</v>
      </c>
    </row>
    <row r="46" spans="1:6">
      <c r="A46" s="1235" t="s">
        <v>31</v>
      </c>
      <c r="B46" s="1235" t="s">
        <v>37</v>
      </c>
      <c r="C46" s="1236">
        <v>0</v>
      </c>
      <c r="D46" s="1236">
        <v>0</v>
      </c>
      <c r="E46" s="1236">
        <v>0</v>
      </c>
      <c r="F46" s="1236">
        <v>0</v>
      </c>
    </row>
    <row r="47" spans="1:6">
      <c r="A47" s="1235" t="s">
        <v>31</v>
      </c>
      <c r="B47" s="1235" t="s">
        <v>38</v>
      </c>
      <c r="C47" s="1236">
        <v>5</v>
      </c>
      <c r="D47" s="1236">
        <v>36826.223955040397</v>
      </c>
      <c r="E47" s="1236">
        <v>6</v>
      </c>
      <c r="F47" s="1236">
        <v>54706.904286341101</v>
      </c>
    </row>
    <row r="48" spans="1:6">
      <c r="A48" s="1235" t="s">
        <v>31</v>
      </c>
      <c r="B48" s="1235" t="s">
        <v>28</v>
      </c>
      <c r="C48" s="1236">
        <v>87</v>
      </c>
      <c r="D48" s="1236">
        <v>218904658.394445</v>
      </c>
      <c r="E48" s="1236">
        <v>107</v>
      </c>
      <c r="F48" s="1236">
        <v>75885982.493088096</v>
      </c>
    </row>
    <row r="49" spans="1:6">
      <c r="A49" s="1235" t="s">
        <v>31</v>
      </c>
      <c r="B49" s="1235" t="s">
        <v>39</v>
      </c>
      <c r="C49" s="1236">
        <v>4</v>
      </c>
      <c r="D49" s="1236">
        <v>387749.38840703497</v>
      </c>
      <c r="E49" s="1236">
        <v>10</v>
      </c>
      <c r="F49" s="1236">
        <v>233804.05450071601</v>
      </c>
    </row>
    <row r="50" spans="1:6">
      <c r="A50" s="1235" t="s">
        <v>31</v>
      </c>
      <c r="B50" s="1235" t="s">
        <v>40</v>
      </c>
      <c r="C50" s="1236">
        <v>25</v>
      </c>
      <c r="D50" s="1236">
        <v>8937978.3788415492</v>
      </c>
      <c r="E50" s="1236">
        <v>40</v>
      </c>
      <c r="F50" s="1236">
        <v>7388747.9980545295</v>
      </c>
    </row>
    <row r="51" spans="1:6">
      <c r="A51" s="1235" t="s">
        <v>41</v>
      </c>
      <c r="B51" s="1235" t="s">
        <v>42</v>
      </c>
      <c r="C51" s="1236">
        <v>26</v>
      </c>
      <c r="D51" s="1236">
        <v>469584.909023543</v>
      </c>
      <c r="E51" s="1236">
        <v>381</v>
      </c>
      <c r="F51" s="1236">
        <v>8436405.63291087</v>
      </c>
    </row>
    <row r="52" spans="1:6">
      <c r="A52" s="1235" t="s">
        <v>41</v>
      </c>
      <c r="B52" s="1235" t="s">
        <v>28</v>
      </c>
      <c r="C52" s="1236">
        <v>11</v>
      </c>
      <c r="D52" s="1236">
        <v>181455.80254444701</v>
      </c>
      <c r="E52" s="1236">
        <v>27</v>
      </c>
      <c r="F52" s="1236">
        <v>1360507.07122551</v>
      </c>
    </row>
    <row r="53" spans="1:6">
      <c r="A53" s="1235" t="s">
        <v>43</v>
      </c>
      <c r="B53" s="1235" t="s">
        <v>44</v>
      </c>
      <c r="C53" s="1236">
        <v>456</v>
      </c>
      <c r="D53" s="1236">
        <v>9145755.42894377</v>
      </c>
      <c r="E53" s="1236">
        <v>725</v>
      </c>
      <c r="F53" s="1236">
        <v>4632527.7159819296</v>
      </c>
    </row>
    <row r="54" spans="1:6">
      <c r="A54" s="1235" t="s">
        <v>45</v>
      </c>
      <c r="B54" s="1235" t="s">
        <v>46</v>
      </c>
      <c r="C54" s="1236">
        <v>0</v>
      </c>
      <c r="D54" s="1236">
        <v>0</v>
      </c>
      <c r="E54" s="1236">
        <v>2</v>
      </c>
      <c r="F54" s="1236">
        <v>3220174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108</v>
      </c>
      <c r="D57" s="1236">
        <v>3325631.0878399899</v>
      </c>
      <c r="E57" s="1236">
        <v>200</v>
      </c>
      <c r="F57" s="1236">
        <v>5123103.05295223</v>
      </c>
    </row>
    <row r="58" spans="1:6">
      <c r="A58" s="1235" t="s">
        <v>48</v>
      </c>
      <c r="B58" s="1235" t="s">
        <v>50</v>
      </c>
      <c r="C58" s="1236">
        <v>118</v>
      </c>
      <c r="D58" s="1236">
        <v>24128590.509031001</v>
      </c>
      <c r="E58" s="1236">
        <v>152</v>
      </c>
      <c r="F58" s="1236">
        <v>14346423.065178899</v>
      </c>
    </row>
    <row r="59" spans="1:6">
      <c r="A59" s="1235" t="s">
        <v>48</v>
      </c>
      <c r="B59" s="1235" t="s">
        <v>51</v>
      </c>
      <c r="C59" s="1236">
        <v>311</v>
      </c>
      <c r="D59" s="1236">
        <v>12424158.734742699</v>
      </c>
      <c r="E59" s="1236">
        <v>575</v>
      </c>
      <c r="F59" s="1236">
        <v>17869488.0461496</v>
      </c>
    </row>
    <row r="60" spans="1:6">
      <c r="A60" s="1235" t="s">
        <v>48</v>
      </c>
      <c r="B60" s="1235" t="s">
        <v>52</v>
      </c>
      <c r="C60" s="1236">
        <v>155</v>
      </c>
      <c r="D60" s="1236">
        <v>8152652.2689129096</v>
      </c>
      <c r="E60" s="1236">
        <v>192</v>
      </c>
      <c r="F60" s="1236">
        <v>6040055.4563082699</v>
      </c>
    </row>
    <row r="61" spans="1:6">
      <c r="A61" s="1235" t="s">
        <v>48</v>
      </c>
      <c r="B61" s="1235" t="s">
        <v>53</v>
      </c>
      <c r="C61" s="1236">
        <v>345</v>
      </c>
      <c r="D61" s="1236">
        <v>19995571.922706202</v>
      </c>
      <c r="E61" s="1236">
        <v>805</v>
      </c>
      <c r="F61" s="1236">
        <v>23126449.234507699</v>
      </c>
    </row>
    <row r="62" spans="1:6">
      <c r="A62" s="1235" t="s">
        <v>48</v>
      </c>
      <c r="B62" s="1235" t="s">
        <v>54</v>
      </c>
      <c r="C62" s="1236">
        <v>44</v>
      </c>
      <c r="D62" s="1236">
        <v>5385815.77129474</v>
      </c>
      <c r="E62" s="1236">
        <v>42</v>
      </c>
      <c r="F62" s="1236">
        <v>1403303.1033129899</v>
      </c>
    </row>
    <row r="63" spans="1:6">
      <c r="A63" s="1235" t="s">
        <v>48</v>
      </c>
      <c r="B63" s="1235" t="s">
        <v>28</v>
      </c>
      <c r="C63" s="1236">
        <v>237</v>
      </c>
      <c r="D63" s="1236">
        <v>14947005.7948955</v>
      </c>
      <c r="E63" s="1236">
        <v>299</v>
      </c>
      <c r="F63" s="1236">
        <v>11041682.4926425</v>
      </c>
    </row>
    <row r="64" spans="1:6">
      <c r="A64" s="1235" t="s">
        <v>55</v>
      </c>
      <c r="B64" s="1235" t="s">
        <v>56</v>
      </c>
      <c r="C64" s="1236">
        <v>0</v>
      </c>
      <c r="D64" s="1236">
        <v>0</v>
      </c>
      <c r="E64" s="1236">
        <v>0</v>
      </c>
      <c r="F64" s="1236">
        <v>0</v>
      </c>
    </row>
    <row r="65" spans="1:6">
      <c r="A65" s="1235" t="s">
        <v>55</v>
      </c>
      <c r="B65" s="1235" t="s">
        <v>28</v>
      </c>
      <c r="C65" s="1236">
        <v>6</v>
      </c>
      <c r="D65" s="1236">
        <v>12604431.006681601</v>
      </c>
      <c r="E65" s="1236">
        <v>8</v>
      </c>
      <c r="F65" s="1236">
        <v>112451.438294536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16</v>
      </c>
      <c r="F68" s="1238">
        <v>920037.639212835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180015481</v>
      </c>
      <c r="E73" s="443"/>
      <c r="F73" s="324"/>
    </row>
    <row r="74" spans="1:6">
      <c r="A74" s="1235" t="s">
        <v>63</v>
      </c>
      <c r="B74" s="1235" t="s">
        <v>730</v>
      </c>
      <c r="C74" s="1248" t="s">
        <v>731</v>
      </c>
      <c r="D74" s="1236">
        <v>23214869.534725979</v>
      </c>
      <c r="E74" s="443"/>
      <c r="F74" s="324"/>
    </row>
    <row r="75" spans="1:6">
      <c r="A75" s="1235" t="s">
        <v>64</v>
      </c>
      <c r="B75" s="1235" t="s">
        <v>728</v>
      </c>
      <c r="C75" s="1248" t="s">
        <v>732</v>
      </c>
      <c r="D75" s="1236">
        <v>38795871</v>
      </c>
      <c r="E75" s="443"/>
      <c r="F75" s="324"/>
    </row>
    <row r="76" spans="1:6">
      <c r="A76" s="1235" t="s">
        <v>64</v>
      </c>
      <c r="B76" s="1235" t="s">
        <v>730</v>
      </c>
      <c r="C76" s="1248" t="s">
        <v>733</v>
      </c>
      <c r="D76" s="1236">
        <v>2274862.5347259785</v>
      </c>
      <c r="E76" s="443"/>
      <c r="F76" s="324"/>
    </row>
    <row r="77" spans="1:6">
      <c r="A77" s="1235" t="s">
        <v>65</v>
      </c>
      <c r="B77" s="1235" t="s">
        <v>728</v>
      </c>
      <c r="C77" s="1248" t="s">
        <v>734</v>
      </c>
      <c r="D77" s="1236">
        <v>6904678</v>
      </c>
      <c r="E77" s="443"/>
      <c r="F77" s="324"/>
    </row>
    <row r="78" spans="1:6">
      <c r="A78" s="1230" t="s">
        <v>65</v>
      </c>
      <c r="B78" s="1230" t="s">
        <v>730</v>
      </c>
      <c r="C78" s="1230" t="s">
        <v>735</v>
      </c>
      <c r="D78" s="1238">
        <v>1262599</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1094790.930548043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34193.681244038504</v>
      </c>
      <c r="C90" s="324"/>
      <c r="D90" s="324"/>
      <c r="E90" s="324"/>
      <c r="F90" s="324"/>
    </row>
    <row r="91" spans="1:6">
      <c r="A91" s="1235" t="s">
        <v>67</v>
      </c>
      <c r="B91" s="1236">
        <v>3184.8934340309879</v>
      </c>
      <c r="C91" s="324"/>
      <c r="D91" s="324"/>
      <c r="E91" s="324"/>
      <c r="F91" s="324"/>
    </row>
    <row r="92" spans="1:6">
      <c r="A92" s="1230" t="s">
        <v>68</v>
      </c>
      <c r="B92" s="1231">
        <v>4006.5067552476421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7879</v>
      </c>
      <c r="C97" s="324"/>
      <c r="D97" s="324"/>
      <c r="E97" s="324"/>
      <c r="F97" s="324"/>
    </row>
    <row r="98" spans="1:6">
      <c r="A98" s="1235" t="s">
        <v>71</v>
      </c>
      <c r="B98" s="1236">
        <v>2</v>
      </c>
      <c r="C98" s="324"/>
      <c r="D98" s="324"/>
      <c r="E98" s="324"/>
      <c r="F98" s="324"/>
    </row>
    <row r="99" spans="1:6">
      <c r="A99" s="1235" t="s">
        <v>72</v>
      </c>
      <c r="B99" s="1236">
        <v>295</v>
      </c>
      <c r="C99" s="324"/>
      <c r="D99" s="324"/>
      <c r="E99" s="324"/>
      <c r="F99" s="324"/>
    </row>
    <row r="100" spans="1:6">
      <c r="A100" s="1235" t="s">
        <v>73</v>
      </c>
      <c r="B100" s="1236">
        <v>1386</v>
      </c>
      <c r="C100" s="324"/>
      <c r="D100" s="324"/>
      <c r="E100" s="324"/>
      <c r="F100" s="324"/>
    </row>
    <row r="101" spans="1:6">
      <c r="A101" s="1235" t="s">
        <v>74</v>
      </c>
      <c r="B101" s="1236">
        <v>247</v>
      </c>
      <c r="C101" s="324"/>
      <c r="D101" s="324"/>
      <c r="E101" s="324"/>
      <c r="F101" s="324"/>
    </row>
    <row r="102" spans="1:6">
      <c r="A102" s="1235" t="s">
        <v>75</v>
      </c>
      <c r="B102" s="1236">
        <v>262</v>
      </c>
      <c r="C102" s="324"/>
      <c r="D102" s="324"/>
      <c r="E102" s="324"/>
      <c r="F102" s="324"/>
    </row>
    <row r="103" spans="1:6">
      <c r="A103" s="1235" t="s">
        <v>76</v>
      </c>
      <c r="B103" s="1236">
        <v>465</v>
      </c>
      <c r="C103" s="324"/>
      <c r="D103" s="324"/>
      <c r="E103" s="324"/>
      <c r="F103" s="324"/>
    </row>
    <row r="104" spans="1:6">
      <c r="A104" s="1235" t="s">
        <v>77</v>
      </c>
      <c r="B104" s="1236">
        <v>3046</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11</v>
      </c>
      <c r="C123" s="1236">
        <v>11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94</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342293.3780349819</v>
      </c>
      <c r="C3" s="43" t="s">
        <v>163</v>
      </c>
      <c r="D3" s="43"/>
      <c r="E3" s="155"/>
      <c r="F3" s="43"/>
      <c r="G3" s="43"/>
      <c r="H3" s="43"/>
      <c r="I3" s="43"/>
      <c r="J3" s="43"/>
      <c r="K3" s="96"/>
    </row>
    <row r="4" spans="1:11">
      <c r="A4" s="350" t="s">
        <v>164</v>
      </c>
      <c r="B4" s="49">
        <f>IF(ISERROR('SEAP template'!B78+'SEAP template'!C78),0,'SEAP template'!B78+'SEAP template'!C78)</f>
        <v>71161.581433317129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0.17505488243142162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22017.857142857145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3220.174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3220.174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0.17505488243142162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563.70718097872066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55486.689987713864</v>
      </c>
      <c r="C5" s="17">
        <f>IF(ISERROR('Eigen informatie GS &amp; warmtenet'!B57),0,'Eigen informatie GS &amp; warmtenet'!B57)</f>
        <v>0</v>
      </c>
      <c r="D5" s="30">
        <f>(SUM(HH_hh_gas_kWh,HH_rest_gas_kWh)/1000)*0.902</f>
        <v>135323.51977129051</v>
      </c>
      <c r="E5" s="17">
        <f>B32*B41</f>
        <v>2663.832122705503</v>
      </c>
      <c r="F5" s="17">
        <f>B36*B45</f>
        <v>90928.299598921512</v>
      </c>
      <c r="G5" s="18"/>
      <c r="H5" s="17"/>
      <c r="I5" s="17"/>
      <c r="J5" s="17">
        <f>B35*B44+C35*C44</f>
        <v>2047.4747776151687</v>
      </c>
      <c r="K5" s="17"/>
      <c r="L5" s="17"/>
      <c r="M5" s="17"/>
      <c r="N5" s="17">
        <f>B34*B43+C34*C43</f>
        <v>17676.822992981004</v>
      </c>
      <c r="O5" s="17">
        <f>B52*B53*B54</f>
        <v>164.15</v>
      </c>
      <c r="P5" s="17">
        <f>B60*B61*B62/1000-B60*B61*B62/1000/B63</f>
        <v>400.4</v>
      </c>
    </row>
    <row r="6" spans="1:16">
      <c r="A6" s="16" t="s">
        <v>591</v>
      </c>
      <c r="B6" s="727">
        <f>kWh_PV_kleiner_dan_10kW</f>
        <v>3184.8934340309879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58671.58342174485</v>
      </c>
      <c r="C8" s="21">
        <f>C5</f>
        <v>0</v>
      </c>
      <c r="D8" s="21">
        <f>D5</f>
        <v>135323.51977129051</v>
      </c>
      <c r="E8" s="21">
        <f>E5</f>
        <v>2663.832122705503</v>
      </c>
      <c r="F8" s="21">
        <f>F5</f>
        <v>90928.299598921512</v>
      </c>
      <c r="G8" s="21"/>
      <c r="H8" s="21"/>
      <c r="I8" s="21"/>
      <c r="J8" s="21">
        <f>J5</f>
        <v>2047.4747776151687</v>
      </c>
      <c r="K8" s="21"/>
      <c r="L8" s="21">
        <f>L5</f>
        <v>0</v>
      </c>
      <c r="M8" s="21">
        <f>M5</f>
        <v>0</v>
      </c>
      <c r="N8" s="21">
        <f>N5</f>
        <v>17676.822992981004</v>
      </c>
      <c r="O8" s="21">
        <f>O5</f>
        <v>164.15</v>
      </c>
      <c r="P8" s="21">
        <f>P5</f>
        <v>400.4</v>
      </c>
    </row>
    <row r="9" spans="1:16">
      <c r="B9" s="19"/>
      <c r="C9" s="19"/>
      <c r="D9" s="255"/>
      <c r="E9" s="19"/>
      <c r="F9" s="19"/>
      <c r="G9" s="19"/>
      <c r="H9" s="19"/>
      <c r="I9" s="19"/>
      <c r="J9" s="19"/>
      <c r="K9" s="19"/>
      <c r="L9" s="19"/>
      <c r="M9" s="19"/>
      <c r="N9" s="19"/>
      <c r="O9" s="19"/>
      <c r="P9" s="19"/>
    </row>
    <row r="10" spans="1:16">
      <c r="A10" s="24" t="s">
        <v>207</v>
      </c>
      <c r="B10" s="25">
        <f ca="1">'EF ele_warmte'!B12</f>
        <v>0.17505488243142162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10270.74713795889</v>
      </c>
      <c r="C12" s="23">
        <f ca="1">C10*C8</f>
        <v>0</v>
      </c>
      <c r="D12" s="23">
        <f>D8*D10</f>
        <v>27335.350993800683</v>
      </c>
      <c r="E12" s="23">
        <f>E10*E8</f>
        <v>604.68989185414921</v>
      </c>
      <c r="F12" s="23">
        <f>F10*F8</f>
        <v>24277.855992912046</v>
      </c>
      <c r="G12" s="23"/>
      <c r="H12" s="23"/>
      <c r="I12" s="23"/>
      <c r="J12" s="23">
        <f>J10*J8</f>
        <v>724.80607127576968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14846</v>
      </c>
      <c r="C26" s="36"/>
      <c r="D26" s="225"/>
    </row>
    <row r="27" spans="1:5" s="15" customFormat="1">
      <c r="A27" s="227" t="s">
        <v>671</v>
      </c>
      <c r="B27" s="37">
        <f>SUM(HH_hh_gas_aantal,HH_rest_gas_aantal)</f>
        <v>9796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9306.2000000000007</v>
      </c>
      <c r="C31" s="34" t="s">
        <v>104</v>
      </c>
      <c r="D31" s="171"/>
    </row>
    <row r="32" spans="1:5">
      <c r="A32" s="168" t="s">
        <v>72</v>
      </c>
      <c r="B32" s="33">
        <f>IF((B21*($B$26-($B$27-0.05*$B$27)-$B$60))&lt;0,0,B21*($B$26-($B$27-0.05*$B$27)-$B$60))</f>
        <v>39.125911472893023</v>
      </c>
      <c r="C32" s="34" t="s">
        <v>104</v>
      </c>
      <c r="D32" s="171"/>
    </row>
    <row r="33" spans="1:6">
      <c r="A33" s="168" t="s">
        <v>73</v>
      </c>
      <c r="B33" s="33">
        <f>IF((B22*($B$26-($B$27-0.05*$B$27)-$B$60))&lt;0,0,B22*($B$26-($B$27-0.05*$B$27)-$B$60))</f>
        <v>1121.3432995598528</v>
      </c>
      <c r="C33" s="34" t="s">
        <v>104</v>
      </c>
      <c r="D33" s="171"/>
    </row>
    <row r="34" spans="1:6">
      <c r="A34" s="168" t="s">
        <v>74</v>
      </c>
      <c r="B34" s="33">
        <f>IF((B24*($B$26-($B$27-0.05*$B$27)-$B$60))&lt;0,0,B24*($B$26-($B$27-0.05*$B$27)-$B$60))</f>
        <v>223.60770464604957</v>
      </c>
      <c r="C34" s="33">
        <f>B26*C24</f>
        <v>3035.6746682815688</v>
      </c>
      <c r="D34" s="230"/>
    </row>
    <row r="35" spans="1:6">
      <c r="A35" s="168" t="s">
        <v>76</v>
      </c>
      <c r="B35" s="33">
        <f>IF((B19*($B$26-($B$27-0.05*$B$27)-$B$60))&lt;0,0,B19*($B$26-($B$27-0.05*$B$27)-$B$60))</f>
        <v>116.44616509789591</v>
      </c>
      <c r="C35" s="33">
        <f>B35/2</f>
        <v>58.223082548947957</v>
      </c>
      <c r="D35" s="230"/>
    </row>
    <row r="36" spans="1:6">
      <c r="A36" s="168" t="s">
        <v>77</v>
      </c>
      <c r="B36" s="33">
        <f>IF((B18*($B$26-($B$27-0.05*$B$27)-$B$60))&lt;0,0,B18*($B$26-($B$27-0.05*$B$27)-$B$60))</f>
        <v>4018.2769192233081</v>
      </c>
      <c r="C36" s="34" t="s">
        <v>104</v>
      </c>
      <c r="D36" s="171"/>
    </row>
    <row r="37" spans="1:6">
      <c r="A37" s="168" t="s">
        <v>78</v>
      </c>
      <c r="B37" s="33">
        <f>B60</f>
        <v>21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105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78950.504451052184</v>
      </c>
      <c r="C5" s="17">
        <f>IF(ISERROR('Eigen informatie GS &amp; warmtenet'!B58),0,'Eigen informatie GS &amp; warmtenet'!B58)</f>
        <v>0</v>
      </c>
      <c r="D5" s="30">
        <f>SUM(D6:D12)</f>
        <v>79700.202332659581</v>
      </c>
      <c r="E5" s="17">
        <f>SUM(E6:E12)</f>
        <v>1496.1334424790714</v>
      </c>
      <c r="F5" s="17">
        <f>SUM(F6:F12)</f>
        <v>15561.766050180158</v>
      </c>
      <c r="G5" s="18"/>
      <c r="H5" s="17"/>
      <c r="I5" s="17"/>
      <c r="J5" s="17">
        <f>SUM(J6:J12)</f>
        <v>0</v>
      </c>
      <c r="K5" s="17"/>
      <c r="L5" s="17"/>
      <c r="M5" s="17"/>
      <c r="N5" s="17">
        <f>SUM(N6:N12)</f>
        <v>1868.8713855054489</v>
      </c>
      <c r="O5" s="17">
        <f>B38*B39*B40</f>
        <v>3.1266666666666669</v>
      </c>
      <c r="P5" s="17">
        <f>B46*B47*B48/1000-B46*B47*B48/1000/B49</f>
        <v>19.066666666666666</v>
      </c>
      <c r="R5" s="32"/>
    </row>
    <row r="6" spans="1:18">
      <c r="A6" s="32" t="s">
        <v>53</v>
      </c>
      <c r="B6" s="37">
        <f>B26</f>
        <v>23126.449234507698</v>
      </c>
      <c r="C6" s="33"/>
      <c r="D6" s="37">
        <f>IF(ISERROR(TER_kantoor_gas_kWh/1000),0,TER_kantoor_gas_kWh/1000)*0.902</f>
        <v>18036.005874280992</v>
      </c>
      <c r="E6" s="33">
        <f>$C$26*'E Balans VL '!I12/100/3.6*1000000</f>
        <v>799.99038512400557</v>
      </c>
      <c r="F6" s="33">
        <f>$C$26*('E Balans VL '!L12+'E Balans VL '!N12)/100/3.6*1000000</f>
        <v>3530.4980429142324</v>
      </c>
      <c r="G6" s="34"/>
      <c r="H6" s="33"/>
      <c r="I6" s="33"/>
      <c r="J6" s="33">
        <f>$C$26*('E Balans VL '!D12+'E Balans VL '!E12)/100/3.6*1000000</f>
        <v>0</v>
      </c>
      <c r="K6" s="33"/>
      <c r="L6" s="33"/>
      <c r="M6" s="33"/>
      <c r="N6" s="33">
        <f>$C$26*'E Balans VL '!Y12/100/3.6*1000000</f>
        <v>356.50520849943211</v>
      </c>
      <c r="O6" s="33"/>
      <c r="P6" s="33"/>
      <c r="R6" s="32"/>
    </row>
    <row r="7" spans="1:18">
      <c r="A7" s="32" t="s">
        <v>52</v>
      </c>
      <c r="B7" s="37">
        <f t="shared" ref="B7:B12" si="0">B27</f>
        <v>6040.0554563082696</v>
      </c>
      <c r="C7" s="33"/>
      <c r="D7" s="37">
        <f>IF(ISERROR(TER_horeca_gas_kWh/1000),0,TER_horeca_gas_kWh/1000)*0.902</f>
        <v>7353.6923465594446</v>
      </c>
      <c r="E7" s="33">
        <f>$C$27*'E Balans VL '!I9/100/3.6*1000000</f>
        <v>331.0142320856574</v>
      </c>
      <c r="F7" s="33">
        <f>$C$27*('E Balans VL '!L9+'E Balans VL '!N9)/100/3.6*1000000</f>
        <v>1022.179422152858</v>
      </c>
      <c r="G7" s="34"/>
      <c r="H7" s="33"/>
      <c r="I7" s="33"/>
      <c r="J7" s="33">
        <f>$C$27*('E Balans VL '!D9+'E Balans VL '!E9)/100/3.6*1000000</f>
        <v>0</v>
      </c>
      <c r="K7" s="33"/>
      <c r="L7" s="33"/>
      <c r="M7" s="33"/>
      <c r="N7" s="33">
        <f>$C$27*'E Balans VL '!Y9/100/3.6*1000000</f>
        <v>0</v>
      </c>
      <c r="O7" s="33"/>
      <c r="P7" s="33"/>
      <c r="R7" s="32"/>
    </row>
    <row r="8" spans="1:18">
      <c r="A8" s="6" t="s">
        <v>51</v>
      </c>
      <c r="B8" s="37">
        <f t="shared" si="0"/>
        <v>17869.4880461496</v>
      </c>
      <c r="C8" s="33"/>
      <c r="D8" s="37">
        <f>IF(ISERROR(TER_handel_gas_kWh/1000),0,TER_handel_gas_kWh/1000)*0.902</f>
        <v>11206.591178737915</v>
      </c>
      <c r="E8" s="33">
        <f>$C$28*'E Balans VL '!I13/100/3.6*1000000</f>
        <v>90.404791230623559</v>
      </c>
      <c r="F8" s="33">
        <f>$C$28*('E Balans VL '!L13+'E Balans VL '!N13)/100/3.6*1000000</f>
        <v>2715.1289473896286</v>
      </c>
      <c r="G8" s="34"/>
      <c r="H8" s="33"/>
      <c r="I8" s="33"/>
      <c r="J8" s="33">
        <f>$C$28*('E Balans VL '!D13+'E Balans VL '!E13)/100/3.6*1000000</f>
        <v>0</v>
      </c>
      <c r="K8" s="33"/>
      <c r="L8" s="33"/>
      <c r="M8" s="33"/>
      <c r="N8" s="33">
        <f>$C$28*'E Balans VL '!Y13/100/3.6*1000000</f>
        <v>8.3562509637483977</v>
      </c>
      <c r="O8" s="33"/>
      <c r="P8" s="33"/>
      <c r="R8" s="32"/>
    </row>
    <row r="9" spans="1:18">
      <c r="A9" s="32" t="s">
        <v>50</v>
      </c>
      <c r="B9" s="37">
        <f t="shared" si="0"/>
        <v>14346.423065178898</v>
      </c>
      <c r="C9" s="33"/>
      <c r="D9" s="37">
        <f>IF(ISERROR(TER_gezond_gas_kWh/1000),0,TER_gezond_gas_kWh/1000)*0.902</f>
        <v>21763.988639145962</v>
      </c>
      <c r="E9" s="33">
        <f>$C$29*'E Balans VL '!I10/100/3.6*1000000</f>
        <v>5.2170144734625499</v>
      </c>
      <c r="F9" s="33">
        <f>$C$29*('E Balans VL '!L10+'E Balans VL '!N10)/100/3.6*1000000</f>
        <v>3099.87435309894</v>
      </c>
      <c r="G9" s="34"/>
      <c r="H9" s="33"/>
      <c r="I9" s="33"/>
      <c r="J9" s="33">
        <f>$C$29*('E Balans VL '!D10+'E Balans VL '!E10)/100/3.6*1000000</f>
        <v>0</v>
      </c>
      <c r="K9" s="33"/>
      <c r="L9" s="33"/>
      <c r="M9" s="33"/>
      <c r="N9" s="33">
        <f>$C$29*'E Balans VL '!Y10/100/3.6*1000000</f>
        <v>108.77851027036235</v>
      </c>
      <c r="O9" s="33"/>
      <c r="P9" s="33"/>
      <c r="R9" s="32"/>
    </row>
    <row r="10" spans="1:18">
      <c r="A10" s="32" t="s">
        <v>49</v>
      </c>
      <c r="B10" s="37">
        <f t="shared" si="0"/>
        <v>5123.1030529522304</v>
      </c>
      <c r="C10" s="33"/>
      <c r="D10" s="37">
        <f>IF(ISERROR(TER_ander_gas_kWh/1000),0,TER_ander_gas_kWh/1000)*0.902</f>
        <v>2999.7192412316708</v>
      </c>
      <c r="E10" s="33">
        <f>$C$30*'E Balans VL '!I14/100/3.6*1000000</f>
        <v>31.187651748168047</v>
      </c>
      <c r="F10" s="33">
        <f>$C$30*('E Balans VL '!L14+'E Balans VL '!N14)/100/3.6*1000000</f>
        <v>1356.3385979944283</v>
      </c>
      <c r="G10" s="34"/>
      <c r="H10" s="33"/>
      <c r="I10" s="33"/>
      <c r="J10" s="33">
        <f>$C$30*('E Balans VL '!D14+'E Balans VL '!E14)/100/3.6*1000000</f>
        <v>0</v>
      </c>
      <c r="K10" s="33"/>
      <c r="L10" s="33"/>
      <c r="M10" s="33"/>
      <c r="N10" s="33">
        <f>$C$30*'E Balans VL '!Y14/100/3.6*1000000</f>
        <v>1067.0095047140621</v>
      </c>
      <c r="O10" s="33"/>
      <c r="P10" s="33"/>
      <c r="R10" s="32"/>
    </row>
    <row r="11" spans="1:18">
      <c r="A11" s="32" t="s">
        <v>54</v>
      </c>
      <c r="B11" s="37">
        <f t="shared" si="0"/>
        <v>1403.3031033129898</v>
      </c>
      <c r="C11" s="33"/>
      <c r="D11" s="37">
        <f>IF(ISERROR(TER_onderwijs_gas_kWh/1000),0,TER_onderwijs_gas_kWh/1000)*0.902</f>
        <v>4858.0058257078563</v>
      </c>
      <c r="E11" s="33">
        <f>$C$31*'E Balans VL '!I11/100/3.6*1000000</f>
        <v>1.7416206491519006</v>
      </c>
      <c r="F11" s="33">
        <f>$C$31*('E Balans VL '!L11+'E Balans VL '!N11)/100/3.6*1000000</f>
        <v>1653.8661795110172</v>
      </c>
      <c r="G11" s="34"/>
      <c r="H11" s="33"/>
      <c r="I11" s="33"/>
      <c r="J11" s="33">
        <f>$C$31*('E Balans VL '!D11+'E Balans VL '!E11)/100/3.6*1000000</f>
        <v>0</v>
      </c>
      <c r="K11" s="33"/>
      <c r="L11" s="33"/>
      <c r="M11" s="33"/>
      <c r="N11" s="33">
        <f>$C$31*'E Balans VL '!Y11/100/3.6*1000000</f>
        <v>6.735723831963127</v>
      </c>
      <c r="O11" s="33"/>
      <c r="P11" s="33"/>
      <c r="R11" s="32"/>
    </row>
    <row r="12" spans="1:18">
      <c r="A12" s="32" t="s">
        <v>249</v>
      </c>
      <c r="B12" s="37">
        <f t="shared" si="0"/>
        <v>11041.6824926425</v>
      </c>
      <c r="C12" s="33"/>
      <c r="D12" s="37">
        <f>IF(ISERROR(TER_rest_gas_kWh/1000),0,TER_rest_gas_kWh/1000)*0.902</f>
        <v>13482.199226995741</v>
      </c>
      <c r="E12" s="33">
        <f>$C$32*'E Balans VL '!I8/100/3.6*1000000</f>
        <v>236.57774716800262</v>
      </c>
      <c r="F12" s="33">
        <f>$C$32*('E Balans VL '!L8+'E Balans VL '!N8)/100/3.6*1000000</f>
        <v>2183.8805071190541</v>
      </c>
      <c r="G12" s="34"/>
      <c r="H12" s="33"/>
      <c r="I12" s="33"/>
      <c r="J12" s="33">
        <f>$C$32*('E Balans VL '!D8+'E Balans VL '!E8)/100/3.6*1000000</f>
        <v>0</v>
      </c>
      <c r="K12" s="33"/>
      <c r="L12" s="33"/>
      <c r="M12" s="33"/>
      <c r="N12" s="33">
        <f>$C$32*'E Balans VL '!Y8/100/3.6*1000000</f>
        <v>321.48618722588088</v>
      </c>
      <c r="O12" s="33"/>
      <c r="P12" s="33"/>
      <c r="R12" s="32"/>
    </row>
    <row r="13" spans="1:18">
      <c r="A13" s="16" t="s">
        <v>483</v>
      </c>
      <c r="B13" s="243">
        <f ca="1">'lokale energieproductie'!N39+'lokale energieproductie'!N32</f>
        <v>20394</v>
      </c>
      <c r="C13" s="243">
        <f ca="1">'lokale energieproductie'!O39+'lokale energieproductie'!O32</f>
        <v>8614.2857142857138</v>
      </c>
      <c r="D13" s="302">
        <f ca="1">('lokale energieproductie'!P32+'lokale energieproductie'!P39)*(-1)</f>
        <v>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-53138.571428571435</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99344.504451052184</v>
      </c>
      <c r="C16" s="21">
        <f ca="1">C5+C13+C14</f>
        <v>8614.2857142857138</v>
      </c>
      <c r="D16" s="21">
        <f t="shared" ref="D16:N16" ca="1" si="1">MAX((D5+D13+D14),0)</f>
        <v>79700.202332659581</v>
      </c>
      <c r="E16" s="21">
        <f t="shared" si="1"/>
        <v>1496.1334424790714</v>
      </c>
      <c r="F16" s="21">
        <f t="shared" ca="1" si="1"/>
        <v>15561.766050180158</v>
      </c>
      <c r="G16" s="21">
        <f t="shared" si="1"/>
        <v>0</v>
      </c>
      <c r="H16" s="21">
        <f t="shared" si="1"/>
        <v>0</v>
      </c>
      <c r="I16" s="21">
        <f t="shared" si="1"/>
        <v>0</v>
      </c>
      <c r="J16" s="21">
        <f t="shared" si="1"/>
        <v>0</v>
      </c>
      <c r="K16" s="21">
        <f t="shared" si="1"/>
        <v>0</v>
      </c>
      <c r="L16" s="21">
        <f t="shared" ca="1" si="1"/>
        <v>0</v>
      </c>
      <c r="M16" s="21">
        <f t="shared" si="1"/>
        <v>0</v>
      </c>
      <c r="N16" s="21">
        <f t="shared" ca="1" si="1"/>
        <v>0</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0.17505488243142162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17390.74054688678</v>
      </c>
      <c r="C20" s="23">
        <f t="shared" ref="C20:P20" ca="1" si="2">C16*C18</f>
        <v>0</v>
      </c>
      <c r="D20" s="23">
        <f t="shared" ca="1" si="2"/>
        <v>16099.440871197236</v>
      </c>
      <c r="E20" s="23">
        <f t="shared" si="2"/>
        <v>339.6222914427492</v>
      </c>
      <c r="F20" s="23">
        <f t="shared" ca="1" si="2"/>
        <v>4154.9915353981023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23126.449234507698</v>
      </c>
      <c r="C26" s="39">
        <f>IF(ISERROR(B26*3.6/1000000/'E Balans VL '!Z12*100),0,B26*3.6/1000000/'E Balans VL '!Z12*100)</f>
        <v>0.48093083173435924</v>
      </c>
      <c r="D26" s="233" t="s">
        <v>676</v>
      </c>
      <c r="F26" s="6"/>
    </row>
    <row r="27" spans="1:18">
      <c r="A27" s="228" t="s">
        <v>52</v>
      </c>
      <c r="B27" s="33">
        <f>IF(ISERROR(TER_horeca_ele_kWh/1000),0,TER_horeca_ele_kWh/1000)</f>
        <v>6040.0554563082696</v>
      </c>
      <c r="C27" s="39">
        <f>IF(ISERROR(B27*3.6/1000000/'E Balans VL '!Z9*100),0,B27*3.6/1000000/'E Balans VL '!Z9*100)</f>
        <v>0.4967988476060935</v>
      </c>
      <c r="D27" s="233" t="s">
        <v>676</v>
      </c>
      <c r="F27" s="6"/>
    </row>
    <row r="28" spans="1:18">
      <c r="A28" s="168" t="s">
        <v>51</v>
      </c>
      <c r="B28" s="33">
        <f>IF(ISERROR(TER_handel_ele_kWh/1000),0,TER_handel_ele_kWh/1000)</f>
        <v>17869.4880461496</v>
      </c>
      <c r="C28" s="39">
        <f>IF(ISERROR(B28*3.6/1000000/'E Balans VL '!Z13*100),0,B28*3.6/1000000/'E Balans VL '!Z13*100)</f>
        <v>0.4946239357261773</v>
      </c>
      <c r="D28" s="233" t="s">
        <v>676</v>
      </c>
      <c r="F28" s="6"/>
    </row>
    <row r="29" spans="1:18">
      <c r="A29" s="228" t="s">
        <v>50</v>
      </c>
      <c r="B29" s="33">
        <f>IF(ISERROR(TER_gezond_ele_kWh/1000),0,TER_gezond_ele_kWh/1000)</f>
        <v>14346.423065178898</v>
      </c>
      <c r="C29" s="39">
        <f>IF(ISERROR(B29*3.6/1000000/'E Balans VL '!Z10*100),0,B29*3.6/1000000/'E Balans VL '!Z10*100)</f>
        <v>1.636105418882132</v>
      </c>
      <c r="D29" s="233" t="s">
        <v>676</v>
      </c>
      <c r="F29" s="6"/>
    </row>
    <row r="30" spans="1:18">
      <c r="A30" s="228" t="s">
        <v>49</v>
      </c>
      <c r="B30" s="33">
        <f>IF(ISERROR(TER_ander_ele_kWh/1000),0,TER_ander_ele_kWh/1000)</f>
        <v>5123.1030529522304</v>
      </c>
      <c r="C30" s="39">
        <f>IF(ISERROR(B30*3.6/1000000/'E Balans VL '!Z14*100),0,B30*3.6/1000000/'E Balans VL '!Z14*100)</f>
        <v>0.39654207284679949</v>
      </c>
      <c r="D30" s="233" t="s">
        <v>676</v>
      </c>
      <c r="F30" s="6"/>
    </row>
    <row r="31" spans="1:18">
      <c r="A31" s="228" t="s">
        <v>54</v>
      </c>
      <c r="B31" s="33">
        <f>IF(ISERROR(TER_onderwijs_ele_kWh/1000),0,TER_onderwijs_ele_kWh/1000)</f>
        <v>1403.3031033129898</v>
      </c>
      <c r="C31" s="39">
        <f>IF(ISERROR(B31*3.6/1000000/'E Balans VL '!Z11*100),0,B31*3.6/1000000/'E Balans VL '!Z11*100)</f>
        <v>0.43724270249679498</v>
      </c>
      <c r="D31" s="233" t="s">
        <v>676</v>
      </c>
    </row>
    <row r="32" spans="1:18">
      <c r="A32" s="228" t="s">
        <v>249</v>
      </c>
      <c r="B32" s="33">
        <f>IF(ISERROR(TER_rest_ele_kWh/1000),0,TER_rest_ele_kWh/1000)</f>
        <v>11041.6824926425</v>
      </c>
      <c r="C32" s="39">
        <f>IF(ISERROR(B32*3.6/1000000/'E Balans VL '!Z8*100),0,B32*3.6/1000000/'E Balans VL '!Z8*100)</f>
        <v>9.1050593860152268E-2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166606.73884490249</v>
      </c>
      <c r="C5" s="17">
        <f>IF(ISERROR('Eigen informatie GS &amp; warmtenet'!B59),0,'Eigen informatie GS &amp; warmtenet'!B59)</f>
        <v>0</v>
      </c>
      <c r="D5" s="30">
        <f>SUM(D6:D15)</f>
        <v>235990.00479420449</v>
      </c>
      <c r="E5" s="17">
        <f>SUM(E6:E15)</f>
        <v>1414.8450413865783</v>
      </c>
      <c r="F5" s="17">
        <f>SUM(F6:F15)</f>
        <v>33550.779321908776</v>
      </c>
      <c r="G5" s="18"/>
      <c r="H5" s="17"/>
      <c r="I5" s="17"/>
      <c r="J5" s="17">
        <f>SUM(J6:J15)</f>
        <v>1524.6218848505193</v>
      </c>
      <c r="K5" s="17"/>
      <c r="L5" s="17"/>
      <c r="M5" s="17"/>
      <c r="N5" s="17">
        <f>SUM(N6:N15)</f>
        <v>2873.8251479710525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47559.757656471702</v>
      </c>
      <c r="C8" s="33"/>
      <c r="D8" s="37">
        <f>IF( ISERROR(IND_metaal_Gas_kWH/1000),0,IND_metaal_Gas_kWH/1000)*0.902</f>
        <v>23478.345216198151</v>
      </c>
      <c r="E8" s="33">
        <f>C30*'E Balans VL '!I18/100/3.6*1000000</f>
        <v>334.19192346749145</v>
      </c>
      <c r="F8" s="33">
        <f>C30*'E Balans VL '!L18/100/3.6*1000000+C30*'E Balans VL '!N18/100/3.6*1000000</f>
        <v>5221.783138710367</v>
      </c>
      <c r="G8" s="34"/>
      <c r="H8" s="33"/>
      <c r="I8" s="33"/>
      <c r="J8" s="40">
        <f>C30*'E Balans VL '!D18/100/3.6*1000000+C30*'E Balans VL '!E18/100/3.6*1000000</f>
        <v>981.26031036336155</v>
      </c>
      <c r="K8" s="33"/>
      <c r="L8" s="33"/>
      <c r="M8" s="33"/>
      <c r="N8" s="33">
        <f>C30*'E Balans VL '!Y18/100/3.6*1000000</f>
        <v>178.25739694652839</v>
      </c>
      <c r="O8" s="33"/>
      <c r="P8" s="33"/>
      <c r="R8" s="32"/>
    </row>
    <row r="9" spans="1:18">
      <c r="A9" s="6" t="s">
        <v>32</v>
      </c>
      <c r="B9" s="37">
        <f t="shared" si="0"/>
        <v>15189.4469499349</v>
      </c>
      <c r="C9" s="33"/>
      <c r="D9" s="37">
        <f>IF( ISERROR(IND_andere_gas_kWh/1000),0,IND_andere_gas_kWh/1000)*0.902</f>
        <v>1691.4323722588094</v>
      </c>
      <c r="E9" s="33">
        <f>C31*'E Balans VL '!I19/100/3.6*1000000</f>
        <v>255.12536919078002</v>
      </c>
      <c r="F9" s="33">
        <f>C31*'E Balans VL '!L19/100/3.6*1000000+C31*'E Balans VL '!N19/100/3.6*1000000</f>
        <v>11874.244499157719</v>
      </c>
      <c r="G9" s="34"/>
      <c r="H9" s="33"/>
      <c r="I9" s="33"/>
      <c r="J9" s="40">
        <f>C31*'E Balans VL '!D19/100/3.6*1000000+C31*'E Balans VL '!E19/100/3.6*1000000</f>
        <v>1.3699540317892747</v>
      </c>
      <c r="K9" s="33"/>
      <c r="L9" s="33"/>
      <c r="M9" s="33"/>
      <c r="N9" s="33">
        <f>C31*'E Balans VL '!Y19/100/3.6*1000000</f>
        <v>1125.7817122124022</v>
      </c>
      <c r="O9" s="33"/>
      <c r="P9" s="33"/>
      <c r="R9" s="32"/>
    </row>
    <row r="10" spans="1:18">
      <c r="A10" s="6" t="s">
        <v>40</v>
      </c>
      <c r="B10" s="37">
        <f t="shared" si="0"/>
        <v>7388.7479980545295</v>
      </c>
      <c r="C10" s="33"/>
      <c r="D10" s="37">
        <f>IF( ISERROR(IND_voed_gas_kWh/1000),0,IND_voed_gas_kWh/1000)*0.902</f>
        <v>8062.056497715078</v>
      </c>
      <c r="E10" s="33">
        <f>C32*'E Balans VL '!I20/100/3.6*1000000</f>
        <v>67.411866340166554</v>
      </c>
      <c r="F10" s="33">
        <f>C32*'E Balans VL '!L20/100/3.6*1000000+C32*'E Balans VL '!N20/100/3.6*1000000</f>
        <v>1192.0361585987509</v>
      </c>
      <c r="G10" s="34"/>
      <c r="H10" s="33"/>
      <c r="I10" s="33"/>
      <c r="J10" s="40">
        <f>C32*'E Balans VL '!D20/100/3.6*1000000+C32*'E Balans VL '!E20/100/3.6*1000000</f>
        <v>30.431708553664699</v>
      </c>
      <c r="K10" s="33"/>
      <c r="L10" s="33"/>
      <c r="M10" s="33"/>
      <c r="N10" s="33">
        <f>C32*'E Balans VL '!Y20/100/3.6*1000000</f>
        <v>108.09155702022302</v>
      </c>
      <c r="O10" s="33"/>
      <c r="P10" s="33"/>
      <c r="R10" s="32"/>
    </row>
    <row r="11" spans="1:18">
      <c r="A11" s="6" t="s">
        <v>39</v>
      </c>
      <c r="B11" s="37">
        <f t="shared" si="0"/>
        <v>233.80405450071601</v>
      </c>
      <c r="C11" s="33"/>
      <c r="D11" s="37">
        <f>IF( ISERROR(IND_textiel_gas_kWh/1000),0,IND_textiel_gas_kWh/1000)*0.902</f>
        <v>349.74994834314555</v>
      </c>
      <c r="E11" s="33">
        <f>C33*'E Balans VL '!I21/100/3.6*1000000</f>
        <v>0.53326367951826648</v>
      </c>
      <c r="F11" s="33">
        <f>C33*'E Balans VL '!L21/100/3.6*1000000+C33*'E Balans VL '!N21/100/3.6*1000000</f>
        <v>4.9977785172364042</v>
      </c>
      <c r="G11" s="34"/>
      <c r="H11" s="33"/>
      <c r="I11" s="33"/>
      <c r="J11" s="40">
        <f>C33*'E Balans VL '!D21/100/3.6*1000000+C33*'E Balans VL '!E21/100/3.6*1000000</f>
        <v>0</v>
      </c>
      <c r="K11" s="33"/>
      <c r="L11" s="33"/>
      <c r="M11" s="33"/>
      <c r="N11" s="33">
        <f>C33*'E Balans VL '!Y21/100/3.6*1000000</f>
        <v>1.6585744202292729</v>
      </c>
      <c r="O11" s="33"/>
      <c r="P11" s="33"/>
      <c r="R11" s="32"/>
    </row>
    <row r="12" spans="1:18">
      <c r="A12" s="6" t="s">
        <v>36</v>
      </c>
      <c r="B12" s="37">
        <f t="shared" si="0"/>
        <v>104.366506493798</v>
      </c>
      <c r="C12" s="33"/>
      <c r="D12" s="37">
        <f>IF( ISERROR(IND_min_gas_kWh/1000),0,IND_min_gas_kWh/1000)*0.902</f>
        <v>240.09616301110674</v>
      </c>
      <c r="E12" s="33">
        <f>C34*'E Balans VL '!I22/100/3.6*1000000</f>
        <v>2.5886286616013705</v>
      </c>
      <c r="F12" s="33">
        <f>C34*'E Balans VL '!L22/100/3.6*1000000+C34*'E Balans VL '!N22/100/3.6*1000000</f>
        <v>11.089940623875417</v>
      </c>
      <c r="G12" s="34"/>
      <c r="H12" s="33"/>
      <c r="I12" s="33"/>
      <c r="J12" s="40">
        <f>C34*'E Balans VL '!D22/100/3.6*1000000+C34*'E Balans VL '!E22/100/3.6*1000000</f>
        <v>0.59286299520595331</v>
      </c>
      <c r="K12" s="33"/>
      <c r="L12" s="33"/>
      <c r="M12" s="33"/>
      <c r="N12" s="33">
        <f>C34*'E Balans VL '!Y22/100/3.6*1000000</f>
        <v>0</v>
      </c>
      <c r="O12" s="33"/>
      <c r="P12" s="33"/>
      <c r="R12" s="32"/>
    </row>
    <row r="13" spans="1:18">
      <c r="A13" s="6" t="s">
        <v>38</v>
      </c>
      <c r="B13" s="37">
        <f t="shared" si="0"/>
        <v>54.7069042863411</v>
      </c>
      <c r="C13" s="33"/>
      <c r="D13" s="37">
        <f>IF( ISERROR(IND_papier_gas_kWh/1000),0,IND_papier_gas_kWh/1000)*0.902</f>
        <v>33.217254007446442</v>
      </c>
      <c r="E13" s="33">
        <f>C35*'E Balans VL '!I23/100/3.6*1000000</f>
        <v>1.6831886725861875</v>
      </c>
      <c r="F13" s="33">
        <f>C35*'E Balans VL '!L23/100/3.6*1000000+C35*'E Balans VL '!N23/100/3.6*1000000</f>
        <v>11.616187673335801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20189.9262820724</v>
      </c>
      <c r="C14" s="33"/>
      <c r="D14" s="37">
        <f>IF( ISERROR(IND_chemie_gas_kWh/1000),0,IND_chemie_gas_kWh/1000)*0.902</f>
        <v>4683.105470881369</v>
      </c>
      <c r="E14" s="33">
        <f>C36*'E Balans VL '!I24/100/3.6*1000000</f>
        <v>68.457756245019951</v>
      </c>
      <c r="F14" s="33">
        <f>C36*'E Balans VL '!L24/100/3.6*1000000+C36*'E Balans VL '!N24/100/3.6*1000000</f>
        <v>64.794365177449109</v>
      </c>
      <c r="G14" s="34"/>
      <c r="H14" s="33"/>
      <c r="I14" s="33"/>
      <c r="J14" s="40">
        <f>C36*'E Balans VL '!D24/100/3.6*1000000+C36*'E Balans VL '!E24/100/3.6*1000000</f>
        <v>0</v>
      </c>
      <c r="K14" s="33"/>
      <c r="L14" s="33"/>
      <c r="M14" s="33"/>
      <c r="N14" s="33">
        <f>C36*'E Balans VL '!Y24/100/3.6*1000000</f>
        <v>94.402623727594161</v>
      </c>
      <c r="O14" s="33"/>
      <c r="P14" s="33"/>
      <c r="R14" s="32"/>
    </row>
    <row r="15" spans="1:18">
      <c r="A15" s="6" t="s">
        <v>259</v>
      </c>
      <c r="B15" s="37">
        <f t="shared" si="0"/>
        <v>75885.9824930881</v>
      </c>
      <c r="C15" s="33"/>
      <c r="D15" s="37">
        <f>IF( ISERROR(IND_rest_gas_kWh/1000),0,IND_rest_gas_kWh/1000)*0.902</f>
        <v>197452.0018717894</v>
      </c>
      <c r="E15" s="33">
        <f>C37*'E Balans VL '!I15/100/3.6*1000000</f>
        <v>684.85304512941445</v>
      </c>
      <c r="F15" s="33">
        <f>C37*'E Balans VL '!L15/100/3.6*1000000+C37*'E Balans VL '!N15/100/3.6*1000000</f>
        <v>15170.217253450046</v>
      </c>
      <c r="G15" s="34"/>
      <c r="H15" s="33"/>
      <c r="I15" s="33"/>
      <c r="J15" s="40">
        <f>C37*'E Balans VL '!D15/100/3.6*1000000+C37*'E Balans VL '!E15/100/3.6*1000000</f>
        <v>510.96704890649795</v>
      </c>
      <c r="K15" s="33"/>
      <c r="L15" s="33"/>
      <c r="M15" s="33"/>
      <c r="N15" s="33">
        <f>C37*'E Balans VL '!Y15/100/3.6*1000000</f>
        <v>1365.6332836440756</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166606.73884490249</v>
      </c>
      <c r="C18" s="21">
        <f>C5+C16</f>
        <v>0</v>
      </c>
      <c r="D18" s="21">
        <f>MAX((D5+D16),0)</f>
        <v>235990.00479420449</v>
      </c>
      <c r="E18" s="21">
        <f>MAX((E5+E16),0)</f>
        <v>1414.8450413865783</v>
      </c>
      <c r="F18" s="21">
        <f>MAX((F5+F16),0)</f>
        <v>33550.779321908776</v>
      </c>
      <c r="G18" s="21"/>
      <c r="H18" s="21"/>
      <c r="I18" s="21"/>
      <c r="J18" s="21">
        <f>MAX((J5+J16),0)</f>
        <v>1524.6218848505193</v>
      </c>
      <c r="K18" s="21"/>
      <c r="L18" s="21">
        <f>MAX((L5+L16),0)</f>
        <v>0</v>
      </c>
      <c r="M18" s="21"/>
      <c r="N18" s="21">
        <f>MAX((N5+N16),0)</f>
        <v>2873.8251479710525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0.17505488243142162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29165.323080776969</v>
      </c>
      <c r="C22" s="23">
        <f ca="1">C18*C20</f>
        <v>0</v>
      </c>
      <c r="D22" s="23">
        <f>D18*D20</f>
        <v>47669.980968429307</v>
      </c>
      <c r="E22" s="23">
        <f>E18*E20</f>
        <v>321.16982439475328</v>
      </c>
      <c r="F22" s="23">
        <f>F18*F20</f>
        <v>8958.0580789496435</v>
      </c>
      <c r="G22" s="23"/>
      <c r="H22" s="23"/>
      <c r="I22" s="23"/>
      <c r="J22" s="23">
        <f>J18*J20</f>
        <v>539.71614723708376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47559.757656471702</v>
      </c>
      <c r="C30" s="39">
        <f>IF(ISERROR(B30*3.6/1000000/'E Balans VL '!Z18*100),0,B30*3.6/1000000/'E Balans VL '!Z18*100)</f>
        <v>3.1660821096130496</v>
      </c>
      <c r="D30" s="233" t="s">
        <v>676</v>
      </c>
    </row>
    <row r="31" spans="1:18">
      <c r="A31" s="6" t="s">
        <v>32</v>
      </c>
      <c r="B31" s="37">
        <f>IF( ISERROR(IND_ander_ele_kWh/1000),0,IND_ander_ele_kWh/1000)</f>
        <v>15189.4469499349</v>
      </c>
      <c r="C31" s="39">
        <f>IF(ISERROR(B31*3.6/1000000/'E Balans VL '!Z19*100),0,B31*3.6/1000000/'E Balans VL '!Z19*100)</f>
        <v>0.67328798831964343</v>
      </c>
      <c r="D31" s="233" t="s">
        <v>676</v>
      </c>
    </row>
    <row r="32" spans="1:18">
      <c r="A32" s="168" t="s">
        <v>40</v>
      </c>
      <c r="B32" s="37">
        <f>IF( ISERROR(IND_voed_ele_kWh/1000),0,IND_voed_ele_kWh/1000)</f>
        <v>7388.7479980545295</v>
      </c>
      <c r="C32" s="39">
        <f>IF(ISERROR(B32*3.6/1000000/'E Balans VL '!Z20*100),0,B32*3.6/1000000/'E Balans VL '!Z20*100)</f>
        <v>0.24680537870978422</v>
      </c>
      <c r="D32" s="233" t="s">
        <v>676</v>
      </c>
    </row>
    <row r="33" spans="1:5">
      <c r="A33" s="168" t="s">
        <v>39</v>
      </c>
      <c r="B33" s="37">
        <f>IF( ISERROR(IND_textiel_ele_kWh/1000),0,IND_textiel_ele_kWh/1000)</f>
        <v>233.80405450071601</v>
      </c>
      <c r="C33" s="39">
        <f>IF(ISERROR(B33*3.6/1000000/'E Balans VL '!Z21*100),0,B33*3.6/1000000/'E Balans VL '!Z21*100)</f>
        <v>3.0780842936516051E-2</v>
      </c>
      <c r="D33" s="233" t="s">
        <v>676</v>
      </c>
    </row>
    <row r="34" spans="1:5">
      <c r="A34" s="168" t="s">
        <v>36</v>
      </c>
      <c r="B34" s="37">
        <f>IF( ISERROR(IND_min_ele_kWh/1000),0,IND_min_ele_kWh/1000)</f>
        <v>104.366506493798</v>
      </c>
      <c r="C34" s="39">
        <f>IF(ISERROR(B34*3.6/1000000/'E Balans VL '!Z22*100),0,B34*3.6/1000000/'E Balans VL '!Z22*100)</f>
        <v>2.0298139112135245E-2</v>
      </c>
      <c r="D34" s="233" t="s">
        <v>676</v>
      </c>
    </row>
    <row r="35" spans="1:5">
      <c r="A35" s="168" t="s">
        <v>38</v>
      </c>
      <c r="B35" s="37">
        <f>IF( ISERROR(IND_papier_ele_kWh/1000),0,IND_papier_ele_kWh/1000)</f>
        <v>54.7069042863411</v>
      </c>
      <c r="C35" s="39">
        <f>IF(ISERROR(B35*3.6/1000000/'E Balans VL '!Z22*100),0,B35*3.6/1000000/'E Balans VL '!Z22*100)</f>
        <v>1.0639891962508186E-2</v>
      </c>
      <c r="D35" s="233" t="s">
        <v>676</v>
      </c>
    </row>
    <row r="36" spans="1:5">
      <c r="A36" s="168" t="s">
        <v>33</v>
      </c>
      <c r="B36" s="37">
        <f>IF( ISERROR(IND_chemie_ele_kWh/1000),0,IND_chemie_ele_kWh/1000)</f>
        <v>20189.9262820724</v>
      </c>
      <c r="C36" s="39">
        <f>IF(ISERROR(B36*3.6/1000000/'E Balans VL '!Z24*100),0,B36*3.6/1000000/'E Balans VL '!Z24*100)</f>
        <v>0.47411384861808603</v>
      </c>
      <c r="D36" s="233" t="s">
        <v>676</v>
      </c>
    </row>
    <row r="37" spans="1:5">
      <c r="A37" s="168" t="s">
        <v>259</v>
      </c>
      <c r="B37" s="37">
        <f>IF( ISERROR(IND_rest_ele_kWh/1000),0,IND_rest_ele_kWh/1000)</f>
        <v>75885.9824930881</v>
      </c>
      <c r="C37" s="39">
        <f>IF(ISERROR(B37*3.6/1000000/'E Balans VL '!Z15*100),0,B37*3.6/1000000/'E Balans VL '!Z15*100)</f>
        <v>0.56446808090797662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9796.912704136379</v>
      </c>
      <c r="C5" s="17">
        <f>'Eigen informatie GS &amp; warmtenet'!B60</f>
        <v>0</v>
      </c>
      <c r="D5" s="30">
        <f>IF(ISERROR(SUM(LB_lb_gas_kWh,LB_rest_gas_kWh)/1000),0,SUM(LB_lb_gas_kWh,LB_rest_gas_kWh)/1000)*0.902</f>
        <v>587.23872183432695</v>
      </c>
      <c r="E5" s="17">
        <f>B17*'E Balans VL '!I25/3.6*1000000/100</f>
        <v>88.282614650830624</v>
      </c>
      <c r="F5" s="17">
        <f>B17*('E Balans VL '!L25/3.6*1000000+'E Balans VL '!N25/3.6*1000000)/100</f>
        <v>36709.330698342237</v>
      </c>
      <c r="G5" s="18"/>
      <c r="H5" s="17"/>
      <c r="I5" s="17"/>
      <c r="J5" s="17">
        <f>('E Balans VL '!D25+'E Balans VL '!E25)/3.6*1000000*landbouw!B17/100</f>
        <v>991.40704675907739</v>
      </c>
      <c r="K5" s="17"/>
      <c r="L5" s="17">
        <f>L6*(-1)</f>
        <v>0</v>
      </c>
      <c r="M5" s="17"/>
      <c r="N5" s="17">
        <f>N6*(-1)</f>
        <v>26807.142857142859</v>
      </c>
      <c r="O5" s="17"/>
      <c r="P5" s="17"/>
      <c r="R5" s="32"/>
    </row>
    <row r="6" spans="1:18">
      <c r="A6" s="16" t="s">
        <v>483</v>
      </c>
      <c r="B6" s="17" t="s">
        <v>204</v>
      </c>
      <c r="C6" s="17">
        <f>'lokale energieproductie'!O40+'lokale energieproductie'!O33</f>
        <v>13403.571428571429</v>
      </c>
      <c r="D6" s="302">
        <f>('lokale energieproductie'!P33+'lokale energieproductie'!P40)*(-1)</f>
        <v>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-26807.142857142859</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9796.912704136379</v>
      </c>
      <c r="C8" s="21">
        <f>C5+C6</f>
        <v>13403.571428571429</v>
      </c>
      <c r="D8" s="21">
        <f>MAX((D5+D6),0)</f>
        <v>587.23872183432695</v>
      </c>
      <c r="E8" s="21">
        <f>MAX((E5+E6),0)</f>
        <v>88.282614650830624</v>
      </c>
      <c r="F8" s="21">
        <f>MAX((F5+F6),0)</f>
        <v>36709.330698342237</v>
      </c>
      <c r="G8" s="21"/>
      <c r="H8" s="21"/>
      <c r="I8" s="21"/>
      <c r="J8" s="21">
        <f>MAX((J5+J6),0)</f>
        <v>991.40704675907739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0.17505488243142162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1714.9974016134947</v>
      </c>
      <c r="C12" s="23">
        <f ca="1">C8*C10</f>
        <v>0</v>
      </c>
      <c r="D12" s="23">
        <f>D8*D10</f>
        <v>118.62222181053406</v>
      </c>
      <c r="E12" s="23">
        <f>E8*E10</f>
        <v>20.040153525738553</v>
      </c>
      <c r="F12" s="23">
        <f>F8*F10</f>
        <v>9801.3912964573774</v>
      </c>
      <c r="G12" s="23"/>
      <c r="H12" s="23"/>
      <c r="I12" s="23"/>
      <c r="J12" s="23">
        <f>J8*J10</f>
        <v>350.95809455271336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1.5079339805300023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1307.1180332268036</v>
      </c>
      <c r="C26" s="243">
        <f>B26*'GWP N2O_CH4'!B5</f>
        <v>27449.478697762876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911.49694614600412</v>
      </c>
      <c r="C27" s="243">
        <f>B27*'GWP N2O_CH4'!B5</f>
        <v>19141.435869066088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21.148488531960943</v>
      </c>
      <c r="C28" s="243">
        <f>B28*'GWP N2O_CH4'!B4</f>
        <v>6556.0314449078924</v>
      </c>
      <c r="D28" s="50"/>
    </row>
    <row r="29" spans="1:4">
      <c r="A29" s="41" t="s">
        <v>266</v>
      </c>
      <c r="B29" s="243">
        <f>B34*'ha_N2O bodem landbouw'!B4</f>
        <v>52.618823264177422</v>
      </c>
      <c r="C29" s="243">
        <f>B29*'GWP N2O_CH4'!B4</f>
        <v>16311.835211895001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1.3661478437226785E-2</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9.1338773234368724E-6</v>
      </c>
      <c r="C5" s="431" t="s">
        <v>204</v>
      </c>
      <c r="D5" s="416">
        <f>SUM(D6:D11)</f>
        <v>3.0304143176613306E-5</v>
      </c>
      <c r="E5" s="416">
        <f>SUM(E6:E11)</f>
        <v>3.1194514582575266E-3</v>
      </c>
      <c r="F5" s="429" t="s">
        <v>204</v>
      </c>
      <c r="G5" s="416">
        <f>SUM(G6:G11)</f>
        <v>0.66895307373853385</v>
      </c>
      <c r="H5" s="416">
        <f>SUM(H6:H11)</f>
        <v>0.10418705424205356</v>
      </c>
      <c r="I5" s="431" t="s">
        <v>204</v>
      </c>
      <c r="J5" s="431" t="s">
        <v>204</v>
      </c>
      <c r="K5" s="431" t="s">
        <v>204</v>
      </c>
      <c r="L5" s="431" t="s">
        <v>204</v>
      </c>
      <c r="M5" s="416">
        <f>SUM(M6:M11)</f>
        <v>3.3613163060644678E-2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6.8408581872228773E-6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2.1593010605094898E-5</v>
      </c>
      <c r="E6" s="419">
        <f>vkm_GW_PW*SUMIFS(TableVerdeelsleutelVkm[LPG],TableVerdeelsleutelVkm[Voertuigtype],"Lichte voertuigen")*SUMIFS(TableECFTransport[EnergieConsumptieFactor (PJ per km)],TableECFTransport[Index],CONCATENATE($A6,"_LPG_LPG"))</f>
        <v>2.2426168816694035E-3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0.29935009139608137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7.5183842939031229E-2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1.6356097625338364E-2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4.8276625259792547E-7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0.21761921243375509</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6.4033046331778569E-6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9.3751496971340494E-3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1.4743012672381917E-6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7.8928867152578839E-6</v>
      </c>
      <c r="E8" s="419">
        <f>vkm_NGW_PW*SUMIFS(TableVerdeelsleutelVkm[LPG],TableVerdeelsleutelVkm[Voertuigtype],"Lichte voertuigen")*SUMIFS(TableECFTransport[EnergieConsumptieFactor (PJ per km)],TableECFTransport[Index],CONCATENATE($A8,"_LPG_LPG"))</f>
        <v>7.7153079396912469E-4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9.7968870824440515E-2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2.5955543485269801E-2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5.4150242163678542E-3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4.7307044281351452E-8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2.95382771785722E-2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7.5737248052284502E-7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1.2725193136342689E-3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2.6238811664446619E-7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8.1824585626052538E-7</v>
      </c>
      <c r="E10" s="419">
        <f>vkm_SW_PW*SUMIFS(TableVerdeelsleutelVkm[LPG],TableVerdeelsleutelVkm[Voertuigtype],"Lichte voertuigen")*SUMIFS(TableECFTransport[EnergieConsumptieFactor (PJ per km)],TableECFTransport[Index],CONCATENATE($A10,"_LPG_LPG"))</f>
        <v>1.0530378261899845E-4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1.3056092949794717E-2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3.0401486863370795E-3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7.0236880521628458E-4</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2.6256455452058731E-8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1.1420528955890076E-2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3.5845430176162166E-7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4.9200340295385298E-4</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2.5371881453991314</v>
      </c>
      <c r="C14" s="21"/>
      <c r="D14" s="21">
        <f t="shared" ref="D14:M14" si="0">((D5)*10^9/3600)+D12</f>
        <v>8.4178175490592526</v>
      </c>
      <c r="E14" s="21">
        <f t="shared" si="0"/>
        <v>866.51429396042408</v>
      </c>
      <c r="F14" s="21"/>
      <c r="G14" s="21">
        <f t="shared" si="0"/>
        <v>185820.29826070386</v>
      </c>
      <c r="H14" s="21">
        <f t="shared" si="0"/>
        <v>28940.84840057043</v>
      </c>
      <c r="I14" s="21"/>
      <c r="J14" s="21"/>
      <c r="K14" s="21"/>
      <c r="L14" s="21"/>
      <c r="M14" s="21">
        <f t="shared" si="0"/>
        <v>9336.9897390679671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0.17505488243142162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0.44414717249924157</v>
      </c>
      <c r="C18" s="23"/>
      <c r="D18" s="23">
        <f t="shared" ref="D18:M18" si="1">D14*D16</f>
        <v>1.7003991449099691</v>
      </c>
      <c r="E18" s="23">
        <f t="shared" si="1"/>
        <v>196.69874472901628</v>
      </c>
      <c r="F18" s="23"/>
      <c r="G18" s="23">
        <f t="shared" si="1"/>
        <v>49614.019635607932</v>
      </c>
      <c r="H18" s="23">
        <f t="shared" si="1"/>
        <v>7206.2712517420368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6.6238952467091741E-5</v>
      </c>
      <c r="C50" s="313">
        <f t="shared" ref="C50:P50" si="2">SUM(C51:C52)</f>
        <v>0</v>
      </c>
      <c r="D50" s="313">
        <f t="shared" si="2"/>
        <v>0</v>
      </c>
      <c r="E50" s="313">
        <f t="shared" si="2"/>
        <v>0</v>
      </c>
      <c r="F50" s="313">
        <f t="shared" si="2"/>
        <v>0</v>
      </c>
      <c r="G50" s="313">
        <f t="shared" si="2"/>
        <v>1.4369875708035246E-2</v>
      </c>
      <c r="H50" s="313">
        <f t="shared" si="2"/>
        <v>0</v>
      </c>
      <c r="I50" s="313">
        <f t="shared" si="2"/>
        <v>0</v>
      </c>
      <c r="J50" s="313">
        <f t="shared" si="2"/>
        <v>0</v>
      </c>
      <c r="K50" s="313">
        <f t="shared" si="2"/>
        <v>0</v>
      </c>
      <c r="L50" s="313">
        <f t="shared" si="2"/>
        <v>0</v>
      </c>
      <c r="M50" s="313">
        <f t="shared" si="2"/>
        <v>6.1526287954697723E-4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6.6238952467091741E-5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1.4369875708035246E-2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6.1526287954697723E-4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18.399709018636596</v>
      </c>
      <c r="C54" s="21">
        <f t="shared" ref="C54:P54" si="3">(C50)*10^9/3600</f>
        <v>0</v>
      </c>
      <c r="D54" s="21">
        <f t="shared" si="3"/>
        <v>0</v>
      </c>
      <c r="E54" s="21">
        <f t="shared" si="3"/>
        <v>0</v>
      </c>
      <c r="F54" s="21">
        <f t="shared" si="3"/>
        <v>0</v>
      </c>
      <c r="G54" s="21">
        <f t="shared" si="3"/>
        <v>3991.6321411209015</v>
      </c>
      <c r="H54" s="21">
        <f t="shared" si="3"/>
        <v>0</v>
      </c>
      <c r="I54" s="21">
        <f t="shared" si="3"/>
        <v>0</v>
      </c>
      <c r="J54" s="21">
        <f t="shared" si="3"/>
        <v>0</v>
      </c>
      <c r="K54" s="21">
        <f t="shared" si="3"/>
        <v>0</v>
      </c>
      <c r="L54" s="21">
        <f t="shared" si="3"/>
        <v>0</v>
      </c>
      <c r="M54" s="21">
        <f t="shared" si="3"/>
        <v>170.90635542971589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0.17505488243142162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3.2209588990297973</v>
      </c>
      <c r="C58" s="23">
        <f t="shared" ref="C58:P58" ca="1" si="4">C54*C56</f>
        <v>0</v>
      </c>
      <c r="D58" s="23">
        <f t="shared" si="4"/>
        <v>0</v>
      </c>
      <c r="E58" s="23">
        <f t="shared" si="4"/>
        <v>0</v>
      </c>
      <c r="F58" s="23">
        <f t="shared" si="4"/>
        <v>0</v>
      </c>
      <c r="G58" s="23">
        <f t="shared" si="4"/>
        <v>1065.7657816792807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34193.681244038504</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7191.40018927863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15412.5</v>
      </c>
      <c r="C8" s="542">
        <f>B49</f>
        <v>0</v>
      </c>
      <c r="D8" s="920"/>
      <c r="E8" s="920">
        <f>E49</f>
        <v>0</v>
      </c>
      <c r="F8" s="921"/>
      <c r="G8" s="543"/>
      <c r="H8" s="920">
        <f>I49</f>
        <v>0</v>
      </c>
      <c r="I8" s="920">
        <f>G49+F49</f>
        <v>0</v>
      </c>
      <c r="J8" s="920">
        <f>H49+D49+C49</f>
        <v>18132.352941176472</v>
      </c>
      <c r="K8" s="920"/>
      <c r="L8" s="920"/>
      <c r="M8" s="920"/>
      <c r="N8" s="544"/>
      <c r="O8" s="545">
        <f>C8*$C$12+D8*$D$12+E8*$E$12+F8*$F$12+G8*$G$12+H8*$H$12+I8*$I$12+J8*$J$12</f>
        <v>0</v>
      </c>
      <c r="P8" s="1181"/>
      <c r="Q8" s="1182"/>
      <c r="S8" s="953"/>
      <c r="T8" s="1169"/>
      <c r="U8" s="1169"/>
    </row>
    <row r="9" spans="1:21" s="530" customFormat="1" ht="17.45" customHeight="1" thickBot="1">
      <c r="A9" s="546" t="s">
        <v>237</v>
      </c>
      <c r="B9" s="957">
        <f>N37+'Eigen informatie GS &amp; warmtenet'!B12</f>
        <v>14364</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35910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71161.581433317129</v>
      </c>
      <c r="C10" s="554">
        <f t="shared" ref="C10:L10" si="0">SUM(C8:C9)</f>
        <v>0</v>
      </c>
      <c r="D10" s="554">
        <f t="shared" si="0"/>
        <v>0</v>
      </c>
      <c r="E10" s="554">
        <f t="shared" si="0"/>
        <v>0</v>
      </c>
      <c r="F10" s="554">
        <f t="shared" si="0"/>
        <v>0</v>
      </c>
      <c r="G10" s="554">
        <f t="shared" si="0"/>
        <v>0</v>
      </c>
      <c r="H10" s="554">
        <f t="shared" si="0"/>
        <v>0</v>
      </c>
      <c r="I10" s="554">
        <f t="shared" si="0"/>
        <v>0</v>
      </c>
      <c r="J10" s="554">
        <f t="shared" si="0"/>
        <v>54042.352941176476</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22017.857142857145</v>
      </c>
      <c r="C17" s="566">
        <f>B50</f>
        <v>0</v>
      </c>
      <c r="D17" s="567"/>
      <c r="E17" s="567">
        <f>E50</f>
        <v>0</v>
      </c>
      <c r="F17" s="568"/>
      <c r="G17" s="569"/>
      <c r="H17" s="566">
        <f>I50</f>
        <v>0</v>
      </c>
      <c r="I17" s="567">
        <f>G50+F50</f>
        <v>0</v>
      </c>
      <c r="J17" s="567">
        <f>H50+D50+C50</f>
        <v>25903.361344537818</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22017.857142857145</v>
      </c>
      <c r="C20" s="553">
        <f>SUM(C17:C19)</f>
        <v>0</v>
      </c>
      <c r="D20" s="553">
        <f t="shared" ref="D20:L20" si="1">SUM(D17:D19)</f>
        <v>0</v>
      </c>
      <c r="E20" s="553">
        <f t="shared" si="1"/>
        <v>0</v>
      </c>
      <c r="F20" s="553">
        <f t="shared" si="1"/>
        <v>0</v>
      </c>
      <c r="G20" s="553">
        <f t="shared" si="1"/>
        <v>0</v>
      </c>
      <c r="H20" s="553">
        <f t="shared" si="1"/>
        <v>0</v>
      </c>
      <c r="I20" s="553">
        <f t="shared" si="1"/>
        <v>0</v>
      </c>
      <c r="J20" s="553">
        <f t="shared" si="1"/>
        <v>25903.361344537818</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33011</v>
      </c>
      <c r="C28" s="736">
        <v>8900</v>
      </c>
      <c r="D28" s="626"/>
      <c r="E28" s="625"/>
      <c r="F28" s="625"/>
      <c r="G28" s="625" t="s">
        <v>962</v>
      </c>
      <c r="H28" s="625" t="s">
        <v>963</v>
      </c>
      <c r="I28" s="625"/>
      <c r="J28" s="735"/>
      <c r="K28" s="735"/>
      <c r="L28" s="625" t="s">
        <v>964</v>
      </c>
      <c r="M28" s="625">
        <v>1340</v>
      </c>
      <c r="N28" s="625">
        <v>6030</v>
      </c>
      <c r="O28" s="625">
        <v>8614.2857142857138</v>
      </c>
      <c r="P28" s="625">
        <v>0</v>
      </c>
      <c r="Q28" s="625">
        <v>17228.571428571431</v>
      </c>
      <c r="R28" s="625">
        <v>0</v>
      </c>
      <c r="S28" s="625">
        <v>0</v>
      </c>
      <c r="T28" s="625">
        <v>0</v>
      </c>
      <c r="U28" s="625">
        <v>0</v>
      </c>
      <c r="V28" s="625">
        <v>0</v>
      </c>
      <c r="W28" s="625">
        <v>0</v>
      </c>
      <c r="X28" s="625"/>
      <c r="Y28" s="625">
        <v>1600</v>
      </c>
      <c r="Z28" s="625" t="s">
        <v>49</v>
      </c>
      <c r="AA28" s="627" t="s">
        <v>149</v>
      </c>
    </row>
    <row r="29" spans="1:27" s="579" customFormat="1" ht="25.5" hidden="1">
      <c r="A29" s="578"/>
      <c r="B29" s="736">
        <v>33011</v>
      </c>
      <c r="C29" s="736">
        <v>8900</v>
      </c>
      <c r="D29" s="626"/>
      <c r="E29" s="625"/>
      <c r="F29" s="625"/>
      <c r="G29" s="625" t="s">
        <v>962</v>
      </c>
      <c r="H29" s="625" t="s">
        <v>963</v>
      </c>
      <c r="I29" s="625"/>
      <c r="J29" s="735"/>
      <c r="K29" s="735"/>
      <c r="L29" s="625" t="s">
        <v>964</v>
      </c>
      <c r="M29" s="625">
        <v>2085</v>
      </c>
      <c r="N29" s="625">
        <v>9382.5</v>
      </c>
      <c r="O29" s="625">
        <v>13403.571428571429</v>
      </c>
      <c r="P29" s="625">
        <v>0</v>
      </c>
      <c r="Q29" s="625">
        <v>26807.142857142859</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3425</v>
      </c>
      <c r="N30" s="583">
        <f>SUM(N28:N29)</f>
        <v>15412.5</v>
      </c>
      <c r="O30" s="583">
        <f>SUM(O28:O29)</f>
        <v>22017.857142857145</v>
      </c>
      <c r="P30" s="583">
        <f>SUM(P28:P29)</f>
        <v>0</v>
      </c>
      <c r="Q30" s="583">
        <f>SUM(Q28:Q29)</f>
        <v>44035.71428571429</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1340</v>
      </c>
      <c r="N32" s="583">
        <f ca="1">SUMIF($AA$28:AE29,"tertiair",N28:N29)</f>
        <v>6030</v>
      </c>
      <c r="O32" s="583">
        <f ca="1">SUMIF($AA$28:AF29,"tertiair",O28:O29)</f>
        <v>8614.2857142857138</v>
      </c>
      <c r="P32" s="583">
        <f ca="1">SUMIF($AA$28:AG29,"tertiair",P28:P29)</f>
        <v>0</v>
      </c>
      <c r="Q32" s="583">
        <f ca="1">SUMIF($AA$28:AH29,"tertiair",Q28:Q29)</f>
        <v>17228.571428571431</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2085</v>
      </c>
      <c r="N33" s="588">
        <f>SUMIF($AA$28:$AA$29,"landbouw",N28:N29)</f>
        <v>9382.5</v>
      </c>
      <c r="O33" s="588">
        <f>SUMIF($AA$28:$AA$29,"landbouw",O28:O29)</f>
        <v>13403.571428571429</v>
      </c>
      <c r="P33" s="588">
        <f>SUMIF($AA$28:$AA$29,"landbouw",P28:P29)</f>
        <v>0</v>
      </c>
      <c r="Q33" s="588">
        <f>SUMIF($AA$28:$AA$29,"landbouw",Q28:Q29)</f>
        <v>26807.142857142859</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63.75" hidden="1">
      <c r="A36" s="580"/>
      <c r="B36" s="736">
        <v>33011</v>
      </c>
      <c r="C36" s="736">
        <v>8900</v>
      </c>
      <c r="D36" s="628"/>
      <c r="E36" s="628"/>
      <c r="F36" s="628"/>
      <c r="G36" s="628" t="s">
        <v>965</v>
      </c>
      <c r="H36" s="628" t="s">
        <v>966</v>
      </c>
      <c r="I36" s="628"/>
      <c r="J36" s="735"/>
      <c r="K36" s="735"/>
      <c r="L36" s="628" t="s">
        <v>967</v>
      </c>
      <c r="M36" s="628">
        <v>3192</v>
      </c>
      <c r="N36" s="628">
        <v>14364</v>
      </c>
      <c r="O36" s="628">
        <v>0</v>
      </c>
      <c r="P36" s="628">
        <v>0</v>
      </c>
      <c r="Q36" s="628">
        <v>0</v>
      </c>
      <c r="R36" s="628">
        <v>0</v>
      </c>
      <c r="S36" s="628">
        <v>0</v>
      </c>
      <c r="T36" s="628">
        <v>0</v>
      </c>
      <c r="U36" s="628">
        <v>0</v>
      </c>
      <c r="V36" s="628">
        <v>35910</v>
      </c>
      <c r="W36" s="628">
        <v>0</v>
      </c>
      <c r="X36" s="628"/>
      <c r="Y36" s="628">
        <v>1600</v>
      </c>
      <c r="Z36" s="628" t="s">
        <v>49</v>
      </c>
      <c r="AA36" s="629" t="s">
        <v>149</v>
      </c>
    </row>
    <row r="37" spans="1:28" s="561" customFormat="1" hidden="1">
      <c r="A37" s="581" t="s">
        <v>269</v>
      </c>
      <c r="B37" s="582"/>
      <c r="C37" s="582"/>
      <c r="D37" s="582"/>
      <c r="E37" s="582"/>
      <c r="F37" s="582"/>
      <c r="G37" s="582"/>
      <c r="H37" s="582"/>
      <c r="I37" s="582"/>
      <c r="J37" s="582"/>
      <c r="K37" s="582"/>
      <c r="L37" s="583"/>
      <c r="M37" s="583">
        <f>SUM(M36:M36)</f>
        <v>3192</v>
      </c>
      <c r="N37" s="583">
        <f>SUM(N36:N36)</f>
        <v>14364</v>
      </c>
      <c r="O37" s="583">
        <f>SUM(O36:O36)</f>
        <v>0</v>
      </c>
      <c r="P37" s="583">
        <f>SUM(P36:P36)</f>
        <v>0</v>
      </c>
      <c r="Q37" s="583">
        <f>SUM(Q36:Q36)</f>
        <v>0</v>
      </c>
      <c r="R37" s="583">
        <f>SUM(R36:R36)</f>
        <v>0</v>
      </c>
      <c r="S37" s="583">
        <f>SUM(S36:S36)</f>
        <v>0</v>
      </c>
      <c r="T37" s="583">
        <f>SUM(T36:T36)</f>
        <v>0</v>
      </c>
      <c r="U37" s="583">
        <f>SUM(U36:U36)</f>
        <v>0</v>
      </c>
      <c r="V37" s="583">
        <f>SUM(V36:V36)</f>
        <v>35910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3192</v>
      </c>
      <c r="N39" s="583">
        <f>SUMIF($AA$36:$AA$37,"tertiair",N36:N37)</f>
        <v>14364</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35910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0</v>
      </c>
      <c r="C49" s="617">
        <f t="shared" si="2"/>
        <v>18132.352941176472</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0</v>
      </c>
      <c r="C50" s="620">
        <f t="shared" si="3"/>
        <v>25903.361344537818</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102564.67845105218</v>
      </c>
      <c r="D10" s="635">
        <f ca="1">tertiair!C16</f>
        <v>8614.2857142857138</v>
      </c>
      <c r="E10" s="635">
        <f ca="1">tertiair!D16</f>
        <v>79700.202332659581</v>
      </c>
      <c r="F10" s="635">
        <f>tertiair!E16</f>
        <v>1496.1334424790714</v>
      </c>
      <c r="G10" s="635">
        <f ca="1">tertiair!F16</f>
        <v>15561.766050180158</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3.1266666666666669</v>
      </c>
      <c r="Q10" s="636">
        <f>tertiair!P16</f>
        <v>19.066666666666666</v>
      </c>
      <c r="R10" s="638">
        <f ca="1">SUM(C10:Q10)</f>
        <v>207959.25932399006</v>
      </c>
      <c r="S10" s="67"/>
    </row>
    <row r="11" spans="1:19" s="441" customFormat="1">
      <c r="A11" s="749" t="s">
        <v>214</v>
      </c>
      <c r="B11" s="754"/>
      <c r="C11" s="635">
        <f>huishoudens!B8</f>
        <v>58671.58342174485</v>
      </c>
      <c r="D11" s="635">
        <f>huishoudens!C8</f>
        <v>0</v>
      </c>
      <c r="E11" s="635">
        <f>huishoudens!D8</f>
        <v>135323.51977129051</v>
      </c>
      <c r="F11" s="635">
        <f>huishoudens!E8</f>
        <v>2663.832122705503</v>
      </c>
      <c r="G11" s="635">
        <f>huishoudens!F8</f>
        <v>90928.299598921512</v>
      </c>
      <c r="H11" s="635">
        <f>huishoudens!G8</f>
        <v>0</v>
      </c>
      <c r="I11" s="635">
        <f>huishoudens!H8</f>
        <v>0</v>
      </c>
      <c r="J11" s="635">
        <f>huishoudens!I8</f>
        <v>0</v>
      </c>
      <c r="K11" s="635">
        <f>huishoudens!J8</f>
        <v>2047.4747776151687</v>
      </c>
      <c r="L11" s="635">
        <f>huishoudens!K8</f>
        <v>0</v>
      </c>
      <c r="M11" s="635">
        <f>huishoudens!L8</f>
        <v>0</v>
      </c>
      <c r="N11" s="635">
        <f>huishoudens!M8</f>
        <v>0</v>
      </c>
      <c r="O11" s="635">
        <f>huishoudens!N8</f>
        <v>17676.822992981004</v>
      </c>
      <c r="P11" s="635">
        <f>huishoudens!O8</f>
        <v>164.15</v>
      </c>
      <c r="Q11" s="636">
        <f>huishoudens!P8</f>
        <v>400.4</v>
      </c>
      <c r="R11" s="638">
        <f>SUM(C11:Q11)</f>
        <v>307876.08268525859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166606.73884490249</v>
      </c>
      <c r="D13" s="635">
        <f>industrie!C18</f>
        <v>0</v>
      </c>
      <c r="E13" s="635">
        <f>industrie!D18</f>
        <v>235990.00479420449</v>
      </c>
      <c r="F13" s="635">
        <f>industrie!E18</f>
        <v>1414.8450413865783</v>
      </c>
      <c r="G13" s="635">
        <f>industrie!F18</f>
        <v>33550.779321908776</v>
      </c>
      <c r="H13" s="635">
        <f>industrie!G18</f>
        <v>0</v>
      </c>
      <c r="I13" s="635">
        <f>industrie!H18</f>
        <v>0</v>
      </c>
      <c r="J13" s="635">
        <f>industrie!I18</f>
        <v>0</v>
      </c>
      <c r="K13" s="635">
        <f>industrie!J18</f>
        <v>1524.6218848505193</v>
      </c>
      <c r="L13" s="635">
        <f>industrie!K18</f>
        <v>0</v>
      </c>
      <c r="M13" s="635">
        <f>industrie!L18</f>
        <v>0</v>
      </c>
      <c r="N13" s="635">
        <f>industrie!M18</f>
        <v>0</v>
      </c>
      <c r="O13" s="635">
        <f>industrie!N18</f>
        <v>2873.8251479710525</v>
      </c>
      <c r="P13" s="635">
        <f>industrie!O18</f>
        <v>0</v>
      </c>
      <c r="Q13" s="636">
        <f>industrie!P18</f>
        <v>0</v>
      </c>
      <c r="R13" s="638">
        <f>SUM(C13:Q13)</f>
        <v>441960.81503522384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327843.00071769953</v>
      </c>
      <c r="D16" s="668">
        <f t="shared" ref="D16:R16" ca="1" si="0">SUM(D9:D15)</f>
        <v>8614.2857142857138</v>
      </c>
      <c r="E16" s="668">
        <f t="shared" ca="1" si="0"/>
        <v>451013.72689815459</v>
      </c>
      <c r="F16" s="668">
        <f t="shared" si="0"/>
        <v>5574.8106065711527</v>
      </c>
      <c r="G16" s="668">
        <f t="shared" ca="1" si="0"/>
        <v>140040.84497101046</v>
      </c>
      <c r="H16" s="668">
        <f t="shared" si="0"/>
        <v>0</v>
      </c>
      <c r="I16" s="668">
        <f t="shared" si="0"/>
        <v>0</v>
      </c>
      <c r="J16" s="668">
        <f t="shared" si="0"/>
        <v>0</v>
      </c>
      <c r="K16" s="668">
        <f t="shared" si="0"/>
        <v>3572.096662465688</v>
      </c>
      <c r="L16" s="668">
        <f t="shared" si="0"/>
        <v>0</v>
      </c>
      <c r="M16" s="668">
        <f t="shared" ca="1" si="0"/>
        <v>0</v>
      </c>
      <c r="N16" s="668">
        <f t="shared" si="0"/>
        <v>0</v>
      </c>
      <c r="O16" s="668">
        <f t="shared" ca="1" si="0"/>
        <v>20550.648140952057</v>
      </c>
      <c r="P16" s="668">
        <f t="shared" si="0"/>
        <v>167.27666666666667</v>
      </c>
      <c r="Q16" s="668">
        <f t="shared" si="0"/>
        <v>419.46666666666664</v>
      </c>
      <c r="R16" s="668">
        <f t="shared" ca="1" si="0"/>
        <v>957796.15704447252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18.399709018636596</v>
      </c>
      <c r="D19" s="635">
        <f>transport!C54</f>
        <v>0</v>
      </c>
      <c r="E19" s="635">
        <f>transport!D54</f>
        <v>0</v>
      </c>
      <c r="F19" s="635">
        <f>transport!E54</f>
        <v>0</v>
      </c>
      <c r="G19" s="635">
        <f>transport!F54</f>
        <v>0</v>
      </c>
      <c r="H19" s="635">
        <f>transport!G54</f>
        <v>3991.6321411209015</v>
      </c>
      <c r="I19" s="635">
        <f>transport!H54</f>
        <v>0</v>
      </c>
      <c r="J19" s="635">
        <f>transport!I54</f>
        <v>0</v>
      </c>
      <c r="K19" s="635">
        <f>transport!J54</f>
        <v>0</v>
      </c>
      <c r="L19" s="635">
        <f>transport!K54</f>
        <v>0</v>
      </c>
      <c r="M19" s="635">
        <f>transport!L54</f>
        <v>0</v>
      </c>
      <c r="N19" s="635">
        <f>transport!M54</f>
        <v>170.90635542971589</v>
      </c>
      <c r="O19" s="635">
        <f>transport!N54</f>
        <v>0</v>
      </c>
      <c r="P19" s="635">
        <f>transport!O54</f>
        <v>0</v>
      </c>
      <c r="Q19" s="636">
        <f>transport!P54</f>
        <v>0</v>
      </c>
      <c r="R19" s="638">
        <f>SUM(C19:Q19)</f>
        <v>4180.938205569254</v>
      </c>
      <c r="S19" s="67"/>
    </row>
    <row r="20" spans="1:19" s="441" customFormat="1">
      <c r="A20" s="749" t="s">
        <v>296</v>
      </c>
      <c r="B20" s="754"/>
      <c r="C20" s="635">
        <f>transport!B14</f>
        <v>2.5371881453991314</v>
      </c>
      <c r="D20" s="635">
        <f>transport!C14</f>
        <v>0</v>
      </c>
      <c r="E20" s="635">
        <f>transport!D14</f>
        <v>8.4178175490592526</v>
      </c>
      <c r="F20" s="635">
        <f>transport!E14</f>
        <v>866.51429396042408</v>
      </c>
      <c r="G20" s="635">
        <f>transport!F14</f>
        <v>0</v>
      </c>
      <c r="H20" s="635">
        <f>transport!G14</f>
        <v>185820.29826070386</v>
      </c>
      <c r="I20" s="635">
        <f>transport!H14</f>
        <v>28940.84840057043</v>
      </c>
      <c r="J20" s="635">
        <f>transport!I14</f>
        <v>0</v>
      </c>
      <c r="K20" s="635">
        <f>transport!J14</f>
        <v>0</v>
      </c>
      <c r="L20" s="635">
        <f>transport!K14</f>
        <v>0</v>
      </c>
      <c r="M20" s="635">
        <f>transport!L14</f>
        <v>0</v>
      </c>
      <c r="N20" s="635">
        <f>transport!M14</f>
        <v>9336.9897390679671</v>
      </c>
      <c r="O20" s="635">
        <f>transport!N14</f>
        <v>0</v>
      </c>
      <c r="P20" s="635">
        <f>transport!O14</f>
        <v>0</v>
      </c>
      <c r="Q20" s="636">
        <f>transport!P14</f>
        <v>0</v>
      </c>
      <c r="R20" s="638">
        <f>SUM(C20:Q20)</f>
        <v>224975.60569999713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20.936897164035727</v>
      </c>
      <c r="D22" s="752">
        <f t="shared" ref="D22:R22" si="1">SUM(D18:D21)</f>
        <v>0</v>
      </c>
      <c r="E22" s="752">
        <f t="shared" si="1"/>
        <v>8.4178175490592526</v>
      </c>
      <c r="F22" s="752">
        <f t="shared" si="1"/>
        <v>866.51429396042408</v>
      </c>
      <c r="G22" s="752">
        <f t="shared" si="1"/>
        <v>0</v>
      </c>
      <c r="H22" s="752">
        <f t="shared" si="1"/>
        <v>189811.93040182476</v>
      </c>
      <c r="I22" s="752">
        <f t="shared" si="1"/>
        <v>28940.84840057043</v>
      </c>
      <c r="J22" s="752">
        <f t="shared" si="1"/>
        <v>0</v>
      </c>
      <c r="K22" s="752">
        <f t="shared" si="1"/>
        <v>0</v>
      </c>
      <c r="L22" s="752">
        <f t="shared" si="1"/>
        <v>0</v>
      </c>
      <c r="M22" s="752">
        <f t="shared" si="1"/>
        <v>0</v>
      </c>
      <c r="N22" s="752">
        <f t="shared" si="1"/>
        <v>9507.8960944976825</v>
      </c>
      <c r="O22" s="752">
        <f t="shared" si="1"/>
        <v>0</v>
      </c>
      <c r="P22" s="752">
        <f t="shared" si="1"/>
        <v>0</v>
      </c>
      <c r="Q22" s="752">
        <f t="shared" si="1"/>
        <v>0</v>
      </c>
      <c r="R22" s="752">
        <f t="shared" si="1"/>
        <v>229156.54390556639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9796.912704136379</v>
      </c>
      <c r="D24" s="635">
        <f>+landbouw!C8</f>
        <v>13403.571428571429</v>
      </c>
      <c r="E24" s="635">
        <f>+landbouw!D8</f>
        <v>587.23872183432695</v>
      </c>
      <c r="F24" s="635">
        <f>+landbouw!E8</f>
        <v>88.282614650830624</v>
      </c>
      <c r="G24" s="635">
        <f>+landbouw!F8</f>
        <v>36709.330698342237</v>
      </c>
      <c r="H24" s="635">
        <f>+landbouw!G8</f>
        <v>0</v>
      </c>
      <c r="I24" s="635">
        <f>+landbouw!H8</f>
        <v>0</v>
      </c>
      <c r="J24" s="635">
        <f>+landbouw!I8</f>
        <v>0</v>
      </c>
      <c r="K24" s="635">
        <f>+landbouw!J8</f>
        <v>991.40704675907739</v>
      </c>
      <c r="L24" s="635">
        <f>+landbouw!K8</f>
        <v>0</v>
      </c>
      <c r="M24" s="635">
        <f>+landbouw!L8</f>
        <v>0</v>
      </c>
      <c r="N24" s="635">
        <f>+landbouw!M8</f>
        <v>0</v>
      </c>
      <c r="O24" s="635">
        <f>+landbouw!N8</f>
        <v>0</v>
      </c>
      <c r="P24" s="635">
        <f>+landbouw!O8</f>
        <v>0</v>
      </c>
      <c r="Q24" s="636">
        <f>+landbouw!P8</f>
        <v>0</v>
      </c>
      <c r="R24" s="638">
        <f>SUM(C24:Q24)</f>
        <v>61576.743214294285</v>
      </c>
      <c r="S24" s="67"/>
    </row>
    <row r="25" spans="1:19" s="441" customFormat="1" ht="15" thickBot="1">
      <c r="A25" s="771" t="s">
        <v>864</v>
      </c>
      <c r="B25" s="923"/>
      <c r="C25" s="924">
        <f>IF(Onbekend_ele_kWh="---",0,Onbekend_ele_kWh)/1000+IF(REST_rest_ele_kWh="---",0,REST_rest_ele_kWh)/1000</f>
        <v>4632.5277159819298</v>
      </c>
      <c r="D25" s="924"/>
      <c r="E25" s="924">
        <f>IF(onbekend_gas_kWh="---",0,onbekend_gas_kWh)/1000+IF(REST_rest_gas_kWh="---",0,REST_rest_gas_kWh)/1000</f>
        <v>9145.7554289437703</v>
      </c>
      <c r="F25" s="924"/>
      <c r="G25" s="924"/>
      <c r="H25" s="924"/>
      <c r="I25" s="924"/>
      <c r="J25" s="924"/>
      <c r="K25" s="924"/>
      <c r="L25" s="924"/>
      <c r="M25" s="924"/>
      <c r="N25" s="924"/>
      <c r="O25" s="924"/>
      <c r="P25" s="924"/>
      <c r="Q25" s="925"/>
      <c r="R25" s="638">
        <f>SUM(C25:Q25)</f>
        <v>13778.283144925699</v>
      </c>
      <c r="S25" s="67"/>
    </row>
    <row r="26" spans="1:19" s="441" customFormat="1" ht="15.75" thickBot="1">
      <c r="A26" s="641" t="s">
        <v>865</v>
      </c>
      <c r="B26" s="757"/>
      <c r="C26" s="752">
        <f>SUM(C24:C25)</f>
        <v>14429.44042011831</v>
      </c>
      <c r="D26" s="752">
        <f t="shared" ref="D26:R26" si="2">SUM(D24:D25)</f>
        <v>13403.571428571429</v>
      </c>
      <c r="E26" s="752">
        <f t="shared" si="2"/>
        <v>9732.9941507780968</v>
      </c>
      <c r="F26" s="752">
        <f t="shared" si="2"/>
        <v>88.282614650830624</v>
      </c>
      <c r="G26" s="752">
        <f t="shared" si="2"/>
        <v>36709.330698342237</v>
      </c>
      <c r="H26" s="752">
        <f t="shared" si="2"/>
        <v>0</v>
      </c>
      <c r="I26" s="752">
        <f t="shared" si="2"/>
        <v>0</v>
      </c>
      <c r="J26" s="752">
        <f t="shared" si="2"/>
        <v>0</v>
      </c>
      <c r="K26" s="752">
        <f t="shared" si="2"/>
        <v>991.40704675907739</v>
      </c>
      <c r="L26" s="752">
        <f t="shared" si="2"/>
        <v>0</v>
      </c>
      <c r="M26" s="752">
        <f t="shared" si="2"/>
        <v>0</v>
      </c>
      <c r="N26" s="752">
        <f t="shared" si="2"/>
        <v>0</v>
      </c>
      <c r="O26" s="752">
        <f t="shared" si="2"/>
        <v>0</v>
      </c>
      <c r="P26" s="752">
        <f t="shared" si="2"/>
        <v>0</v>
      </c>
      <c r="Q26" s="752">
        <f t="shared" si="2"/>
        <v>0</v>
      </c>
      <c r="R26" s="752">
        <f t="shared" si="2"/>
        <v>75355.026359219977</v>
      </c>
      <c r="S26" s="67"/>
    </row>
    <row r="27" spans="1:19" s="441" customFormat="1" ht="17.25" thickTop="1" thickBot="1">
      <c r="A27" s="642" t="s">
        <v>109</v>
      </c>
      <c r="B27" s="744"/>
      <c r="C27" s="643">
        <f ca="1">C22+C16+C26</f>
        <v>342293.3780349819</v>
      </c>
      <c r="D27" s="643">
        <f t="shared" ref="D27:R27" ca="1" si="3">D22+D16+D26</f>
        <v>22017.857142857145</v>
      </c>
      <c r="E27" s="643">
        <f t="shared" ca="1" si="3"/>
        <v>460755.13886648178</v>
      </c>
      <c r="F27" s="643">
        <f t="shared" si="3"/>
        <v>6529.607515182407</v>
      </c>
      <c r="G27" s="643">
        <f t="shared" ca="1" si="3"/>
        <v>176750.1756693527</v>
      </c>
      <c r="H27" s="643">
        <f t="shared" si="3"/>
        <v>189811.93040182476</v>
      </c>
      <c r="I27" s="643">
        <f t="shared" si="3"/>
        <v>28940.84840057043</v>
      </c>
      <c r="J27" s="643">
        <f t="shared" si="3"/>
        <v>0</v>
      </c>
      <c r="K27" s="643">
        <f t="shared" si="3"/>
        <v>4563.5037092247658</v>
      </c>
      <c r="L27" s="643">
        <f t="shared" si="3"/>
        <v>0</v>
      </c>
      <c r="M27" s="643">
        <f t="shared" ca="1" si="3"/>
        <v>0</v>
      </c>
      <c r="N27" s="643">
        <f t="shared" si="3"/>
        <v>9507.8960944976825</v>
      </c>
      <c r="O27" s="643">
        <f t="shared" ca="1" si="3"/>
        <v>20550.648140952057</v>
      </c>
      <c r="P27" s="643">
        <f t="shared" si="3"/>
        <v>167.27666666666667</v>
      </c>
      <c r="Q27" s="643">
        <f t="shared" si="3"/>
        <v>419.46666666666664</v>
      </c>
      <c r="R27" s="643">
        <f t="shared" ca="1" si="3"/>
        <v>1262307.7273092589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17954.447727865499</v>
      </c>
      <c r="D40" s="635">
        <f ca="1">tertiair!C20</f>
        <v>0</v>
      </c>
      <c r="E40" s="635">
        <f ca="1">tertiair!D20</f>
        <v>16099.440871197236</v>
      </c>
      <c r="F40" s="635">
        <f>tertiair!E20</f>
        <v>339.6222914427492</v>
      </c>
      <c r="G40" s="635">
        <f ca="1">tertiair!F20</f>
        <v>4154.9915353981023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38548.502425903585</v>
      </c>
    </row>
    <row r="41" spans="1:18">
      <c r="A41" s="762" t="s">
        <v>214</v>
      </c>
      <c r="B41" s="769"/>
      <c r="C41" s="635">
        <f ca="1">huishoudens!B12</f>
        <v>10270.74713795889</v>
      </c>
      <c r="D41" s="635">
        <f ca="1">huishoudens!C12</f>
        <v>0</v>
      </c>
      <c r="E41" s="635">
        <f>huishoudens!D12</f>
        <v>27335.350993800683</v>
      </c>
      <c r="F41" s="635">
        <f>huishoudens!E12</f>
        <v>604.68989185414921</v>
      </c>
      <c r="G41" s="635">
        <f>huishoudens!F12</f>
        <v>24277.855992912046</v>
      </c>
      <c r="H41" s="635">
        <f>huishoudens!G12</f>
        <v>0</v>
      </c>
      <c r="I41" s="635">
        <f>huishoudens!H12</f>
        <v>0</v>
      </c>
      <c r="J41" s="635">
        <f>huishoudens!I12</f>
        <v>0</v>
      </c>
      <c r="K41" s="635">
        <f>huishoudens!J12</f>
        <v>724.80607127576968</v>
      </c>
      <c r="L41" s="635">
        <f>huishoudens!K12</f>
        <v>0</v>
      </c>
      <c r="M41" s="635">
        <f>huishoudens!L12</f>
        <v>0</v>
      </c>
      <c r="N41" s="635">
        <f>huishoudens!M12</f>
        <v>0</v>
      </c>
      <c r="O41" s="635">
        <f>huishoudens!N12</f>
        <v>0</v>
      </c>
      <c r="P41" s="635">
        <f>huishoudens!O12</f>
        <v>0</v>
      </c>
      <c r="Q41" s="710">
        <f>huishoudens!P12</f>
        <v>0</v>
      </c>
      <c r="R41" s="790">
        <f t="shared" ca="1" si="4"/>
        <v>63213.450087801539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29165.323080776969</v>
      </c>
      <c r="D43" s="635">
        <f ca="1">industrie!C22</f>
        <v>0</v>
      </c>
      <c r="E43" s="635">
        <f>industrie!D22</f>
        <v>47669.980968429307</v>
      </c>
      <c r="F43" s="635">
        <f>industrie!E22</f>
        <v>321.16982439475328</v>
      </c>
      <c r="G43" s="635">
        <f>industrie!F22</f>
        <v>8958.0580789496435</v>
      </c>
      <c r="H43" s="635">
        <f>industrie!G22</f>
        <v>0</v>
      </c>
      <c r="I43" s="635">
        <f>industrie!H22</f>
        <v>0</v>
      </c>
      <c r="J43" s="635">
        <f>industrie!I22</f>
        <v>0</v>
      </c>
      <c r="K43" s="635">
        <f>industrie!J22</f>
        <v>539.71614723708376</v>
      </c>
      <c r="L43" s="635">
        <f>industrie!K22</f>
        <v>0</v>
      </c>
      <c r="M43" s="635">
        <f>industrie!L22</f>
        <v>0</v>
      </c>
      <c r="N43" s="635">
        <f>industrie!M22</f>
        <v>0</v>
      </c>
      <c r="O43" s="635">
        <f>industrie!N22</f>
        <v>0</v>
      </c>
      <c r="P43" s="635">
        <f>industrie!O22</f>
        <v>0</v>
      </c>
      <c r="Q43" s="710">
        <f>industrie!P22</f>
        <v>0</v>
      </c>
      <c r="R43" s="789">
        <f t="shared" ca="1" si="4"/>
        <v>86654.248099787743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57390.517946601358</v>
      </c>
      <c r="D46" s="668">
        <f t="shared" ref="D46:Q46" ca="1" si="5">SUM(D39:D45)</f>
        <v>0</v>
      </c>
      <c r="E46" s="668">
        <f t="shared" ca="1" si="5"/>
        <v>91104.772833427225</v>
      </c>
      <c r="F46" s="668">
        <f t="shared" si="5"/>
        <v>1265.4820076916517</v>
      </c>
      <c r="G46" s="668">
        <f t="shared" ca="1" si="5"/>
        <v>37390.905607259789</v>
      </c>
      <c r="H46" s="668">
        <f t="shared" si="5"/>
        <v>0</v>
      </c>
      <c r="I46" s="668">
        <f t="shared" si="5"/>
        <v>0</v>
      </c>
      <c r="J46" s="668">
        <f t="shared" si="5"/>
        <v>0</v>
      </c>
      <c r="K46" s="668">
        <f t="shared" si="5"/>
        <v>1264.5222185128534</v>
      </c>
      <c r="L46" s="668">
        <f t="shared" si="5"/>
        <v>0</v>
      </c>
      <c r="M46" s="668">
        <f t="shared" ca="1" si="5"/>
        <v>0</v>
      </c>
      <c r="N46" s="668">
        <f t="shared" si="5"/>
        <v>0</v>
      </c>
      <c r="O46" s="668">
        <f t="shared" ca="1" si="5"/>
        <v>0</v>
      </c>
      <c r="P46" s="668">
        <f t="shared" si="5"/>
        <v>0</v>
      </c>
      <c r="Q46" s="668">
        <f t="shared" si="5"/>
        <v>0</v>
      </c>
      <c r="R46" s="668">
        <f ca="1">SUM(R39:R45)</f>
        <v>188416.20061349287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3.2209588990297973</v>
      </c>
      <c r="D49" s="635">
        <f ca="1">transport!C58</f>
        <v>0</v>
      </c>
      <c r="E49" s="635">
        <f>transport!D58</f>
        <v>0</v>
      </c>
      <c r="F49" s="635">
        <f>transport!E58</f>
        <v>0</v>
      </c>
      <c r="G49" s="635">
        <f>transport!F58</f>
        <v>0</v>
      </c>
      <c r="H49" s="635">
        <f>transport!G58</f>
        <v>1065.7657816792807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1068.9867405783104</v>
      </c>
    </row>
    <row r="50" spans="1:18">
      <c r="A50" s="765" t="s">
        <v>296</v>
      </c>
      <c r="B50" s="775"/>
      <c r="C50" s="930">
        <f ca="1">transport!B18</f>
        <v>0.44414717249924157</v>
      </c>
      <c r="D50" s="930">
        <f>transport!C18</f>
        <v>0</v>
      </c>
      <c r="E50" s="930">
        <f>transport!D18</f>
        <v>1.7003991449099691</v>
      </c>
      <c r="F50" s="930">
        <f>transport!E18</f>
        <v>196.69874472901628</v>
      </c>
      <c r="G50" s="930">
        <f>transport!F18</f>
        <v>0</v>
      </c>
      <c r="H50" s="930">
        <f>transport!G18</f>
        <v>49614.019635607932</v>
      </c>
      <c r="I50" s="930">
        <f>transport!H18</f>
        <v>7206.2712517420368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57019.134178396394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3.6651060715290389</v>
      </c>
      <c r="D52" s="668">
        <f t="shared" ref="D52:Q52" ca="1" si="6">SUM(D48:D51)</f>
        <v>0</v>
      </c>
      <c r="E52" s="668">
        <f t="shared" si="6"/>
        <v>1.7003991449099691</v>
      </c>
      <c r="F52" s="668">
        <f t="shared" si="6"/>
        <v>196.69874472901628</v>
      </c>
      <c r="G52" s="668">
        <f t="shared" si="6"/>
        <v>0</v>
      </c>
      <c r="H52" s="668">
        <f t="shared" si="6"/>
        <v>50679.78541728721</v>
      </c>
      <c r="I52" s="668">
        <f t="shared" si="6"/>
        <v>7206.2712517420368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58088.120918974702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1714.9974016134947</v>
      </c>
      <c r="D54" s="930">
        <f ca="1">+landbouw!C12</f>
        <v>0</v>
      </c>
      <c r="E54" s="930">
        <f>+landbouw!D12</f>
        <v>118.62222181053406</v>
      </c>
      <c r="F54" s="930">
        <f>+landbouw!E12</f>
        <v>20.040153525738553</v>
      </c>
      <c r="G54" s="930">
        <f>+landbouw!F12</f>
        <v>9801.3912964573774</v>
      </c>
      <c r="H54" s="930">
        <f>+landbouw!G12</f>
        <v>0</v>
      </c>
      <c r="I54" s="930">
        <f>+landbouw!H12</f>
        <v>0</v>
      </c>
      <c r="J54" s="930">
        <f>+landbouw!I12</f>
        <v>0</v>
      </c>
      <c r="K54" s="930">
        <f>+landbouw!J12</f>
        <v>350.95809455271336</v>
      </c>
      <c r="L54" s="930">
        <f>+landbouw!K12</f>
        <v>0</v>
      </c>
      <c r="M54" s="930">
        <f>+landbouw!L12</f>
        <v>0</v>
      </c>
      <c r="N54" s="930">
        <f>+landbouw!M12</f>
        <v>0</v>
      </c>
      <c r="O54" s="930">
        <f>+landbouw!N12</f>
        <v>0</v>
      </c>
      <c r="P54" s="930">
        <f>+landbouw!O12</f>
        <v>0</v>
      </c>
      <c r="Q54" s="931">
        <f>+landbouw!P12</f>
        <v>0</v>
      </c>
      <c r="R54" s="667">
        <f ca="1">SUM(C54:Q54)</f>
        <v>12006.009167959859</v>
      </c>
    </row>
    <row r="55" spans="1:18" ht="15" thickBot="1">
      <c r="A55" s="765" t="s">
        <v>864</v>
      </c>
      <c r="B55" s="775"/>
      <c r="C55" s="930">
        <f ca="1">C25*'EF ele_warmte'!B12</f>
        <v>810.94659468151883</v>
      </c>
      <c r="D55" s="930"/>
      <c r="E55" s="930">
        <f>E25*EF_CO2_aardgas</f>
        <v>1847.4425966466417</v>
      </c>
      <c r="F55" s="930"/>
      <c r="G55" s="930"/>
      <c r="H55" s="930"/>
      <c r="I55" s="930"/>
      <c r="J55" s="930"/>
      <c r="K55" s="930"/>
      <c r="L55" s="930"/>
      <c r="M55" s="930"/>
      <c r="N55" s="930"/>
      <c r="O55" s="930"/>
      <c r="P55" s="930"/>
      <c r="Q55" s="931"/>
      <c r="R55" s="667">
        <f ca="1">SUM(C55:Q55)</f>
        <v>2658.3891913281605</v>
      </c>
    </row>
    <row r="56" spans="1:18" ht="15.75" thickBot="1">
      <c r="A56" s="763" t="s">
        <v>865</v>
      </c>
      <c r="B56" s="776"/>
      <c r="C56" s="668">
        <f ca="1">SUM(C54:C55)</f>
        <v>2525.9439962950137</v>
      </c>
      <c r="D56" s="668">
        <f t="shared" ref="D56:Q56" ca="1" si="7">SUM(D54:D55)</f>
        <v>0</v>
      </c>
      <c r="E56" s="668">
        <f t="shared" si="7"/>
        <v>1966.0648184571758</v>
      </c>
      <c r="F56" s="668">
        <f t="shared" si="7"/>
        <v>20.040153525738553</v>
      </c>
      <c r="G56" s="668">
        <f t="shared" si="7"/>
        <v>9801.3912964573774</v>
      </c>
      <c r="H56" s="668">
        <f t="shared" si="7"/>
        <v>0</v>
      </c>
      <c r="I56" s="668">
        <f t="shared" si="7"/>
        <v>0</v>
      </c>
      <c r="J56" s="668">
        <f t="shared" si="7"/>
        <v>0</v>
      </c>
      <c r="K56" s="668">
        <f t="shared" si="7"/>
        <v>350.95809455271336</v>
      </c>
      <c r="L56" s="668">
        <f t="shared" si="7"/>
        <v>0</v>
      </c>
      <c r="M56" s="668">
        <f t="shared" si="7"/>
        <v>0</v>
      </c>
      <c r="N56" s="668">
        <f t="shared" si="7"/>
        <v>0</v>
      </c>
      <c r="O56" s="668">
        <f t="shared" si="7"/>
        <v>0</v>
      </c>
      <c r="P56" s="668">
        <f t="shared" si="7"/>
        <v>0</v>
      </c>
      <c r="Q56" s="669">
        <f t="shared" si="7"/>
        <v>0</v>
      </c>
      <c r="R56" s="670">
        <f ca="1">SUM(R54:R55)</f>
        <v>14664.398359288019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59920.127048967901</v>
      </c>
      <c r="D61" s="676">
        <f t="shared" ref="D61:Q61" ca="1" si="8">D46+D52+D56</f>
        <v>0</v>
      </c>
      <c r="E61" s="676">
        <f t="shared" ca="1" si="8"/>
        <v>93072.538051029318</v>
      </c>
      <c r="F61" s="676">
        <f t="shared" si="8"/>
        <v>1482.2209059464064</v>
      </c>
      <c r="G61" s="676">
        <f t="shared" ca="1" si="8"/>
        <v>47192.296903717164</v>
      </c>
      <c r="H61" s="676">
        <f t="shared" si="8"/>
        <v>50679.78541728721</v>
      </c>
      <c r="I61" s="676">
        <f t="shared" si="8"/>
        <v>7206.2712517420368</v>
      </c>
      <c r="J61" s="676">
        <f t="shared" si="8"/>
        <v>0</v>
      </c>
      <c r="K61" s="676">
        <f t="shared" si="8"/>
        <v>1615.4803130655669</v>
      </c>
      <c r="L61" s="676">
        <f t="shared" si="8"/>
        <v>0</v>
      </c>
      <c r="M61" s="676">
        <f t="shared" ca="1" si="8"/>
        <v>0</v>
      </c>
      <c r="N61" s="676">
        <f t="shared" si="8"/>
        <v>0</v>
      </c>
      <c r="O61" s="676">
        <f t="shared" ca="1" si="8"/>
        <v>0</v>
      </c>
      <c r="P61" s="676">
        <f t="shared" si="8"/>
        <v>0</v>
      </c>
      <c r="Q61" s="676">
        <f t="shared" si="8"/>
        <v>0</v>
      </c>
      <c r="R61" s="676">
        <f ca="1">R46+R52+R56</f>
        <v>261168.71989175558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0.17505488243142159</v>
      </c>
      <c r="D63" s="720">
        <f t="shared" ca="1" si="9"/>
        <v>0</v>
      </c>
      <c r="E63" s="932">
        <f t="shared" ca="1" si="9"/>
        <v>0.20199999999999999</v>
      </c>
      <c r="F63" s="720">
        <f t="shared" si="9"/>
        <v>0.22700000000000001</v>
      </c>
      <c r="G63" s="720">
        <f t="shared" ca="1" si="9"/>
        <v>0.26699999999999996</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34193.681244038504</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7191.40018927863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15412.5</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18132.352941176472</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14364</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35910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71161.581433317129</v>
      </c>
      <c r="C78" s="691">
        <f>SUM(C72:C77)</f>
        <v>0</v>
      </c>
      <c r="D78" s="692">
        <f t="shared" ref="D78:H78" si="10">SUM(D76:D77)</f>
        <v>0</v>
      </c>
      <c r="E78" s="692">
        <f t="shared" si="10"/>
        <v>0</v>
      </c>
      <c r="F78" s="692">
        <f t="shared" si="10"/>
        <v>0</v>
      </c>
      <c r="G78" s="692">
        <f t="shared" si="10"/>
        <v>0</v>
      </c>
      <c r="H78" s="692">
        <f t="shared" si="10"/>
        <v>0</v>
      </c>
      <c r="I78" s="692">
        <f>SUM(I76:I77)</f>
        <v>0</v>
      </c>
      <c r="J78" s="692">
        <f>SUM(J76:J77)</f>
        <v>54042.352941176476</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22017.857142857145</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25903.361344537818</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22017.857142857145</v>
      </c>
      <c r="C90" s="691">
        <f>SUM(C87:C89)</f>
        <v>0</v>
      </c>
      <c r="D90" s="691">
        <f t="shared" ref="D90:H90" si="12">SUM(D87:D89)</f>
        <v>0</v>
      </c>
      <c r="E90" s="691">
        <f t="shared" si="12"/>
        <v>0</v>
      </c>
      <c r="F90" s="691">
        <f t="shared" si="12"/>
        <v>0</v>
      </c>
      <c r="G90" s="691">
        <f t="shared" si="12"/>
        <v>0</v>
      </c>
      <c r="H90" s="691">
        <f t="shared" si="12"/>
        <v>0</v>
      </c>
      <c r="I90" s="691">
        <f>SUM(I87:I89)</f>
        <v>0</v>
      </c>
      <c r="J90" s="691">
        <f>SUM(J87:J89)</f>
        <v>25903.361344537818</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58671.58342174485</v>
      </c>
      <c r="C4" s="445">
        <f>huishoudens!C8</f>
        <v>0</v>
      </c>
      <c r="D4" s="445">
        <f>huishoudens!D8</f>
        <v>135323.51977129051</v>
      </c>
      <c r="E4" s="445">
        <f>huishoudens!E8</f>
        <v>2663.832122705503</v>
      </c>
      <c r="F4" s="445">
        <f>huishoudens!F8</f>
        <v>90928.299598921512</v>
      </c>
      <c r="G4" s="445">
        <f>huishoudens!G8</f>
        <v>0</v>
      </c>
      <c r="H4" s="445">
        <f>huishoudens!H8</f>
        <v>0</v>
      </c>
      <c r="I4" s="445">
        <f>huishoudens!I8</f>
        <v>0</v>
      </c>
      <c r="J4" s="445">
        <f>huishoudens!J8</f>
        <v>2047.4747776151687</v>
      </c>
      <c r="K4" s="445">
        <f>huishoudens!K8</f>
        <v>0</v>
      </c>
      <c r="L4" s="445">
        <f>huishoudens!L8</f>
        <v>0</v>
      </c>
      <c r="M4" s="445">
        <f>huishoudens!M8</f>
        <v>0</v>
      </c>
      <c r="N4" s="445">
        <f>huishoudens!N8</f>
        <v>17676.822992981004</v>
      </c>
      <c r="O4" s="445">
        <f>huishoudens!O8</f>
        <v>164.15</v>
      </c>
      <c r="P4" s="446">
        <f>huishoudens!P8</f>
        <v>400.4</v>
      </c>
      <c r="Q4" s="447">
        <f>SUM(B4:P4)</f>
        <v>307876.08268525859</v>
      </c>
    </row>
    <row r="5" spans="1:17">
      <c r="A5" s="444" t="s">
        <v>149</v>
      </c>
      <c r="B5" s="445">
        <f ca="1">tertiair!B16</f>
        <v>99344.504451052184</v>
      </c>
      <c r="C5" s="445">
        <f ca="1">tertiair!C16</f>
        <v>8614.2857142857138</v>
      </c>
      <c r="D5" s="445">
        <f ca="1">tertiair!D16</f>
        <v>79700.202332659581</v>
      </c>
      <c r="E5" s="445">
        <f>tertiair!E16</f>
        <v>1496.1334424790714</v>
      </c>
      <c r="F5" s="445">
        <f ca="1">tertiair!F16</f>
        <v>15561.766050180158</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3.1266666666666669</v>
      </c>
      <c r="P5" s="446">
        <f>tertiair!P16</f>
        <v>19.066666666666666</v>
      </c>
      <c r="Q5" s="444">
        <f t="shared" ref="Q5:Q14" ca="1" si="0">SUM(B5:P5)</f>
        <v>204739.08532399006</v>
      </c>
    </row>
    <row r="6" spans="1:17">
      <c r="A6" s="444" t="s">
        <v>187</v>
      </c>
      <c r="B6" s="445">
        <f>'openbare verlichting'!B8</f>
        <v>3220.174</v>
      </c>
      <c r="C6" s="445"/>
      <c r="D6" s="445"/>
      <c r="E6" s="445"/>
      <c r="F6" s="445"/>
      <c r="G6" s="445"/>
      <c r="H6" s="445"/>
      <c r="I6" s="445"/>
      <c r="J6" s="445"/>
      <c r="K6" s="445"/>
      <c r="L6" s="445"/>
      <c r="M6" s="445"/>
      <c r="N6" s="445"/>
      <c r="O6" s="445"/>
      <c r="P6" s="446"/>
      <c r="Q6" s="444">
        <f t="shared" si="0"/>
        <v>3220.174</v>
      </c>
    </row>
    <row r="7" spans="1:17">
      <c r="A7" s="444" t="s">
        <v>105</v>
      </c>
      <c r="B7" s="445">
        <f>landbouw!B8</f>
        <v>9796.912704136379</v>
      </c>
      <c r="C7" s="445">
        <f>landbouw!C8</f>
        <v>13403.571428571429</v>
      </c>
      <c r="D7" s="445">
        <f>landbouw!D8</f>
        <v>587.23872183432695</v>
      </c>
      <c r="E7" s="445">
        <f>landbouw!E8</f>
        <v>88.282614650830624</v>
      </c>
      <c r="F7" s="445">
        <f>landbouw!F8</f>
        <v>36709.330698342237</v>
      </c>
      <c r="G7" s="445">
        <f>landbouw!G8</f>
        <v>0</v>
      </c>
      <c r="H7" s="445">
        <f>landbouw!H8</f>
        <v>0</v>
      </c>
      <c r="I7" s="445">
        <f>landbouw!I8</f>
        <v>0</v>
      </c>
      <c r="J7" s="445">
        <f>landbouw!J8</f>
        <v>991.40704675907739</v>
      </c>
      <c r="K7" s="445">
        <f>landbouw!K8</f>
        <v>0</v>
      </c>
      <c r="L7" s="445">
        <f>landbouw!L8</f>
        <v>0</v>
      </c>
      <c r="M7" s="445">
        <f>landbouw!M8</f>
        <v>0</v>
      </c>
      <c r="N7" s="445">
        <f>landbouw!N8</f>
        <v>0</v>
      </c>
      <c r="O7" s="445">
        <f>landbouw!O8</f>
        <v>0</v>
      </c>
      <c r="P7" s="446">
        <f>landbouw!P8</f>
        <v>0</v>
      </c>
      <c r="Q7" s="444">
        <f t="shared" si="0"/>
        <v>61576.743214294285</v>
      </c>
    </row>
    <row r="8" spans="1:17">
      <c r="A8" s="444" t="s">
        <v>613</v>
      </c>
      <c r="B8" s="445">
        <f>industrie!B18</f>
        <v>166606.73884490249</v>
      </c>
      <c r="C8" s="445">
        <f>industrie!C18</f>
        <v>0</v>
      </c>
      <c r="D8" s="445">
        <f>industrie!D18</f>
        <v>235990.00479420449</v>
      </c>
      <c r="E8" s="445">
        <f>industrie!E18</f>
        <v>1414.8450413865783</v>
      </c>
      <c r="F8" s="445">
        <f>industrie!F18</f>
        <v>33550.779321908776</v>
      </c>
      <c r="G8" s="445">
        <f>industrie!G18</f>
        <v>0</v>
      </c>
      <c r="H8" s="445">
        <f>industrie!H18</f>
        <v>0</v>
      </c>
      <c r="I8" s="445">
        <f>industrie!I18</f>
        <v>0</v>
      </c>
      <c r="J8" s="445">
        <f>industrie!J18</f>
        <v>1524.6218848505193</v>
      </c>
      <c r="K8" s="445">
        <f>industrie!K18</f>
        <v>0</v>
      </c>
      <c r="L8" s="445">
        <f>industrie!L18</f>
        <v>0</v>
      </c>
      <c r="M8" s="445">
        <f>industrie!M18</f>
        <v>0</v>
      </c>
      <c r="N8" s="445">
        <f>industrie!N18</f>
        <v>2873.8251479710525</v>
      </c>
      <c r="O8" s="445">
        <f>industrie!O18</f>
        <v>0</v>
      </c>
      <c r="P8" s="446">
        <f>industrie!P18</f>
        <v>0</v>
      </c>
      <c r="Q8" s="444">
        <f t="shared" si="0"/>
        <v>441960.81503522384</v>
      </c>
    </row>
    <row r="9" spans="1:17" s="450" customFormat="1">
      <c r="A9" s="448" t="s">
        <v>555</v>
      </c>
      <c r="B9" s="449">
        <f>transport!B14</f>
        <v>2.5371881453991314</v>
      </c>
      <c r="C9" s="449">
        <f>transport!C14</f>
        <v>0</v>
      </c>
      <c r="D9" s="449">
        <f>transport!D14</f>
        <v>8.4178175490592526</v>
      </c>
      <c r="E9" s="449">
        <f>transport!E14</f>
        <v>866.51429396042408</v>
      </c>
      <c r="F9" s="449">
        <f>transport!F14</f>
        <v>0</v>
      </c>
      <c r="G9" s="449">
        <f>transport!G14</f>
        <v>185820.29826070386</v>
      </c>
      <c r="H9" s="449">
        <f>transport!H14</f>
        <v>28940.84840057043</v>
      </c>
      <c r="I9" s="449">
        <f>transport!I14</f>
        <v>0</v>
      </c>
      <c r="J9" s="449">
        <f>transport!J14</f>
        <v>0</v>
      </c>
      <c r="K9" s="449">
        <f>transport!K14</f>
        <v>0</v>
      </c>
      <c r="L9" s="449">
        <f>transport!L14</f>
        <v>0</v>
      </c>
      <c r="M9" s="449">
        <f>transport!M14</f>
        <v>9336.9897390679671</v>
      </c>
      <c r="N9" s="449">
        <f>transport!N14</f>
        <v>0</v>
      </c>
      <c r="O9" s="449">
        <f>transport!O14</f>
        <v>0</v>
      </c>
      <c r="P9" s="449">
        <f>transport!P14</f>
        <v>0</v>
      </c>
      <c r="Q9" s="448">
        <f>SUM(B9:P9)</f>
        <v>224975.60569999713</v>
      </c>
    </row>
    <row r="10" spans="1:17">
      <c r="A10" s="444" t="s">
        <v>545</v>
      </c>
      <c r="B10" s="445">
        <f>transport!B54</f>
        <v>18.399709018636596</v>
      </c>
      <c r="C10" s="445">
        <f>transport!C54</f>
        <v>0</v>
      </c>
      <c r="D10" s="445">
        <f>transport!D54</f>
        <v>0</v>
      </c>
      <c r="E10" s="445">
        <f>transport!E54</f>
        <v>0</v>
      </c>
      <c r="F10" s="445">
        <f>transport!F54</f>
        <v>0</v>
      </c>
      <c r="G10" s="445">
        <f>transport!G54</f>
        <v>3991.6321411209015</v>
      </c>
      <c r="H10" s="445">
        <f>transport!H54</f>
        <v>0</v>
      </c>
      <c r="I10" s="445">
        <f>transport!I54</f>
        <v>0</v>
      </c>
      <c r="J10" s="445">
        <f>transport!J54</f>
        <v>0</v>
      </c>
      <c r="K10" s="445">
        <f>transport!K54</f>
        <v>0</v>
      </c>
      <c r="L10" s="445">
        <f>transport!L54</f>
        <v>0</v>
      </c>
      <c r="M10" s="445">
        <f>transport!M54</f>
        <v>170.90635542971589</v>
      </c>
      <c r="N10" s="445">
        <f>transport!N54</f>
        <v>0</v>
      </c>
      <c r="O10" s="445">
        <f>transport!O54</f>
        <v>0</v>
      </c>
      <c r="P10" s="446">
        <f>transport!P54</f>
        <v>0</v>
      </c>
      <c r="Q10" s="444">
        <f t="shared" si="0"/>
        <v>4180.938205569254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4632.5277159819298</v>
      </c>
      <c r="C14" s="452"/>
      <c r="D14" s="452">
        <f>'SEAP template'!E25</f>
        <v>9145.7554289437703</v>
      </c>
      <c r="E14" s="452"/>
      <c r="F14" s="452"/>
      <c r="G14" s="452"/>
      <c r="H14" s="452"/>
      <c r="I14" s="452"/>
      <c r="J14" s="452"/>
      <c r="K14" s="452"/>
      <c r="L14" s="452"/>
      <c r="M14" s="452"/>
      <c r="N14" s="452"/>
      <c r="O14" s="452"/>
      <c r="P14" s="453"/>
      <c r="Q14" s="444">
        <f t="shared" si="0"/>
        <v>13778.283144925699</v>
      </c>
    </row>
    <row r="15" spans="1:17" s="457" customFormat="1">
      <c r="A15" s="454" t="s">
        <v>549</v>
      </c>
      <c r="B15" s="455">
        <f ca="1">SUM(B4:B14)</f>
        <v>342293.37803498184</v>
      </c>
      <c r="C15" s="455">
        <f t="shared" ref="C15:Q15" ca="1" si="1">SUM(C4:C14)</f>
        <v>22017.857142857145</v>
      </c>
      <c r="D15" s="455">
        <f t="shared" ca="1" si="1"/>
        <v>460755.13886648178</v>
      </c>
      <c r="E15" s="455">
        <f t="shared" si="1"/>
        <v>6529.607515182407</v>
      </c>
      <c r="F15" s="455">
        <f t="shared" ca="1" si="1"/>
        <v>176750.1756693527</v>
      </c>
      <c r="G15" s="455">
        <f t="shared" si="1"/>
        <v>189811.93040182476</v>
      </c>
      <c r="H15" s="455">
        <f t="shared" si="1"/>
        <v>28940.84840057043</v>
      </c>
      <c r="I15" s="455">
        <f t="shared" si="1"/>
        <v>0</v>
      </c>
      <c r="J15" s="455">
        <f t="shared" si="1"/>
        <v>4563.5037092247658</v>
      </c>
      <c r="K15" s="455">
        <f t="shared" si="1"/>
        <v>0</v>
      </c>
      <c r="L15" s="455">
        <f t="shared" ca="1" si="1"/>
        <v>0</v>
      </c>
      <c r="M15" s="455">
        <f t="shared" si="1"/>
        <v>9507.8960944976825</v>
      </c>
      <c r="N15" s="455">
        <f t="shared" ca="1" si="1"/>
        <v>20550.648140952057</v>
      </c>
      <c r="O15" s="455">
        <f t="shared" si="1"/>
        <v>167.27666666666667</v>
      </c>
      <c r="P15" s="455">
        <f t="shared" si="1"/>
        <v>419.46666666666664</v>
      </c>
      <c r="Q15" s="455">
        <f t="shared" ca="1" si="1"/>
        <v>1262307.7273092589</v>
      </c>
    </row>
    <row r="17" spans="1:17">
      <c r="A17" s="458" t="s">
        <v>550</v>
      </c>
      <c r="B17" s="725">
        <f ca="1">huishoudens!B10</f>
        <v>0.17505488243142162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10270.74713795889</v>
      </c>
      <c r="C22" s="445">
        <f t="shared" ref="C22:C32" ca="1" si="3">C4*$C$17</f>
        <v>0</v>
      </c>
      <c r="D22" s="445">
        <f t="shared" ref="D22:D32" si="4">D4*$D$17</f>
        <v>27335.350993800683</v>
      </c>
      <c r="E22" s="445">
        <f t="shared" ref="E22:E32" si="5">E4*$E$17</f>
        <v>604.68989185414921</v>
      </c>
      <c r="F22" s="445">
        <f t="shared" ref="F22:F32" si="6">F4*$F$17</f>
        <v>24277.855992912046</v>
      </c>
      <c r="G22" s="445">
        <f t="shared" ref="G22:G32" si="7">G4*$G$17</f>
        <v>0</v>
      </c>
      <c r="H22" s="445">
        <f t="shared" ref="H22:H32" si="8">H4*$H$17</f>
        <v>0</v>
      </c>
      <c r="I22" s="445">
        <f t="shared" ref="I22:I32" si="9">I4*$I$17</f>
        <v>0</v>
      </c>
      <c r="J22" s="445">
        <f t="shared" ref="J22:J32" si="10">J4*$J$17</f>
        <v>724.80607127576968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63213.450087801539</v>
      </c>
    </row>
    <row r="23" spans="1:17">
      <c r="A23" s="444" t="s">
        <v>149</v>
      </c>
      <c r="B23" s="445">
        <f t="shared" ca="1" si="2"/>
        <v>17390.74054688678</v>
      </c>
      <c r="C23" s="445">
        <f t="shared" ca="1" si="3"/>
        <v>0</v>
      </c>
      <c r="D23" s="445">
        <f t="shared" ca="1" si="4"/>
        <v>16099.440871197236</v>
      </c>
      <c r="E23" s="445">
        <f t="shared" si="5"/>
        <v>339.6222914427492</v>
      </c>
      <c r="F23" s="445">
        <f t="shared" ca="1" si="6"/>
        <v>4154.9915353981023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37984.79524492487</v>
      </c>
    </row>
    <row r="24" spans="1:17">
      <c r="A24" s="444" t="s">
        <v>187</v>
      </c>
      <c r="B24" s="445">
        <f t="shared" ca="1" si="2"/>
        <v>563.70718097872066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563.70718097872066</v>
      </c>
    </row>
    <row r="25" spans="1:17">
      <c r="A25" s="444" t="s">
        <v>105</v>
      </c>
      <c r="B25" s="445">
        <f t="shared" ca="1" si="2"/>
        <v>1714.9974016134947</v>
      </c>
      <c r="C25" s="445">
        <f t="shared" ca="1" si="3"/>
        <v>0</v>
      </c>
      <c r="D25" s="445">
        <f t="shared" si="4"/>
        <v>118.62222181053406</v>
      </c>
      <c r="E25" s="445">
        <f t="shared" si="5"/>
        <v>20.040153525738553</v>
      </c>
      <c r="F25" s="445">
        <f t="shared" si="6"/>
        <v>9801.3912964573774</v>
      </c>
      <c r="G25" s="445">
        <f t="shared" si="7"/>
        <v>0</v>
      </c>
      <c r="H25" s="445">
        <f t="shared" si="8"/>
        <v>0</v>
      </c>
      <c r="I25" s="445">
        <f t="shared" si="9"/>
        <v>0</v>
      </c>
      <c r="J25" s="445">
        <f t="shared" si="10"/>
        <v>350.95809455271336</v>
      </c>
      <c r="K25" s="445">
        <f t="shared" si="11"/>
        <v>0</v>
      </c>
      <c r="L25" s="445">
        <f t="shared" si="12"/>
        <v>0</v>
      </c>
      <c r="M25" s="445">
        <f t="shared" si="13"/>
        <v>0</v>
      </c>
      <c r="N25" s="445">
        <f t="shared" si="14"/>
        <v>0</v>
      </c>
      <c r="O25" s="445">
        <f t="shared" si="15"/>
        <v>0</v>
      </c>
      <c r="P25" s="446">
        <f t="shared" si="16"/>
        <v>0</v>
      </c>
      <c r="Q25" s="444">
        <f t="shared" ca="1" si="17"/>
        <v>12006.009167959859</v>
      </c>
    </row>
    <row r="26" spans="1:17">
      <c r="A26" s="444" t="s">
        <v>613</v>
      </c>
      <c r="B26" s="445">
        <f t="shared" ca="1" si="2"/>
        <v>29165.323080776969</v>
      </c>
      <c r="C26" s="445">
        <f t="shared" ca="1" si="3"/>
        <v>0</v>
      </c>
      <c r="D26" s="445">
        <f t="shared" si="4"/>
        <v>47669.980968429307</v>
      </c>
      <c r="E26" s="445">
        <f t="shared" si="5"/>
        <v>321.16982439475328</v>
      </c>
      <c r="F26" s="445">
        <f t="shared" si="6"/>
        <v>8958.0580789496435</v>
      </c>
      <c r="G26" s="445">
        <f t="shared" si="7"/>
        <v>0</v>
      </c>
      <c r="H26" s="445">
        <f t="shared" si="8"/>
        <v>0</v>
      </c>
      <c r="I26" s="445">
        <f t="shared" si="9"/>
        <v>0</v>
      </c>
      <c r="J26" s="445">
        <f t="shared" si="10"/>
        <v>539.71614723708376</v>
      </c>
      <c r="K26" s="445">
        <f t="shared" si="11"/>
        <v>0</v>
      </c>
      <c r="L26" s="445">
        <f t="shared" si="12"/>
        <v>0</v>
      </c>
      <c r="M26" s="445">
        <f t="shared" si="13"/>
        <v>0</v>
      </c>
      <c r="N26" s="445">
        <f t="shared" si="14"/>
        <v>0</v>
      </c>
      <c r="O26" s="445">
        <f t="shared" si="15"/>
        <v>0</v>
      </c>
      <c r="P26" s="446">
        <f t="shared" si="16"/>
        <v>0</v>
      </c>
      <c r="Q26" s="444">
        <f t="shared" ca="1" si="17"/>
        <v>86654.248099787743</v>
      </c>
    </row>
    <row r="27" spans="1:17" s="450" customFormat="1">
      <c r="A27" s="448" t="s">
        <v>555</v>
      </c>
      <c r="B27" s="719">
        <f t="shared" ca="1" si="2"/>
        <v>0.44414717249924157</v>
      </c>
      <c r="C27" s="449">
        <f t="shared" ca="1" si="3"/>
        <v>0</v>
      </c>
      <c r="D27" s="449">
        <f t="shared" si="4"/>
        <v>1.7003991449099691</v>
      </c>
      <c r="E27" s="449">
        <f t="shared" si="5"/>
        <v>196.69874472901628</v>
      </c>
      <c r="F27" s="449">
        <f t="shared" si="6"/>
        <v>0</v>
      </c>
      <c r="G27" s="449">
        <f t="shared" si="7"/>
        <v>49614.019635607932</v>
      </c>
      <c r="H27" s="449">
        <f t="shared" si="8"/>
        <v>7206.2712517420368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57019.134178396394</v>
      </c>
    </row>
    <row r="28" spans="1:17">
      <c r="A28" s="444" t="s">
        <v>545</v>
      </c>
      <c r="B28" s="445">
        <f t="shared" ca="1" si="2"/>
        <v>3.2209588990297973</v>
      </c>
      <c r="C28" s="445">
        <f t="shared" ca="1" si="3"/>
        <v>0</v>
      </c>
      <c r="D28" s="445">
        <f t="shared" si="4"/>
        <v>0</v>
      </c>
      <c r="E28" s="445">
        <f t="shared" si="5"/>
        <v>0</v>
      </c>
      <c r="F28" s="445">
        <f t="shared" si="6"/>
        <v>0</v>
      </c>
      <c r="G28" s="445">
        <f t="shared" si="7"/>
        <v>1065.7657816792807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1068.9867405783104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810.94659468151883</v>
      </c>
      <c r="C32" s="445">
        <f t="shared" ca="1" si="3"/>
        <v>0</v>
      </c>
      <c r="D32" s="445">
        <f t="shared" si="4"/>
        <v>1847.4425966466417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2658.3891913281605</v>
      </c>
    </row>
    <row r="33" spans="1:17" s="457" customFormat="1">
      <c r="A33" s="454" t="s">
        <v>549</v>
      </c>
      <c r="B33" s="455">
        <f ca="1">SUM(B22:B32)</f>
        <v>59920.127048967901</v>
      </c>
      <c r="C33" s="455">
        <f t="shared" ref="C33:Q33" ca="1" si="19">SUM(C22:C32)</f>
        <v>0</v>
      </c>
      <c r="D33" s="455">
        <f t="shared" ca="1" si="19"/>
        <v>93072.538051029303</v>
      </c>
      <c r="E33" s="455">
        <f t="shared" si="19"/>
        <v>1482.2209059464064</v>
      </c>
      <c r="F33" s="455">
        <f t="shared" ca="1" si="19"/>
        <v>47192.296903717172</v>
      </c>
      <c r="G33" s="455">
        <f t="shared" si="19"/>
        <v>50679.78541728721</v>
      </c>
      <c r="H33" s="455">
        <f t="shared" si="19"/>
        <v>7206.2712517420368</v>
      </c>
      <c r="I33" s="455">
        <f t="shared" si="19"/>
        <v>0</v>
      </c>
      <c r="J33" s="455">
        <f t="shared" si="19"/>
        <v>1615.4803130655669</v>
      </c>
      <c r="K33" s="455">
        <f t="shared" si="19"/>
        <v>0</v>
      </c>
      <c r="L33" s="455">
        <f t="shared" ca="1" si="19"/>
        <v>0</v>
      </c>
      <c r="M33" s="455">
        <f t="shared" si="19"/>
        <v>0</v>
      </c>
      <c r="N33" s="455">
        <f t="shared" ca="1" si="19"/>
        <v>0</v>
      </c>
      <c r="O33" s="455">
        <f t="shared" si="19"/>
        <v>0</v>
      </c>
      <c r="P33" s="455">
        <f t="shared" si="19"/>
        <v>0</v>
      </c>
      <c r="Q33" s="455">
        <f t="shared" ca="1" si="19"/>
        <v>261168.71989175561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34193.681244038504</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7191.40018927863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15412.5</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18132.352941176472</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14364</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35910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71161.581433317129</v>
      </c>
      <c r="C10" s="967">
        <f>SUM(C4:C9)</f>
        <v>0</v>
      </c>
      <c r="D10" s="967">
        <f t="shared" ref="D10:H10" si="0">SUM(D8:D9)</f>
        <v>0</v>
      </c>
      <c r="E10" s="967">
        <f t="shared" si="0"/>
        <v>0</v>
      </c>
      <c r="F10" s="967">
        <f t="shared" si="0"/>
        <v>0</v>
      </c>
      <c r="G10" s="967">
        <f t="shared" si="0"/>
        <v>0</v>
      </c>
      <c r="H10" s="967">
        <f t="shared" si="0"/>
        <v>0</v>
      </c>
      <c r="I10" s="967">
        <f>SUM(I8:I9)</f>
        <v>0</v>
      </c>
      <c r="J10" s="967">
        <f>SUM(J8:J9)</f>
        <v>54042.352941176476</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0.17505488243142162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22017.857142857145</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25903.361344537818</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22017.857142857145</v>
      </c>
      <c r="C20" s="967">
        <f>SUM(C17:C19)</f>
        <v>0</v>
      </c>
      <c r="D20" s="967">
        <f t="shared" ref="D20:H20" si="2">SUM(D17:D19)</f>
        <v>0</v>
      </c>
      <c r="E20" s="967">
        <f t="shared" si="2"/>
        <v>0</v>
      </c>
      <c r="F20" s="967">
        <f t="shared" si="2"/>
        <v>0</v>
      </c>
      <c r="G20" s="967">
        <f t="shared" si="2"/>
        <v>0</v>
      </c>
      <c r="H20" s="967">
        <f t="shared" si="2"/>
        <v>0</v>
      </c>
      <c r="I20" s="967">
        <f>SUM(I17:I19)</f>
        <v>0</v>
      </c>
      <c r="J20" s="967">
        <f>SUM(J17:J19)</f>
        <v>25903.361344537818</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0.17505488243142162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2022-07-26T12:55:15Z</dcterms:modified>
</cp:coreProperties>
</file>