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8E134F3E-3516-4D49-8A82-DEE79F5B548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6" i="18"/>
  <c r="I50" i="18"/>
  <c r="H17" i="18"/>
  <c r="J9" i="18"/>
  <c r="O9" i="18"/>
  <c r="B17" i="18"/>
  <c r="B20" i="18"/>
  <c r="C46" i="18"/>
  <c r="H49" i="18"/>
  <c r="O19" i="18"/>
  <c r="O18" i="18"/>
  <c r="L20" i="18"/>
  <c r="B10" i="18"/>
  <c r="D50"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0" i="18"/>
  <c r="C17" i="18"/>
  <c r="D87" i="14"/>
  <c r="D17" i="55"/>
  <c r="D20" i="55"/>
  <c r="L20" i="55"/>
  <c r="F50" i="18"/>
  <c r="G50" i="18"/>
  <c r="I17" i="18"/>
  <c r="J77" i="14"/>
  <c r="J9" i="55"/>
  <c r="H50" i="18"/>
  <c r="H20" i="18"/>
  <c r="M87" i="14"/>
  <c r="M17" i="55"/>
  <c r="M20" i="55"/>
  <c r="C50" i="18"/>
  <c r="E50" i="18"/>
  <c r="E17" i="18"/>
  <c r="K10" i="55"/>
  <c r="C49" i="18"/>
  <c r="E49" i="18"/>
  <c r="E8" i="18"/>
  <c r="G49" i="18"/>
  <c r="I49" i="18"/>
  <c r="H8" i="18"/>
  <c r="B49" i="18"/>
  <c r="C8" i="18"/>
  <c r="D76" i="14"/>
  <c r="D8" i="55"/>
  <c r="D10" i="55"/>
  <c r="D49" i="18"/>
  <c r="F49"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<sst xmlns="http://schemas.openxmlformats.org/spreadsheetml/2006/main" count="2523" uniqueCount="967">
  <si>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</si>
  <si>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</si>
  <si>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</si>
  <si>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</si>
  <si>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</si>
  <si>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</si>
  <si>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</si>
  <si>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</si>
  <si>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</si>
  <si>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</si>
  <si>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</si>
  <si>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</si>
  <si>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</si>
  <si>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</si>
  <si>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</si>
  <si>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</si>
  <si>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</si>
  <si>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</si>
  <si>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</si>
  <si>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</si>
  <si>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</si>
  <si>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</si>
  <si>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</si>
  <si>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</si>
  <si>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</si>
  <si>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</si>
  <si>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</si>
  <si>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</si>
  <si>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</si>
  <si>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</si>
  <si>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</si>
  <si>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</si>
  <si>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</si>
  <si>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</si>
  <si>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</si>
  <si>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</si>
  <si>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</si>
  <si>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</si>
  <si>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</si>
  <si>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</si>
  <si>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</si>
  <si>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</si>
  <si>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</si>
  <si>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</si>
  <si>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</si>
  <si>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</si>
  <si>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</si>
  <si>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</si>
  <si>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</si>
  <si>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</si>
  <si>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</si>
  <si>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</si>
  <si>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</si>
  <si>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</si>
  <si>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</si>
  <si>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</si>
  <si>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</si>
  <si>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</si>
  <si>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</si>
  <si>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</si>
  <si>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</si>
  <si>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</si>
  <si>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</si>
  <si>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</si>
  <si>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</si>
  <si>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</si>
  <si>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</si>
  <si>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</si>
  <si>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</si>
  <si>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</si>
  <si>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</si>
  <si>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</si>
  <si>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</si>
  <si>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</si>
  <si>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</si>
  <si>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</si>
  <si>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</si>
  <si>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</si>
  <si>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</si>
  <si>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</si>
  <si>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</si>
  <si>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</si>
  <si>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</si>
  <si>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</si>
  <si>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</si>
  <si>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</si>
  <si>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</si>
  <si>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</si>
  <si>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</si>
  <si>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</si>
  <si>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</si>
  <si>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</si>
  <si>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</si>
  <si>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</si>
  <si>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</si>
  <si>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</si>
  <si>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</si>
  <si>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</si>
  <si>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</si>
  <si>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</si>
  <si>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</si>
  <si>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</si>
  <si>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</si>
  <si>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</si>
  <si>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</si>
  <si>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</si>
  <si>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</si>
  <si>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</si>
  <si>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</si>
  <si>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</si>
  <si>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</si>
  <si>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</si>
  <si>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</si>
  <si>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</si>
  <si>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</si>
  <si>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</si>
  <si>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</si>
  <si>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</si>
  <si>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</si>
  <si>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</si>
  <si>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</si>
  <si>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</si>
  <si>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</si>
  <si>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</si>
  <si>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</si>
  <si>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</si>
  <si>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</si>
  <si>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</si>
  <si>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</si>
  <si>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</si>
  <si>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</si>
  <si>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</si>
  <si>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</si>
  <si>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</si>
  <si>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</si>
  <si>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</si>
  <si>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</si>
  <si>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</si>
  <si>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</si>
  <si>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</si>
  <si>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</si>
  <si>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</si>
  <si>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</si>
  <si>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</si>
  <si>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</si>
  <si>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</si>
  <si>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</si>
  <si>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</si>
  <si>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</si>
  <si>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</si>
  <si>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</si>
  <si>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</si>
  <si>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</si>
  <si>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</si>
  <si>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</si>
  <si>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</si>
  <si>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</si>
  <si>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</si>
  <si>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</si>
  <si>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</si>
  <si>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</si>
  <si>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</si>
  <si>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</si>
  <si>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</si>
  <si>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</si>
  <si>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</si>
  <si>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</si>
  <si>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</si>
  <si>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</si>
  <si>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</si>
  <si>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</si>
  <si>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</si>
  <si>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</si>
  <si>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</si>
  <si>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</si>
  <si>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</si>
  <si>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</si>
  <si>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</si>
  <si>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</si>
  <si>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</si>
  <si>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</si>
  <si>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</si>
  <si>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</si>
  <si>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</si>
  <si>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</si>
  <si>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</si>
  <si>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</si>
  <si>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</si>
  <si>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</si>
  <si>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</si>
  <si>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</si>
  <si>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</si>
  <si>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</si>
  <si>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</si>
  <si>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</si>
  <si>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</si>
  <si>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</si>
  <si>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</si>
  <si>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</si>
  <si>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</si>
  <si>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</si>
  <si>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</si>
  <si>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</si>
  <si>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</si>
  <si>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</si>
  <si>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</si>
  <si>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</si>
  <si>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</si>
  <si>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</si>
  <si>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</si>
  <si>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</si>
  <si>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</si>
  <si>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</si>
  <si>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</si>
  <si>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</si>
  <si>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</si>
  <si>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</si>
  <si>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</si>
  <si>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</si>
  <si>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</si>
  <si>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</si>
  <si>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</si>
  <si>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</si>
  <si>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</si>
  <si>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</si>
  <si>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</si>
  <si>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</si>
  <si>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</si>
  <si>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</si>
  <si>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</si>
  <si>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</si>
  <si>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</si>
  <si>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</si>
  <si>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</si>
  <si>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</si>
  <si>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</si>
  <si>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</si>
  <si>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</si>
  <si>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</si>
  <si>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</si>
  <si>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</si>
  <si>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</si>
  <si>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</si>
  <si>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</si>
  <si>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</si>
  <si>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</si>
  <si>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</si>
  <si>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</si>
  <si>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</si>
  <si>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</si>
  <si>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</si>
  <si>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</si>
  <si>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</si>
  <si>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</si>
  <si>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</si>
  <si>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</si>
  <si>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</si>
  <si>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</si>
  <si>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</si>
  <si>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</si>
  <si>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</si>
  <si>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</si>
  <si>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</si>
  <si>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</si>
  <si>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</si>
  <si>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</si>
  <si>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</si>
  <si>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</si>
  <si>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</si>
  <si>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</si>
  <si>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</si>
  <si>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</si>
  <si>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</si>
  <si>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</si>
  <si>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</si>
  <si>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</si>
  <si>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</si>
  <si>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</si>
  <si>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</si>
  <si>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</si>
  <si>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</si>
  <si>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</si>
  <si>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</si>
  <si>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</si>
  <si>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</si>
  <si>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</si>
  <si>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</si>
  <si>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</si>
  <si>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</si>
  <si>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</si>
  <si>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</si>
  <si>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</si>
  <si>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</si>
  <si>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</si>
  <si>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</si>
  <si>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</si>
  <si>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</si>
  <si>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</si>
  <si>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</si>
  <si>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</si>
  <si>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</si>
  <si>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</si>
  <si>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</si>
  <si>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</si>
  <si>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</si>
  <si>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</si>
  <si>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</si>
  <si>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</si>
  <si>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</si>
  <si>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</si>
  <si>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</si>
  <si>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</si>
  <si>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</si>
  <si>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</si>
  <si>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</si>
  <si>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</si>
  <si>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</si>
  <si>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</si>
  <si>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</si>
  <si>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</si>
  <si>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</si>
  <si>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</si>
  <si>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</si>
  <si>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</si>
  <si>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</si>
  <si>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</si>
  <si>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</si>
  <si>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</si>
  <si>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</si>
  <si>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</si>
  <si>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</si>
  <si>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</si>
  <si>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</si>
  <si>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</si>
  <si>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</si>
  <si>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</si>
  <si>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</si>
  <si>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</si>
  <si>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</si>
  <si>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</si>
  <si>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</si>
  <si>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</si>
  <si>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</si>
  <si>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</si>
  <si>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</si>
  <si>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</si>
  <si>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</si>
  <si>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</si>
  <si>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</si>
  <si>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</si>
  <si>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</si>
  <si>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</si>
  <si>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</si>
  <si>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</si>
  <si>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</si>
  <si>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</si>
  <si>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</si>
  <si>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</si>
  <si>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</si>
  <si>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</si>
  <si>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</si>
  <si>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</si>
  <si>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</si>
  <si>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</si>
  <si>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</si>
  <si>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</si>
  <si>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</si>
  <si>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</si>
  <si>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</si>
  <si>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</si>
  <si>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</si>
  <si>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</si>
  <si>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</si>
  <si>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</si>
  <si>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</si>
  <si>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</si>
  <si>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</si>
  <si>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</si>
  <si>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</si>
  <si>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</si>
  <si>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</si>
  <si>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</si>
  <si>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</si>
  <si>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</si>
  <si>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</si>
  <si>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</si>
  <si>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</si>
  <si>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</si>
  <si>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</si>
  <si>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</si>
  <si>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</si>
  <si>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</si>
  <si>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</si>
  <si>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</si>
  <si>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</si>
  <si>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</si>
  <si>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</si>
  <si>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</si>
  <si>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</si>
  <si>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</si>
  <si>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</si>
  <si>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</si>
  <si>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</si>
  <si>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</si>
  <si>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</si>
  <si>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</si>
  <si>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</si>
  <si>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</si>
  <si>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</si>
  <si>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</si>
  <si>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</si>
  <si>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</si>
  <si>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</si>
  <si>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</si>
  <si>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</si>
  <si>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</si>
  <si>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</si>
  <si>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</si>
  <si>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</si>
  <si>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</si>
  <si>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</si>
  <si>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</si>
  <si>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</si>
  <si>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</si>
  <si>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</si>
  <si>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</si>
  <si>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</si>
  <si>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</si>
  <si>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</si>
  <si>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</si>
  <si>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</si>
  <si>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</si>
  <si>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</si>
  <si>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</si>
  <si>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</si>
  <si>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</si>
  <si>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</si>
  <si>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</si>
  <si>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</si>
  <si>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</si>
  <si>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</si>
  <si>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</si>
  <si>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</si>
  <si>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</si>
  <si>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</si>
  <si>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</si>
  <si>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</si>
  <si>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</si>
  <si>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</si>
  <si>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</si>
  <si>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</si>
  <si>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</si>
  <si>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</si>
  <si>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</si>
  <si>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</si>
  <si>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</si>
  <si>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</si>
  <si>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</si>
  <si>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</si>
  <si>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</si>
  <si>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</si>
  <si>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</si>
  <si>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</si>
  <si>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</si>
  <si>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</si>
  <si>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</si>
  <si>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</si>
  <si>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</si>
  <si>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</si>
  <si>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</si>
  <si>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</si>
  <si>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</si>
  <si>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</si>
  <si>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</si>
  <si>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</si>
  <si>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</si>
  <si>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</si>
  <si>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</si>
  <si>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</si>
  <si>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</si>
  <si>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</si>
  <si>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</si>
  <si>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</si>
  <si>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</si>
  <si>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</si>
  <si>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</si>
  <si>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</si>
  <si>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</si>
  <si>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</si>
  <si>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</si>
  <si>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</si>
  <si>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</si>
  <si>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</si>
  <si>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</si>
  <si>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</si>
  <si>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</si>
  <si>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</si>
  <si>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</si>
  <si>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</si>
  <si>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</si>
  <si>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</si>
  <si>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</si>
  <si>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</si>
  <si>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</si>
  <si>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</si>
  <si>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</si>
  <si>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</si>
  <si>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</si>
  <si>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</si>
  <si>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</si>
  <si>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</si>
  <si>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</si>
  <si>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</si>
  <si>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</si>
  <si>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</si>
  <si>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</si>
  <si>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</si>
  <si>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</si>
  <si>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</si>
  <si>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</si>
  <si>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</si>
  <si>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</si>
  <si>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</si>
  <si>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</si>
  <si>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</si>
  <si>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</si>
  <si>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</si>
  <si>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</si>
  <si>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</si>
  <si>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</si>
  <si>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</si>
  <si>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</si>
  <si>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</si>
  <si>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</si>
  <si>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</si>
  <si>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</si>
  <si>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</si>
  <si>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</si>
  <si>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</si>
  <si>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</si>
  <si>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</si>
  <si>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</si>
  <si>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</si>
  <si>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</si>
  <si>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</si>
  <si>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</si>
  <si>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</si>
  <si>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</si>
  <si>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</si>
  <si>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</si>
  <si>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</si>
  <si>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</si>
  <si>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</si>
  <si>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</si>
  <si>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</si>
  <si>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</si>
  <si>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</si>
  <si>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</si>
  <si>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</si>
  <si>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</si>
  <si>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</si>
  <si>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</si>
  <si>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</si>
  <si>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</si>
  <si>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</si>
  <si>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</si>
  <si>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</si>
  <si>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</si>
  <si>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</si>
  <si>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</si>
  <si>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</si>
  <si>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</si>
  <si>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</si>
  <si>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</si>
  <si>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</si>
  <si>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</si>
  <si>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</si>
  <si>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</si>
  <si>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</si>
  <si>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</si>
  <si>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</si>
  <si>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</si>
  <si>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</si>
  <si>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</si>
  <si>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</si>
  <si>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</si>
  <si>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</si>
  <si>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</si>
  <si>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</si>
  <si>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</si>
  <si>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</si>
  <si>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</si>
  <si>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</si>
  <si>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</si>
  <si>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</si>
  <si>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</si>
  <si>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</si>
  <si>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</si>
  <si>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</si>
  <si>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</si>
  <si>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</si>
  <si>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</si>
  <si>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</si>
  <si>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</si>
  <si>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</si>
  <si>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</si>
  <si>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</si>
  <si>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</si>
  <si>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</si>
  <si>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</si>
  <si>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</si>
  <si>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</si>
  <si>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</si>
  <si>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</si>
  <si>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</si>
  <si>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</si>
  <si>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</si>
  <si>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</si>
  <si>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</si>
  <si>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</si>
  <si>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</si>
  <si>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</si>
  <si>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</si>
  <si>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</si>
  <si>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</si>
  <si>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</si>
  <si>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</si>
  <si>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</si>
  <si>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</si>
  <si>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</si>
  <si>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</si>
  <si>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</si>
  <si>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</si>
  <si>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</si>
  <si>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</si>
  <si>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</si>
  <si>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</si>
  <si>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</si>
  <si>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</si>
  <si>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</si>
  <si>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</si>
  <si>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</si>
  <si>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</si>
  <si>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</si>
  <si>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</si>
  <si>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</si>
  <si>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</si>
  <si>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</si>
  <si>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</si>
  <si>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</si>
  <si>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</si>
  <si>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</si>
  <si>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</si>
  <si>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</si>
  <si>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</si>
  <si>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</si>
  <si>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</si>
  <si>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</si>
  <si>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</si>
  <si>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</si>
  <si>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</si>
  <si>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</si>
  <si>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</si>
  <si>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</si>
  <si>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</si>
  <si>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</si>
  <si>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</si>
  <si>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</si>
  <si>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</si>
  <si>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</si>
  <si>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</si>
  <si>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</si>
  <si>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</si>
  <si>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</si>
  <si>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</si>
  <si>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</si>
  <si>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</si>
  <si>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</si>
  <si>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</si>
  <si>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</si>
  <si>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</si>
  <si>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</si>
  <si>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</si>
  <si>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</si>
  <si>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</si>
  <si>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</si>
  <si>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</si>
  <si>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</si>
  <si>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</si>
  <si>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</si>
  <si>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</si>
  <si>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</si>
  <si>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</si>
  <si>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</si>
  <si>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</si>
  <si>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</si>
  <si>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</si>
  <si>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</si>
  <si>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</si>
  <si>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</si>
  <si>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</si>
  <si>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</si>
  <si>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</si>
  <si>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</si>
  <si>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</si>
  <si>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</si>
  <si>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</si>
  <si>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</si>
  <si>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</si>
  <si>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</si>
  <si>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</si>
  <si>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</si>
  <si>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</si>
  <si>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</si>
  <si>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</si>
  <si>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</si>
  <si>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</si>
  <si>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</si>
  <si>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</si>
  <si>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</si>
  <si>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</si>
  <si>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</si>
  <si>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</si>
  <si>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</si>
  <si>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</si>
  <si>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</si>
  <si>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</si>
  <si>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</si>
  <si>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</si>
  <si>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</si>
  <si>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</si>
  <si>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</si>
  <si>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</si>
  <si>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</si>
  <si>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</si>
  <si>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</si>
  <si>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</si>
  <si>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</si>
  <si>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</si>
  <si>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</si>
  <si>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</si>
  <si>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</si>
  <si>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</si>
  <si>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</si>
  <si>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</si>
  <si>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</si>
  <si>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</si>
  <si>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</si>
  <si>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</si>
  <si>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</si>
  <si>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</si>
  <si>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</si>
  <si>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</si>
  <si>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</si>
  <si>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</si>
  <si>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</si>
  <si>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</si>
  <si>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</si>
  <si>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</si>
  <si>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</si>
  <si>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</si>
  <si>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</si>
  <si>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</si>
  <si>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</si>
  <si>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</si>
  <si>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</si>
  <si>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</si>
  <si>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</si>
  <si>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</si>
  <si>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</si>
  <si>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</si>
  <si>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</si>
  <si>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</si>
  <si>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</si>
  <si>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</si>
  <si>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</si>
  <si>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</si>
  <si>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</si>
  <si>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</si>
  <si>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</si>
  <si>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</si>
  <si>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</si>
  <si>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</si>
  <si>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</si>
  <si>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</si>
  <si>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</si>
  <si>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</si>
  <si>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</si>
  <si>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</si>
  <si>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</si>
  <si>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</si>
  <si>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</si>
  <si>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</si>
  <si>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</si>
  <si>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</si>
  <si>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</si>
  <si>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</si>
  <si>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</si>
  <si>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</si>
  <si>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</si>
  <si>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</si>
  <si>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</si>
  <si>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</si>
  <si>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</si>
  <si>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</si>
  <si>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</si>
  <si>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</si>
  <si>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</si>
  <si>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</si>
  <si>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</si>
  <si>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</si>
  <si>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</si>
  <si>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</si>
  <si>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</si>
  <si>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</si>
  <si>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</si>
  <si>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</si>
  <si>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</si>
  <si>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</si>
  <si>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</si>
  <si>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</si>
  <si>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</si>
  <si>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</si>
  <si>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</si>
  <si>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</si>
  <si>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</si>
  <si>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</si>
  <si>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</si>
  <si>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</si>
  <si>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</si>
  <si>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</si>
  <si>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</si>
  <si>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</si>
  <si>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</si>
  <si>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</si>
  <si>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</si>
  <si>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</si>
  <si>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</si>
  <si>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</si>
  <si>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</si>
  <si>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</si>
  <si>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</si>
  <si>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</si>
  <si>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</si>
  <si>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</si>
  <si>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</si>
  <si>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</si>
  <si>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</si>
  <si>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</si>
  <si>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</si>
  <si>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</si>
  <si>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</si>
  <si>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</si>
  <si>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</si>
  <si>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</si>
  <si>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</si>
  <si>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</si>
  <si>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</si>
  <si>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</si>
  <si>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</si>
  <si>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</si>
  <si>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</si>
  <si>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</si>
  <si>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</si>
  <si>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</si>
  <si>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</si>
  <si>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</si>
  <si>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</si>
  <si>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</si>
  <si>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</si>
  <si>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</si>
  <si>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</si>
  <si>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</si>
  <si>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</si>
  <si>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</si>
  <si>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</si>
  <si>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</si>
  <si>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</si>
  <si>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</si>
  <si>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</si>
  <si>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</si>
  <si>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</si>
  <si>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</si>
  <si>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</si>
  <si>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</si>
  <si>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</si>
  <si>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</si>
  <si>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</si>
  <si>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</si>
  <si>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</si>
  <si>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</si>
  <si>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</si>
  <si>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</si>
  <si>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</si>
  <si>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</si>
  <si>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</si>
  <si>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</si>
  <si>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</si>
  <si>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</si>
  <si>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</si>
  <si>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</si>
  <si>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</si>
  <si>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</si>
  <si>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</si>
  <si>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</si>
  <si>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</si>
  <si>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</si>
  <si>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</si>
  <si>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</si>
  <si>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</si>
  <si>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</si>
  <si>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</si>
  <si>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</si>
  <si>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</si>
  <si>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</si>
  <si>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</si>
  <si>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</si>
  <si>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</si>
  <si>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</si>
  <si>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</si>
  <si>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</si>
  <si>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</si>
  <si>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</si>
  <si>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</si>
  <si>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</si>
  <si>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</si>
  <si>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</si>
  <si>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</si>
  <si>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</si>
  <si>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</si>
  <si>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</si>
  <si>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</si>
  <si>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</si>
  <si>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</si>
  <si>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</si>
  <si>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</si>
  <si>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</si>
  <si>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</si>
  <si>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</si>
  <si>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</si>
  <si>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</si>
  <si>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</si>
  <si>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</si>
  <si>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</si>
  <si>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</si>
  <si>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</si>
  <si>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</si>
  <si>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</si>
  <si>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</si>
  <si>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</si>
  <si>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</si>
  <si>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</si>
  <si>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</si>
  <si>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</si>
  <si>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</si>
  <si>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</si>
  <si>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</si>
  <si>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32003</t>
  </si>
  <si>
    <t>DIKSMUIDE</t>
  </si>
  <si>
    <t>Paarden&amp;pony's 200 - 600 kg</t>
  </si>
  <si>
    <t>Paarden&amp;pony's &lt; 200 kg</t>
  </si>
  <si>
    <t>vloeibaar gas (MWh)</t>
  </si>
  <si>
    <t>biomassa uit land- of bosbouw</t>
  </si>
  <si>
    <t>niet WKK interne verbrandingsmotor (vloeibaar)</t>
  </si>
  <si>
    <t>Infrax West</t>
  </si>
  <si>
    <t>biogas - hoofdzakelijk agrarische stromen</t>
  </si>
  <si>
    <t>niet WKK interne verbrandingsmotor (andere biomassa)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</si>
</sst>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FE4A9BF7-25D6-4539-85F6-527267B4F12E}"/>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32003</v>
      </c>
      <c r="B6" s="382"/>
      <c r="C6" s="383"/>
    </row>
    <row r="7" spans="1:7" s="380" customFormat="1" ht="15.75" customHeight="1">
      <c r="A7" s="384" t="str">
        <f>txtMunicipality</f>
        <v>DIKSMUIDE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0.20329589841940759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0.20329589841940759</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6736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12412</v>
      </c>
      <c r="C14" s="324"/>
      <c r="D14" s="324"/>
      <c r="E14" s="324"/>
      <c r="F14" s="324"/>
    </row>
    <row r="15" spans="1:6">
      <c r="A15" s="1235" t="s">
        <v>177</v>
      </c>
      <c r="B15" s="1236">
        <v>191</v>
      </c>
      <c r="C15" s="324"/>
      <c r="D15" s="324"/>
      <c r="E15" s="324"/>
      <c r="F15" s="324"/>
    </row>
    <row r="16" spans="1:6">
      <c r="A16" s="1235" t="s">
        <v>6</v>
      </c>
      <c r="B16" s="1236">
        <v>6044</v>
      </c>
      <c r="C16" s="324"/>
      <c r="D16" s="324"/>
      <c r="E16" s="324"/>
      <c r="F16" s="324"/>
    </row>
    <row r="17" spans="1:6">
      <c r="A17" s="1235" t="s">
        <v>7</v>
      </c>
      <c r="B17" s="1236">
        <v>3558</v>
      </c>
      <c r="C17" s="324"/>
      <c r="D17" s="324"/>
      <c r="E17" s="324"/>
      <c r="F17" s="324"/>
    </row>
    <row r="18" spans="1:6">
      <c r="A18" s="1235" t="s">
        <v>8</v>
      </c>
      <c r="B18" s="1236">
        <v>6039</v>
      </c>
      <c r="C18" s="324"/>
      <c r="D18" s="324"/>
      <c r="E18" s="324"/>
      <c r="F18" s="324"/>
    </row>
    <row r="19" spans="1:6">
      <c r="A19" s="1235" t="s">
        <v>9</v>
      </c>
      <c r="B19" s="1236">
        <v>6060</v>
      </c>
      <c r="C19" s="324"/>
      <c r="D19" s="324"/>
      <c r="E19" s="324"/>
      <c r="F19" s="324"/>
    </row>
    <row r="20" spans="1:6">
      <c r="A20" s="1235" t="s">
        <v>10</v>
      </c>
      <c r="B20" s="1236">
        <v>4363</v>
      </c>
      <c r="C20" s="324"/>
      <c r="D20" s="324"/>
      <c r="E20" s="324"/>
      <c r="F20" s="324"/>
    </row>
    <row r="21" spans="1:6">
      <c r="A21" s="1235" t="s">
        <v>11</v>
      </c>
      <c r="B21" s="1236">
        <v>49701</v>
      </c>
      <c r="C21" s="324"/>
      <c r="D21" s="324"/>
      <c r="E21" s="324"/>
      <c r="F21" s="324"/>
    </row>
    <row r="22" spans="1:6">
      <c r="A22" s="1235" t="s">
        <v>12</v>
      </c>
      <c r="B22" s="1236">
        <v>104598</v>
      </c>
      <c r="C22" s="324"/>
      <c r="D22" s="324"/>
      <c r="E22" s="324"/>
      <c r="F22" s="324"/>
    </row>
    <row r="23" spans="1:6">
      <c r="A23" s="1235" t="s">
        <v>13</v>
      </c>
      <c r="B23" s="1236">
        <v>1905</v>
      </c>
      <c r="C23" s="324"/>
      <c r="D23" s="324"/>
      <c r="E23" s="324"/>
      <c r="F23" s="324"/>
    </row>
    <row r="24" spans="1:6">
      <c r="A24" s="1235" t="s">
        <v>14</v>
      </c>
      <c r="B24" s="1236">
        <v>110</v>
      </c>
      <c r="C24" s="324"/>
      <c r="D24" s="324"/>
      <c r="E24" s="324"/>
      <c r="F24" s="324"/>
    </row>
    <row r="25" spans="1:6">
      <c r="A25" s="1235" t="s">
        <v>15</v>
      </c>
      <c r="B25" s="1236">
        <v>12520</v>
      </c>
      <c r="C25" s="324"/>
      <c r="D25" s="324"/>
      <c r="E25" s="324"/>
      <c r="F25" s="324"/>
    </row>
    <row r="26" spans="1:6">
      <c r="A26" s="1235" t="s">
        <v>16</v>
      </c>
      <c r="B26" s="1236">
        <v>1620</v>
      </c>
      <c r="C26" s="324"/>
      <c r="D26" s="324"/>
      <c r="E26" s="324"/>
      <c r="F26" s="324"/>
    </row>
    <row r="27" spans="1:6">
      <c r="A27" s="1235" t="s">
        <v>17</v>
      </c>
      <c r="B27" s="1236">
        <v>5</v>
      </c>
      <c r="C27" s="324"/>
      <c r="D27" s="324"/>
      <c r="E27" s="324"/>
      <c r="F27" s="324"/>
    </row>
    <row r="28" spans="1:6">
      <c r="A28" s="1235" t="s">
        <v>18</v>
      </c>
      <c r="B28" s="1237">
        <v>280933</v>
      </c>
      <c r="C28" s="324"/>
      <c r="D28" s="324"/>
      <c r="E28" s="324"/>
      <c r="F28" s="324"/>
    </row>
    <row r="29" spans="1:6">
      <c r="A29" s="1235" t="s">
        <v>959</v>
      </c>
      <c r="B29" s="1237">
        <v>161</v>
      </c>
      <c r="C29" s="324"/>
      <c r="D29" s="324"/>
      <c r="E29" s="324"/>
      <c r="F29" s="324"/>
    </row>
    <row r="30" spans="1:6">
      <c r="A30" s="1230" t="s">
        <v>960</v>
      </c>
      <c r="B30" s="1238">
        <v>53</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7</v>
      </c>
      <c r="F36" s="1236">
        <v>78027</v>
      </c>
    </row>
    <row r="37" spans="1:6">
      <c r="A37" s="1235" t="s">
        <v>24</v>
      </c>
      <c r="B37" s="1235" t="s">
        <v>27</v>
      </c>
      <c r="C37" s="1236">
        <v>0</v>
      </c>
      <c r="D37" s="1236">
        <v>0</v>
      </c>
      <c r="E37" s="1236">
        <v>0</v>
      </c>
      <c r="F37" s="1236">
        <v>0</v>
      </c>
    </row>
    <row r="38" spans="1:6">
      <c r="A38" s="1235" t="s">
        <v>24</v>
      </c>
      <c r="B38" s="1235" t="s">
        <v>28</v>
      </c>
      <c r="C38" s="1236">
        <v>1</v>
      </c>
      <c r="D38" s="1236">
        <v>1143138</v>
      </c>
      <c r="E38" s="1236">
        <v>0</v>
      </c>
      <c r="F38" s="1236">
        <v>0</v>
      </c>
    </row>
    <row r="39" spans="1:6">
      <c r="A39" s="1235" t="s">
        <v>29</v>
      </c>
      <c r="B39" s="1235" t="s">
        <v>30</v>
      </c>
      <c r="C39" s="1236">
        <v>4110</v>
      </c>
      <c r="D39" s="1236">
        <v>67276834</v>
      </c>
      <c r="E39" s="1236">
        <v>6517</v>
      </c>
      <c r="F39" s="1236">
        <v>29962227.11894564</v>
      </c>
    </row>
    <row r="40" spans="1:6">
      <c r="A40" s="1235" t="s">
        <v>29</v>
      </c>
      <c r="B40" s="1235" t="s">
        <v>28</v>
      </c>
      <c r="C40" s="1236">
        <v>0</v>
      </c>
      <c r="D40" s="1236">
        <v>0</v>
      </c>
      <c r="E40" s="1236">
        <v>0</v>
      </c>
      <c r="F40" s="1236">
        <v>0</v>
      </c>
    </row>
    <row r="41" spans="1:6">
      <c r="A41" s="1235" t="s">
        <v>31</v>
      </c>
      <c r="B41" s="1235" t="s">
        <v>32</v>
      </c>
      <c r="C41" s="1236">
        <v>45</v>
      </c>
      <c r="D41" s="1236">
        <v>4115665</v>
      </c>
      <c r="E41" s="1236">
        <v>155</v>
      </c>
      <c r="F41" s="1236">
        <v>10407031</v>
      </c>
    </row>
    <row r="42" spans="1:6">
      <c r="A42" s="1235" t="s">
        <v>31</v>
      </c>
      <c r="B42" s="1235" t="s">
        <v>33</v>
      </c>
      <c r="C42" s="1236">
        <v>0</v>
      </c>
      <c r="D42" s="1236">
        <v>0</v>
      </c>
      <c r="E42" s="1236">
        <v>3</v>
      </c>
      <c r="F42" s="1236">
        <v>377203</v>
      </c>
    </row>
    <row r="43" spans="1:6">
      <c r="A43" s="1235" t="s">
        <v>31</v>
      </c>
      <c r="B43" s="1235" t="s">
        <v>34</v>
      </c>
      <c r="C43" s="1236">
        <v>0</v>
      </c>
      <c r="D43" s="1236">
        <v>0</v>
      </c>
      <c r="E43" s="1236">
        <v>0</v>
      </c>
      <c r="F43" s="1236">
        <v>0</v>
      </c>
    </row>
    <row r="44" spans="1:6">
      <c r="A44" s="1235" t="s">
        <v>31</v>
      </c>
      <c r="B44" s="1235" t="s">
        <v>35</v>
      </c>
      <c r="C44" s="1236">
        <v>13</v>
      </c>
      <c r="D44" s="1236">
        <v>1593157</v>
      </c>
      <c r="E44" s="1236">
        <v>42</v>
      </c>
      <c r="F44" s="1236">
        <v>3798956</v>
      </c>
    </row>
    <row r="45" spans="1:6">
      <c r="A45" s="1235" t="s">
        <v>31</v>
      </c>
      <c r="B45" s="1235" t="s">
        <v>36</v>
      </c>
      <c r="C45" s="1236">
        <v>0</v>
      </c>
      <c r="D45" s="1236">
        <v>0</v>
      </c>
      <c r="E45" s="1236">
        <v>3</v>
      </c>
      <c r="F45" s="1236">
        <v>286047</v>
      </c>
    </row>
    <row r="46" spans="1:6">
      <c r="A46" s="1235" t="s">
        <v>31</v>
      </c>
      <c r="B46" s="1235" t="s">
        <v>37</v>
      </c>
      <c r="C46" s="1236">
        <v>0</v>
      </c>
      <c r="D46" s="1236">
        <v>0</v>
      </c>
      <c r="E46" s="1236">
        <v>0</v>
      </c>
      <c r="F46" s="1236">
        <v>0</v>
      </c>
    </row>
    <row r="47" spans="1:6">
      <c r="A47" s="1235" t="s">
        <v>31</v>
      </c>
      <c r="B47" s="1235" t="s">
        <v>38</v>
      </c>
      <c r="C47" s="1236">
        <v>0</v>
      </c>
      <c r="D47" s="1236">
        <v>0</v>
      </c>
      <c r="E47" s="1236">
        <v>3</v>
      </c>
      <c r="F47" s="1236">
        <v>124322</v>
      </c>
    </row>
    <row r="48" spans="1:6">
      <c r="A48" s="1235" t="s">
        <v>31</v>
      </c>
      <c r="B48" s="1235" t="s">
        <v>28</v>
      </c>
      <c r="C48" s="1236">
        <v>3</v>
      </c>
      <c r="D48" s="1236">
        <v>240581</v>
      </c>
      <c r="E48" s="1236">
        <v>0</v>
      </c>
      <c r="F48" s="1236">
        <v>0</v>
      </c>
    </row>
    <row r="49" spans="1:6">
      <c r="A49" s="1235" t="s">
        <v>31</v>
      </c>
      <c r="B49" s="1235" t="s">
        <v>39</v>
      </c>
      <c r="C49" s="1236">
        <v>0</v>
      </c>
      <c r="D49" s="1236">
        <v>0</v>
      </c>
      <c r="E49" s="1236">
        <v>0</v>
      </c>
      <c r="F49" s="1236">
        <v>0</v>
      </c>
    </row>
    <row r="50" spans="1:6">
      <c r="A50" s="1235" t="s">
        <v>31</v>
      </c>
      <c r="B50" s="1235" t="s">
        <v>40</v>
      </c>
      <c r="C50" s="1236">
        <v>20</v>
      </c>
      <c r="D50" s="1236">
        <v>1374417</v>
      </c>
      <c r="E50" s="1236">
        <v>39</v>
      </c>
      <c r="F50" s="1236">
        <v>4734353</v>
      </c>
    </row>
    <row r="51" spans="1:6">
      <c r="A51" s="1235" t="s">
        <v>41</v>
      </c>
      <c r="B51" s="1235" t="s">
        <v>42</v>
      </c>
      <c r="C51" s="1236">
        <v>30</v>
      </c>
      <c r="D51" s="1236">
        <v>633832</v>
      </c>
      <c r="E51" s="1236">
        <v>364</v>
      </c>
      <c r="F51" s="1236">
        <v>9895880</v>
      </c>
    </row>
    <row r="52" spans="1:6">
      <c r="A52" s="1235" t="s">
        <v>41</v>
      </c>
      <c r="B52" s="1235" t="s">
        <v>28</v>
      </c>
      <c r="C52" s="1236">
        <v>0</v>
      </c>
      <c r="D52" s="1236">
        <v>0</v>
      </c>
      <c r="E52" s="1236">
        <v>1</v>
      </c>
      <c r="F52" s="1236">
        <v>40220.090958250403</v>
      </c>
    </row>
    <row r="53" spans="1:6">
      <c r="A53" s="1235" t="s">
        <v>43</v>
      </c>
      <c r="B53" s="1235" t="s">
        <v>44</v>
      </c>
      <c r="C53" s="1236">
        <v>0</v>
      </c>
      <c r="D53" s="1236">
        <v>0</v>
      </c>
      <c r="E53" s="1236">
        <v>0</v>
      </c>
      <c r="F53" s="1236">
        <v>0</v>
      </c>
    </row>
    <row r="54" spans="1:6">
      <c r="A54" s="1235" t="s">
        <v>45</v>
      </c>
      <c r="B54" s="1235" t="s">
        <v>46</v>
      </c>
      <c r="C54" s="1236">
        <v>0</v>
      </c>
      <c r="D54" s="1236">
        <v>0</v>
      </c>
      <c r="E54" s="1236">
        <v>77</v>
      </c>
      <c r="F54" s="1236">
        <v>1371667</v>
      </c>
    </row>
    <row r="55" spans="1:6">
      <c r="A55" s="1235" t="s">
        <v>45</v>
      </c>
      <c r="B55" s="1235" t="s">
        <v>28</v>
      </c>
      <c r="C55" s="1236">
        <v>0</v>
      </c>
      <c r="D55" s="1236">
        <v>0</v>
      </c>
      <c r="E55" s="1236">
        <v>0</v>
      </c>
      <c r="F55" s="1236">
        <v>0</v>
      </c>
    </row>
    <row r="56" spans="1:6">
      <c r="A56" s="1235" t="s">
        <v>47</v>
      </c>
      <c r="B56" s="1235" t="s">
        <v>28</v>
      </c>
      <c r="C56" s="1236">
        <v>52</v>
      </c>
      <c r="D56" s="1236">
        <v>1365453</v>
      </c>
      <c r="E56" s="1236">
        <v>169</v>
      </c>
      <c r="F56" s="1236">
        <v>2892217</v>
      </c>
    </row>
    <row r="57" spans="1:6">
      <c r="A57" s="1235" t="s">
        <v>48</v>
      </c>
      <c r="B57" s="1235" t="s">
        <v>49</v>
      </c>
      <c r="C57" s="1236">
        <v>30</v>
      </c>
      <c r="D57" s="1236">
        <v>1269304</v>
      </c>
      <c r="E57" s="1236">
        <v>98</v>
      </c>
      <c r="F57" s="1236">
        <v>7600440</v>
      </c>
    </row>
    <row r="58" spans="1:6">
      <c r="A58" s="1235" t="s">
        <v>48</v>
      </c>
      <c r="B58" s="1235" t="s">
        <v>50</v>
      </c>
      <c r="C58" s="1236">
        <v>20</v>
      </c>
      <c r="D58" s="1236">
        <v>1530299</v>
      </c>
      <c r="E58" s="1236">
        <v>32</v>
      </c>
      <c r="F58" s="1236">
        <v>752568</v>
      </c>
    </row>
    <row r="59" spans="1:6">
      <c r="A59" s="1235" t="s">
        <v>48</v>
      </c>
      <c r="B59" s="1235" t="s">
        <v>51</v>
      </c>
      <c r="C59" s="1236">
        <v>127</v>
      </c>
      <c r="D59" s="1236">
        <v>4982132</v>
      </c>
      <c r="E59" s="1236">
        <v>300</v>
      </c>
      <c r="F59" s="1236">
        <v>8530384</v>
      </c>
    </row>
    <row r="60" spans="1:6">
      <c r="A60" s="1235" t="s">
        <v>48</v>
      </c>
      <c r="B60" s="1235" t="s">
        <v>52</v>
      </c>
      <c r="C60" s="1236">
        <v>57</v>
      </c>
      <c r="D60" s="1236">
        <v>3024412</v>
      </c>
      <c r="E60" s="1236">
        <v>91</v>
      </c>
      <c r="F60" s="1236">
        <v>2376846</v>
      </c>
    </row>
    <row r="61" spans="1:6">
      <c r="A61" s="1235" t="s">
        <v>48</v>
      </c>
      <c r="B61" s="1235" t="s">
        <v>53</v>
      </c>
      <c r="C61" s="1236">
        <v>123</v>
      </c>
      <c r="D61" s="1236">
        <v>8293014</v>
      </c>
      <c r="E61" s="1236">
        <v>350</v>
      </c>
      <c r="F61" s="1236">
        <v>5585290</v>
      </c>
    </row>
    <row r="62" spans="1:6">
      <c r="A62" s="1235" t="s">
        <v>48</v>
      </c>
      <c r="B62" s="1235" t="s">
        <v>54</v>
      </c>
      <c r="C62" s="1236">
        <v>12</v>
      </c>
      <c r="D62" s="1236">
        <v>3076147</v>
      </c>
      <c r="E62" s="1236">
        <v>23</v>
      </c>
      <c r="F62" s="1236">
        <v>1145258</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1</v>
      </c>
      <c r="D65" s="1236">
        <v>80271</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16</v>
      </c>
      <c r="F68" s="1238">
        <v>414552</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127312443</v>
      </c>
      <c r="E73" s="443"/>
      <c r="F73" s="324"/>
    </row>
    <row r="74" spans="1:6">
      <c r="A74" s="1235" t="s">
        <v>63</v>
      </c>
      <c r="B74" s="1235" t="s">
        <v>730</v>
      </c>
      <c r="C74" s="1248" t="s">
        <v>731</v>
      </c>
      <c r="D74" s="1236">
        <v>12277973.296664454</v>
      </c>
      <c r="E74" s="443"/>
      <c r="F74" s="324"/>
    </row>
    <row r="75" spans="1:6">
      <c r="A75" s="1235" t="s">
        <v>64</v>
      </c>
      <c r="B75" s="1235" t="s">
        <v>728</v>
      </c>
      <c r="C75" s="1248" t="s">
        <v>732</v>
      </c>
      <c r="D75" s="1236">
        <v>22841366</v>
      </c>
      <c r="E75" s="443"/>
      <c r="F75" s="324"/>
    </row>
    <row r="76" spans="1:6">
      <c r="A76" s="1235" t="s">
        <v>64</v>
      </c>
      <c r="B76" s="1235" t="s">
        <v>730</v>
      </c>
      <c r="C76" s="1248" t="s">
        <v>733</v>
      </c>
      <c r="D76" s="1236">
        <v>643321.29666445404</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592699.40667109203</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2642.9898546116724</v>
      </c>
      <c r="C90" s="324"/>
      <c r="D90" s="324"/>
      <c r="E90" s="324"/>
      <c r="F90" s="324"/>
    </row>
    <row r="91" spans="1:6">
      <c r="A91" s="1235" t="s">
        <v>67</v>
      </c>
      <c r="B91" s="1236">
        <v>1705.5629890622108</v>
      </c>
      <c r="C91" s="324"/>
      <c r="D91" s="324"/>
      <c r="E91" s="324"/>
      <c r="F91" s="324"/>
    </row>
    <row r="92" spans="1:6">
      <c r="A92" s="1230" t="s">
        <v>68</v>
      </c>
      <c r="B92" s="1231">
        <v>1994.7840122365124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2561</v>
      </c>
      <c r="C97" s="324"/>
      <c r="D97" s="324"/>
      <c r="E97" s="324"/>
      <c r="F97" s="324"/>
    </row>
    <row r="98" spans="1:6">
      <c r="A98" s="1235" t="s">
        <v>71</v>
      </c>
      <c r="B98" s="1236">
        <v>4</v>
      </c>
      <c r="C98" s="324"/>
      <c r="D98" s="324"/>
      <c r="E98" s="324"/>
      <c r="F98" s="324"/>
    </row>
    <row r="99" spans="1:6">
      <c r="A99" s="1235" t="s">
        <v>72</v>
      </c>
      <c r="B99" s="1236">
        <v>213</v>
      </c>
      <c r="C99" s="324"/>
      <c r="D99" s="324"/>
      <c r="E99" s="324"/>
      <c r="F99" s="324"/>
    </row>
    <row r="100" spans="1:6">
      <c r="A100" s="1235" t="s">
        <v>73</v>
      </c>
      <c r="B100" s="1236">
        <v>556</v>
      </c>
      <c r="C100" s="324"/>
      <c r="D100" s="324"/>
      <c r="E100" s="324"/>
      <c r="F100" s="324"/>
    </row>
    <row r="101" spans="1:6">
      <c r="A101" s="1235" t="s">
        <v>74</v>
      </c>
      <c r="B101" s="1236">
        <v>182</v>
      </c>
      <c r="C101" s="324"/>
      <c r="D101" s="324"/>
      <c r="E101" s="324"/>
      <c r="F101" s="324"/>
    </row>
    <row r="102" spans="1:6">
      <c r="A102" s="1235" t="s">
        <v>75</v>
      </c>
      <c r="B102" s="1236">
        <v>108</v>
      </c>
      <c r="C102" s="324"/>
      <c r="D102" s="324"/>
      <c r="E102" s="324"/>
      <c r="F102" s="324"/>
    </row>
    <row r="103" spans="1:6">
      <c r="A103" s="1235" t="s">
        <v>76</v>
      </c>
      <c r="B103" s="1236">
        <v>282</v>
      </c>
      <c r="C103" s="324"/>
      <c r="D103" s="324"/>
      <c r="E103" s="324"/>
      <c r="F103" s="324"/>
    </row>
    <row r="104" spans="1:6">
      <c r="A104" s="1235" t="s">
        <v>77</v>
      </c>
      <c r="B104" s="1236">
        <v>2006</v>
      </c>
      <c r="C104" s="324"/>
      <c r="D104" s="324"/>
      <c r="E104" s="324"/>
      <c r="F104" s="324"/>
    </row>
    <row r="105" spans="1:6">
      <c r="A105" s="1230" t="s">
        <v>78</v>
      </c>
      <c r="B105" s="1238">
        <v>12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3</v>
      </c>
      <c r="C123" s="1236">
        <v>3</v>
      </c>
      <c r="D123" s="324"/>
      <c r="E123" s="324"/>
      <c r="F123" s="324"/>
    </row>
    <row r="124" spans="1:6">
      <c r="A124" s="1235" t="s">
        <v>88</v>
      </c>
      <c r="B124" s="1236">
        <v>0</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42</v>
      </c>
      <c r="C129" s="324"/>
      <c r="D129" s="324"/>
      <c r="E129" s="324"/>
      <c r="F129" s="324"/>
    </row>
    <row r="130" spans="1:6">
      <c r="A130" s="1235" t="s">
        <v>284</v>
      </c>
      <c r="B130" s="1236">
        <v>0</v>
      </c>
      <c r="C130" s="324"/>
      <c r="D130" s="324"/>
      <c r="E130" s="324"/>
      <c r="F130" s="324"/>
    </row>
    <row r="131" spans="1:6">
      <c r="A131" s="1235" t="s">
        <v>285</v>
      </c>
      <c r="B131" s="1236">
        <v>1</v>
      </c>
      <c r="C131" s="324"/>
      <c r="D131" s="324"/>
      <c r="E131" s="324"/>
      <c r="F131" s="324"/>
    </row>
    <row r="132" spans="1:6">
      <c r="A132" s="1230" t="s">
        <v>286</v>
      </c>
      <c r="B132" s="1231">
        <v>4</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91598.093118370845</v>
      </c>
      <c r="C3" s="43" t="s">
        <v>163</v>
      </c>
      <c r="D3" s="43"/>
      <c r="E3" s="155"/>
      <c r="F3" s="43"/>
      <c r="G3" s="43"/>
      <c r="H3" s="43"/>
      <c r="I3" s="43"/>
      <c r="J3" s="43"/>
      <c r="K3" s="96"/>
    </row>
    <row r="4" spans="1:11">
      <c r="A4" s="350" t="s">
        <v>164</v>
      </c>
      <c r="B4" s="49">
        <f>IF(ISERROR('SEAP template'!B78+'SEAP template'!C78),0,'SEAP template'!B78+'SEAP template'!C78)</f>
        <v>7337.8368559103956</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0.20329589841940759</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1371.6669999999999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1371.6669999999999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0.20329589841940759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278.85427509725355</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29962.227118945641</v>
      </c>
      <c r="C5" s="17">
        <f>IF(ISERROR('Eigen informatie GS &amp; warmtenet'!B57),0,'Eigen informatie GS &amp; warmtenet'!B57)</f>
        <v>0</v>
      </c>
      <c r="D5" s="30">
        <f>(SUM(HH_hh_gas_kWh,HH_rest_gas_kWh)/1000)*0.902</f>
        <v>60683.704268000001</v>
      </c>
      <c r="E5" s="17">
        <f>B32*B41</f>
        <v>1363.3387385992778</v>
      </c>
      <c r="F5" s="17">
        <f>B36*B45</f>
        <v>46536.743896708307</v>
      </c>
      <c r="G5" s="18"/>
      <c r="H5" s="17"/>
      <c r="I5" s="17"/>
      <c r="J5" s="17">
        <f>B35*B44+C35*C44</f>
        <v>1047.8894885435323</v>
      </c>
      <c r="K5" s="17"/>
      <c r="L5" s="17"/>
      <c r="M5" s="17"/>
      <c r="N5" s="17">
        <f>B34*B43+C34*C43</f>
        <v>8133.7206601019761</v>
      </c>
      <c r="O5" s="17">
        <f>B52*B53*B54</f>
        <v>71.913333333333341</v>
      </c>
      <c r="P5" s="17">
        <f>B60*B61*B62/1000-B60*B61*B62/1000/B63</f>
        <v>133.46666666666667</v>
      </c>
    </row>
    <row r="6" spans="1:16">
      <c r="A6" s="16" t="s">
        <v>591</v>
      </c>
      <c r="B6" s="727">
        <f>kWh_PV_kleiner_dan_10kW</f>
        <v>1705.5629890622108</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31667.790108007852</v>
      </c>
      <c r="C8" s="21">
        <f>C5</f>
        <v>0</v>
      </c>
      <c r="D8" s="21">
        <f>D5</f>
        <v>60683.704268000001</v>
      </c>
      <c r="E8" s="21">
        <f>E5</f>
        <v>1363.3387385992778</v>
      </c>
      <c r="F8" s="21">
        <f>F5</f>
        <v>46536.743896708307</v>
      </c>
      <c r="G8" s="21"/>
      <c r="H8" s="21"/>
      <c r="I8" s="21"/>
      <c r="J8" s="21">
        <f>J5</f>
        <v>1047.8894885435323</v>
      </c>
      <c r="K8" s="21"/>
      <c r="L8" s="21">
        <f>L5</f>
        <v>0</v>
      </c>
      <c r="M8" s="21">
        <f>M5</f>
        <v>0</v>
      </c>
      <c r="N8" s="21">
        <f>N5</f>
        <v>8133.7206601019761</v>
      </c>
      <c r="O8" s="21">
        <f>O5</f>
        <v>71.913333333333341</v>
      </c>
      <c r="P8" s="21">
        <f>P5</f>
        <v>133.46666666666667</v>
      </c>
    </row>
    <row r="9" spans="1:16">
      <c r="B9" s="19"/>
      <c r="C9" s="19"/>
      <c r="D9" s="255"/>
      <c r="E9" s="19"/>
      <c r="F9" s="19"/>
      <c r="G9" s="19"/>
      <c r="H9" s="19"/>
      <c r="I9" s="19"/>
      <c r="J9" s="19"/>
      <c r="K9" s="19"/>
      <c r="L9" s="19"/>
      <c r="M9" s="19"/>
      <c r="N9" s="19"/>
      <c r="O9" s="19"/>
      <c r="P9" s="19"/>
    </row>
    <row r="10" spans="1:16">
      <c r="A10" s="24" t="s">
        <v>207</v>
      </c>
      <c r="B10" s="25">
        <f ca="1">'EF ele_warmte'!B12</f>
        <v>0.20329589841940759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6437.9318409646849</v>
      </c>
      <c r="C12" s="23">
        <f ca="1">C10*C8</f>
        <v>0</v>
      </c>
      <c r="D12" s="23">
        <f>D8*D10</f>
        <v>12258.108262136002</v>
      </c>
      <c r="E12" s="23">
        <f>E10*E8</f>
        <v>309.47789366203608</v>
      </c>
      <c r="F12" s="23">
        <f>F10*F8</f>
        <v>12425.310620421118</v>
      </c>
      <c r="G12" s="23"/>
      <c r="H12" s="23"/>
      <c r="I12" s="23"/>
      <c r="J12" s="23">
        <f>J10*J8</f>
        <v>370.95287894441037</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6736</v>
      </c>
      <c r="C26" s="36"/>
      <c r="D26" s="225"/>
    </row>
    <row r="27" spans="1:5" s="15" customFormat="1">
      <c r="A27" s="227" t="s">
        <v>671</v>
      </c>
      <c r="B27" s="37">
        <f>SUM(HH_hh_gas_aantal,HH_rest_gas_aantal)</f>
        <v>4110</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3904.5</v>
      </c>
      <c r="C31" s="34" t="s">
        <v>104</v>
      </c>
      <c r="D31" s="171"/>
    </row>
    <row r="32" spans="1:5">
      <c r="A32" s="168" t="s">
        <v>72</v>
      </c>
      <c r="B32" s="33">
        <f>IF((B21*($B$26-($B$27-0.05*$B$27)-$B$60))&lt;0,0,B21*($B$26-($B$27-0.05*$B$27)-$B$60))</f>
        <v>20.024486655647308</v>
      </c>
      <c r="C32" s="34" t="s">
        <v>104</v>
      </c>
      <c r="D32" s="171"/>
    </row>
    <row r="33" spans="1:6">
      <c r="A33" s="168" t="s">
        <v>73</v>
      </c>
      <c r="B33" s="33">
        <f>IF((B22*($B$26-($B$27-0.05*$B$27)-$B$60))&lt;0,0,B22*($B$26-($B$27-0.05*$B$27)-$B$60))</f>
        <v>573.89906313089875</v>
      </c>
      <c r="C33" s="34" t="s">
        <v>104</v>
      </c>
      <c r="D33" s="171"/>
    </row>
    <row r="34" spans="1:6">
      <c r="A34" s="168" t="s">
        <v>74</v>
      </c>
      <c r="B34" s="33">
        <f>IF((B24*($B$26-($B$27-0.05*$B$27)-$B$60))&lt;0,0,B24*($B$26-($B$27-0.05*$B$27)-$B$60))</f>
        <v>114.44153833673391</v>
      </c>
      <c r="C34" s="33">
        <f>B26*C24</f>
        <v>1377.3612128212749</v>
      </c>
      <c r="D34" s="230"/>
    </row>
    <row r="35" spans="1:6">
      <c r="A35" s="168" t="s">
        <v>76</v>
      </c>
      <c r="B35" s="33">
        <f>IF((B19*($B$26-($B$27-0.05*$B$27)-$B$60))&lt;0,0,B19*($B$26-($B$27-0.05*$B$27)-$B$60))</f>
        <v>59.596686475140807</v>
      </c>
      <c r="C35" s="33">
        <f>B35/2</f>
        <v>29.798343237570403</v>
      </c>
      <c r="D35" s="230"/>
    </row>
    <row r="36" spans="1:6">
      <c r="A36" s="168" t="s">
        <v>77</v>
      </c>
      <c r="B36" s="33">
        <f>IF((B18*($B$26-($B$27-0.05*$B$27)-$B$60))&lt;0,0,B18*($B$26-($B$27-0.05*$B$27)-$B$60))</f>
        <v>2056.538225401579</v>
      </c>
      <c r="C36" s="34" t="s">
        <v>104</v>
      </c>
      <c r="D36" s="171"/>
    </row>
    <row r="37" spans="1:6">
      <c r="A37" s="168" t="s">
        <v>78</v>
      </c>
      <c r="B37" s="33">
        <f>B60</f>
        <v>7</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46</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7</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25990.786</v>
      </c>
      <c r="C5" s="17">
        <f>IF(ISERROR('Eigen informatie GS &amp; warmtenet'!B58),0,'Eigen informatie GS &amp; warmtenet'!B58)</f>
        <v>0</v>
      </c>
      <c r="D5" s="30">
        <f>SUM(D6:D12)</f>
        <v>20002.127815999997</v>
      </c>
      <c r="E5" s="17">
        <f>SUM(E6:E12)</f>
        <v>414.58563685668639</v>
      </c>
      <c r="F5" s="17">
        <f>SUM(F6:F12)</f>
        <v>6075.5890638014962</v>
      </c>
      <c r="G5" s="18"/>
      <c r="H5" s="17"/>
      <c r="I5" s="17"/>
      <c r="J5" s="17">
        <f>SUM(J6:J12)</f>
        <v>0</v>
      </c>
      <c r="K5" s="17"/>
      <c r="L5" s="17"/>
      <c r="M5" s="17"/>
      <c r="N5" s="17">
        <f>SUM(N6:N12)</f>
        <v>1684.2667886969286</v>
      </c>
      <c r="O5" s="17">
        <f>B38*B39*B40</f>
        <v>0</v>
      </c>
      <c r="P5" s="17">
        <f>B46*B47*B48/1000-B46*B47*B48/1000/B49</f>
        <v>19.066666666666666</v>
      </c>
      <c r="R5" s="32"/>
    </row>
    <row r="6" spans="1:18">
      <c r="A6" s="32" t="s">
        <v>53</v>
      </c>
      <c r="B6" s="37">
        <f>B26</f>
        <v>5585.29</v>
      </c>
      <c r="C6" s="33"/>
      <c r="D6" s="37">
        <f>IF(ISERROR(TER_kantoor_gas_kWh/1000),0,TER_kantoor_gas_kWh/1000)*0.902</f>
        <v>7480.2986279999996</v>
      </c>
      <c r="E6" s="33">
        <f>$C$26*'E Balans VL '!I12/100/3.6*1000000</f>
        <v>193.20641283151019</v>
      </c>
      <c r="F6" s="33">
        <f>$C$26*('E Balans VL '!L12+'E Balans VL '!N12)/100/3.6*1000000</f>
        <v>852.65382567615757</v>
      </c>
      <c r="G6" s="34"/>
      <c r="H6" s="33"/>
      <c r="I6" s="33"/>
      <c r="J6" s="33">
        <f>$C$26*('E Balans VL '!D12+'E Balans VL '!E12)/100/3.6*1000000</f>
        <v>0</v>
      </c>
      <c r="K6" s="33"/>
      <c r="L6" s="33"/>
      <c r="M6" s="33"/>
      <c r="N6" s="33">
        <f>$C$26*'E Balans VL '!Y12/100/3.6*1000000</f>
        <v>86.0999004122381</v>
      </c>
      <c r="O6" s="33"/>
      <c r="P6" s="33"/>
      <c r="R6" s="32"/>
    </row>
    <row r="7" spans="1:18">
      <c r="A7" s="32" t="s">
        <v>52</v>
      </c>
      <c r="B7" s="37">
        <f t="shared" ref="B7:B12" si="0">B27</f>
        <v>2376.846</v>
      </c>
      <c r="C7" s="33"/>
      <c r="D7" s="37">
        <f>IF(ISERROR(TER_horeca_gas_kWh/1000),0,TER_horeca_gas_kWh/1000)*0.902</f>
        <v>2728.019624</v>
      </c>
      <c r="E7" s="33">
        <f>$C$27*'E Balans VL '!I9/100/3.6*1000000</f>
        <v>130.25871354445252</v>
      </c>
      <c r="F7" s="33">
        <f>$C$27*('E Balans VL '!L9+'E Balans VL '!N9)/100/3.6*1000000</f>
        <v>402.24184834079313</v>
      </c>
      <c r="G7" s="34"/>
      <c r="H7" s="33"/>
      <c r="I7" s="33"/>
      <c r="J7" s="33">
        <f>$C$27*('E Balans VL '!D9+'E Balans VL '!E9)/100/3.6*1000000</f>
        <v>0</v>
      </c>
      <c r="K7" s="33"/>
      <c r="L7" s="33"/>
      <c r="M7" s="33"/>
      <c r="N7" s="33">
        <f>$C$27*'E Balans VL '!Y9/100/3.6*1000000</f>
        <v>0</v>
      </c>
      <c r="O7" s="33"/>
      <c r="P7" s="33"/>
      <c r="R7" s="32"/>
    </row>
    <row r="8" spans="1:18">
      <c r="A8" s="6" t="s">
        <v>51</v>
      </c>
      <c r="B8" s="37">
        <f t="shared" si="0"/>
        <v>8530.384</v>
      </c>
      <c r="C8" s="33"/>
      <c r="D8" s="37">
        <f>IF(ISERROR(TER_handel_gas_kWh/1000),0,TER_handel_gas_kWh/1000)*0.902</f>
        <v>4493.8830639999996</v>
      </c>
      <c r="E8" s="33">
        <f>$C$28*'E Balans VL '!I13/100/3.6*1000000</f>
        <v>43.156669214327152</v>
      </c>
      <c r="F8" s="33">
        <f>$C$28*('E Balans VL '!L13+'E Balans VL '!N13)/100/3.6*1000000</f>
        <v>1296.1251307778753</v>
      </c>
      <c r="G8" s="34"/>
      <c r="H8" s="33"/>
      <c r="I8" s="33"/>
      <c r="J8" s="33">
        <f>$C$28*('E Balans VL '!D13+'E Balans VL '!E13)/100/3.6*1000000</f>
        <v>0</v>
      </c>
      <c r="K8" s="33"/>
      <c r="L8" s="33"/>
      <c r="M8" s="33"/>
      <c r="N8" s="33">
        <f>$C$28*'E Balans VL '!Y13/100/3.6*1000000</f>
        <v>3.9890359106568414</v>
      </c>
      <c r="O8" s="33"/>
      <c r="P8" s="33"/>
      <c r="R8" s="32"/>
    </row>
    <row r="9" spans="1:18">
      <c r="A9" s="32" t="s">
        <v>50</v>
      </c>
      <c r="B9" s="37">
        <f t="shared" si="0"/>
        <v>752.56799999999998</v>
      </c>
      <c r="C9" s="33"/>
      <c r="D9" s="37">
        <f>IF(ISERROR(TER_gezond_gas_kWh/1000),0,TER_gezond_gas_kWh/1000)*0.902</f>
        <v>1380.329698</v>
      </c>
      <c r="E9" s="33">
        <f>$C$29*'E Balans VL '!I10/100/3.6*1000000</f>
        <v>0.27366808649287566</v>
      </c>
      <c r="F9" s="33">
        <f>$C$29*('E Balans VL '!L10+'E Balans VL '!N10)/100/3.6*1000000</f>
        <v>162.60960878988774</v>
      </c>
      <c r="G9" s="34"/>
      <c r="H9" s="33"/>
      <c r="I9" s="33"/>
      <c r="J9" s="33">
        <f>$C$29*('E Balans VL '!D10+'E Balans VL '!E10)/100/3.6*1000000</f>
        <v>0</v>
      </c>
      <c r="K9" s="33"/>
      <c r="L9" s="33"/>
      <c r="M9" s="33"/>
      <c r="N9" s="33">
        <f>$C$29*'E Balans VL '!Y10/100/3.6*1000000</f>
        <v>5.7061767623346755</v>
      </c>
      <c r="O9" s="33"/>
      <c r="P9" s="33"/>
      <c r="R9" s="32"/>
    </row>
    <row r="10" spans="1:18">
      <c r="A10" s="32" t="s">
        <v>49</v>
      </c>
      <c r="B10" s="37">
        <f t="shared" si="0"/>
        <v>7600.44</v>
      </c>
      <c r="C10" s="33"/>
      <c r="D10" s="37">
        <f>IF(ISERROR(TER_ander_gas_kWh/1000),0,TER_ander_gas_kWh/1000)*0.902</f>
        <v>1144.9122080000002</v>
      </c>
      <c r="E10" s="33">
        <f>$C$30*'E Balans VL '!I14/100/3.6*1000000</f>
        <v>46.268808845500423</v>
      </c>
      <c r="F10" s="33">
        <f>$C$30*('E Balans VL '!L14+'E Balans VL '!N14)/100/3.6*1000000</f>
        <v>2012.2121353386124</v>
      </c>
      <c r="G10" s="34"/>
      <c r="H10" s="33"/>
      <c r="I10" s="33"/>
      <c r="J10" s="33">
        <f>$C$30*('E Balans VL '!D14+'E Balans VL '!E14)/100/3.6*1000000</f>
        <v>0</v>
      </c>
      <c r="K10" s="33"/>
      <c r="L10" s="33"/>
      <c r="M10" s="33"/>
      <c r="N10" s="33">
        <f>$C$30*'E Balans VL '!Y14/100/3.6*1000000</f>
        <v>1582.9745441750661</v>
      </c>
      <c r="O10" s="33"/>
      <c r="P10" s="33"/>
      <c r="R10" s="32"/>
    </row>
    <row r="11" spans="1:18">
      <c r="A11" s="32" t="s">
        <v>54</v>
      </c>
      <c r="B11" s="37">
        <f t="shared" si="0"/>
        <v>1145.258</v>
      </c>
      <c r="C11" s="33"/>
      <c r="D11" s="37">
        <f>IF(ISERROR(TER_onderwijs_gas_kWh/1000),0,TER_onderwijs_gas_kWh/1000)*0.902</f>
        <v>2774.6845939999998</v>
      </c>
      <c r="E11" s="33">
        <f>$C$31*'E Balans VL '!I11/100/3.6*1000000</f>
        <v>1.4213643344031961</v>
      </c>
      <c r="F11" s="33">
        <f>$C$31*('E Balans VL '!L11+'E Balans VL '!N11)/100/3.6*1000000</f>
        <v>1349.74651487817</v>
      </c>
      <c r="G11" s="34"/>
      <c r="H11" s="33"/>
      <c r="I11" s="33"/>
      <c r="J11" s="33">
        <f>$C$31*('E Balans VL '!D11+'E Balans VL '!E11)/100/3.6*1000000</f>
        <v>0</v>
      </c>
      <c r="K11" s="33"/>
      <c r="L11" s="33"/>
      <c r="M11" s="33"/>
      <c r="N11" s="33">
        <f>$C$31*'E Balans VL '!Y11/100/3.6*1000000</f>
        <v>5.4971314366329596</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energieproductie'!N39+'lokale energieproductie'!N31</f>
        <v>0</v>
      </c>
      <c r="C13" s="243">
        <f ca="1">'lokale energieproductie'!O39+'lokale energieproductie'!O31</f>
        <v>0</v>
      </c>
      <c r="D13" s="302">
        <f ca="1">('lokale energieproductie'!P31+'lokale energieproductie'!P39)*(-1)</f>
        <v>0</v>
      </c>
      <c r="E13" s="244"/>
      <c r="F13" s="302">
        <f ca="1">('lokale energieproductie'!S31+'lokale energieproductie'!S39)*(-1)</f>
        <v>0</v>
      </c>
      <c r="G13" s="245"/>
      <c r="H13" s="244"/>
      <c r="I13" s="244"/>
      <c r="J13" s="244"/>
      <c r="K13" s="244"/>
      <c r="L13" s="302">
        <f ca="1">('lokale energieproductie'!U31+'lokale energieproductie'!T31+'lokale energieproductie'!U39+'lokale energieproductie'!T39)*(-1)</f>
        <v>0</v>
      </c>
      <c r="M13" s="244"/>
      <c r="N13" s="302">
        <f ca="1">('lokale energieproductie'!Q31+'lokale energieproductie'!R31+'lokale energieproductie'!V31+'lokale energieproductie'!Q39+'lokale energieproductie'!R39+'lokale energieproductie'!V39)*(-1)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25990.786</v>
      </c>
      <c r="C16" s="21">
        <f ca="1">C5+C13+C14</f>
        <v>0</v>
      </c>
      <c r="D16" s="21">
        <f t="shared" ref="D16:N16" ca="1" si="1">MAX((D5+D13+D14),0)</f>
        <v>20002.127815999997</v>
      </c>
      <c r="E16" s="21">
        <f t="shared" si="1"/>
        <v>414.58563685668639</v>
      </c>
      <c r="F16" s="21">
        <f t="shared" ca="1" si="1"/>
        <v>6075.5890638014962</v>
      </c>
      <c r="G16" s="21">
        <f t="shared" si="1"/>
        <v>0</v>
      </c>
      <c r="H16" s="21">
        <f t="shared" si="1"/>
        <v>0</v>
      </c>
      <c r="I16" s="21">
        <f t="shared" si="1"/>
        <v>0</v>
      </c>
      <c r="J16" s="21">
        <f t="shared" si="1"/>
        <v>0</v>
      </c>
      <c r="K16" s="21">
        <f t="shared" si="1"/>
        <v>0</v>
      </c>
      <c r="L16" s="21">
        <f t="shared" ca="1" si="1"/>
        <v>0</v>
      </c>
      <c r="M16" s="21">
        <f t="shared" si="1"/>
        <v>0</v>
      </c>
      <c r="N16" s="21">
        <f t="shared" ca="1" si="1"/>
        <v>1684.2667886969286</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0.20329589841940759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5283.8201904965608</v>
      </c>
      <c r="C20" s="23">
        <f t="shared" ref="C20:P20" ca="1" si="2">C16*C18</f>
        <v>0</v>
      </c>
      <c r="D20" s="23">
        <f t="shared" ca="1" si="2"/>
        <v>4040.4298188319995</v>
      </c>
      <c r="E20" s="23">
        <f t="shared" si="2"/>
        <v>94.11093956646782</v>
      </c>
      <c r="F20" s="23">
        <f t="shared" ca="1" si="2"/>
        <v>1622.1822800349996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5585.29</v>
      </c>
      <c r="C26" s="39">
        <f>IF(ISERROR(B26*3.6/1000000/'E Balans VL '!Z12*100),0,B26*3.6/1000000/'E Balans VL '!Z12*100)</f>
        <v>0.11615004698471085</v>
      </c>
      <c r="D26" s="233" t="s">
        <v>676</v>
      </c>
      <c r="F26" s="6"/>
    </row>
    <row r="27" spans="1:18">
      <c r="A27" s="228" t="s">
        <v>52</v>
      </c>
      <c r="B27" s="33">
        <f>IF(ISERROR(TER_horeca_ele_kWh/1000),0,TER_horeca_ele_kWh/1000)</f>
        <v>2376.846</v>
      </c>
      <c r="C27" s="39">
        <f>IF(ISERROR(B27*3.6/1000000/'E Balans VL '!Z9*100),0,B27*3.6/1000000/'E Balans VL '!Z9*100)</f>
        <v>0.19549727022852137</v>
      </c>
      <c r="D27" s="233" t="s">
        <v>676</v>
      </c>
      <c r="F27" s="6"/>
    </row>
    <row r="28" spans="1:18">
      <c r="A28" s="168" t="s">
        <v>51</v>
      </c>
      <c r="B28" s="33">
        <f>IF(ISERROR(TER_handel_ele_kWh/1000),0,TER_handel_ele_kWh/1000)</f>
        <v>8530.384</v>
      </c>
      <c r="C28" s="39">
        <f>IF(ISERROR(B28*3.6/1000000/'E Balans VL '!Z13*100),0,B28*3.6/1000000/'E Balans VL '!Z13*100)</f>
        <v>0.2361193614746431</v>
      </c>
      <c r="D28" s="233" t="s">
        <v>676</v>
      </c>
      <c r="F28" s="6"/>
    </row>
    <row r="29" spans="1:18">
      <c r="A29" s="228" t="s">
        <v>50</v>
      </c>
      <c r="B29" s="33">
        <f>IF(ISERROR(TER_gezond_ele_kWh/1000),0,TER_gezond_ele_kWh/1000)</f>
        <v>752.56799999999998</v>
      </c>
      <c r="C29" s="39">
        <f>IF(ISERROR(B29*3.6/1000000/'E Balans VL '!Z10*100),0,B29*3.6/1000000/'E Balans VL '!Z10*100)</f>
        <v>8.582491798013446E-2</v>
      </c>
      <c r="D29" s="233" t="s">
        <v>676</v>
      </c>
      <c r="F29" s="6"/>
    </row>
    <row r="30" spans="1:18">
      <c r="A30" s="228" t="s">
        <v>49</v>
      </c>
      <c r="B30" s="33">
        <f>IF(ISERROR(TER_ander_ele_kWh/1000),0,TER_ander_ele_kWh/1000)</f>
        <v>7600.44</v>
      </c>
      <c r="C30" s="39">
        <f>IF(ISERROR(B30*3.6/1000000/'E Balans VL '!Z14*100),0,B30*3.6/1000000/'E Balans VL '!Z14*100)</f>
        <v>0.58829467238824085</v>
      </c>
      <c r="D30" s="233" t="s">
        <v>676</v>
      </c>
      <c r="F30" s="6"/>
    </row>
    <row r="31" spans="1:18">
      <c r="A31" s="228" t="s">
        <v>54</v>
      </c>
      <c r="B31" s="33">
        <f>IF(ISERROR(TER_onderwijs_ele_kWh/1000),0,TER_onderwijs_ele_kWh/1000)</f>
        <v>1145.258</v>
      </c>
      <c r="C31" s="39">
        <f>IF(ISERROR(B31*3.6/1000000/'E Balans VL '!Z11*100),0,B31*3.6/1000000/'E Balans VL '!Z11*100)</f>
        <v>0.35684072941466793</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19727.912</v>
      </c>
      <c r="C5" s="17">
        <f>IF(ISERROR('Eigen informatie GS &amp; warmtenet'!B59),0,'Eigen informatie GS &amp; warmtenet'!B59)</f>
        <v>0</v>
      </c>
      <c r="D5" s="30">
        <f>SUM(D6:D15)</f>
        <v>6606.0856400000002</v>
      </c>
      <c r="E5" s="17">
        <f>SUM(E6:E15)</f>
        <v>256.88646670307139</v>
      </c>
      <c r="F5" s="17">
        <f>SUM(F6:F15)</f>
        <v>9374.5301329524173</v>
      </c>
      <c r="G5" s="18"/>
      <c r="H5" s="17"/>
      <c r="I5" s="17"/>
      <c r="J5" s="17">
        <f>SUM(J6:J15)</f>
        <v>100.44335729548112</v>
      </c>
      <c r="K5" s="17"/>
      <c r="L5" s="17"/>
      <c r="M5" s="17"/>
      <c r="N5" s="17">
        <f>SUM(N6:N15)</f>
        <v>856.59027415372543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3798.9560000000001</v>
      </c>
      <c r="C8" s="33"/>
      <c r="D8" s="37">
        <f>IF( ISERROR(IND_metaal_Gas_kWH/1000),0,IND_metaal_Gas_kWH/1000)*0.902</f>
        <v>1437.0276139999999</v>
      </c>
      <c r="E8" s="33">
        <f>C30*'E Balans VL '!I18/100/3.6*1000000</f>
        <v>26.694425610379646</v>
      </c>
      <c r="F8" s="33">
        <f>C30*'E Balans VL '!L18/100/3.6*1000000+C30*'E Balans VL '!N18/100/3.6*1000000</f>
        <v>417.10314271971936</v>
      </c>
      <c r="G8" s="34"/>
      <c r="H8" s="33"/>
      <c r="I8" s="33"/>
      <c r="J8" s="40">
        <f>C30*'E Balans VL '!D18/100/3.6*1000000+C30*'E Balans VL '!E18/100/3.6*1000000</f>
        <v>78.380650518506144</v>
      </c>
      <c r="K8" s="33"/>
      <c r="L8" s="33"/>
      <c r="M8" s="33"/>
      <c r="N8" s="33">
        <f>C30*'E Balans VL '!Y18/100/3.6*1000000</f>
        <v>14.238760688517653</v>
      </c>
      <c r="O8" s="33"/>
      <c r="P8" s="33"/>
      <c r="R8" s="32"/>
    </row>
    <row r="9" spans="1:18">
      <c r="A9" s="6" t="s">
        <v>32</v>
      </c>
      <c r="B9" s="37">
        <f t="shared" si="0"/>
        <v>10407.031000000001</v>
      </c>
      <c r="C9" s="33"/>
      <c r="D9" s="37">
        <f>IF( ISERROR(IND_andere_gas_kWh/1000),0,IND_andere_gas_kWh/1000)*0.902</f>
        <v>3712.3298300000001</v>
      </c>
      <c r="E9" s="33">
        <f>C31*'E Balans VL '!I19/100/3.6*1000000</f>
        <v>174.79883466502858</v>
      </c>
      <c r="F9" s="33">
        <f>C31*'E Balans VL '!L19/100/3.6*1000000+C31*'E Balans VL '!N19/100/3.6*1000000</f>
        <v>8135.6240955727153</v>
      </c>
      <c r="G9" s="34"/>
      <c r="H9" s="33"/>
      <c r="I9" s="33"/>
      <c r="J9" s="40">
        <f>C31*'E Balans VL '!D19/100/3.6*1000000+C31*'E Balans VL '!E19/100/3.6*1000000</f>
        <v>0.93862232933155409</v>
      </c>
      <c r="K9" s="33"/>
      <c r="L9" s="33"/>
      <c r="M9" s="33"/>
      <c r="N9" s="33">
        <f>C31*'E Balans VL '!Y19/100/3.6*1000000</f>
        <v>771.3279632131547</v>
      </c>
      <c r="O9" s="33"/>
      <c r="P9" s="33"/>
      <c r="R9" s="32"/>
    </row>
    <row r="10" spans="1:18">
      <c r="A10" s="6" t="s">
        <v>40</v>
      </c>
      <c r="B10" s="37">
        <f t="shared" si="0"/>
        <v>4734.3530000000001</v>
      </c>
      <c r="C10" s="33"/>
      <c r="D10" s="37">
        <f>IF( ISERROR(IND_voed_gas_kWh/1000),0,IND_voed_gas_kWh/1000)*0.902</f>
        <v>1239.724134</v>
      </c>
      <c r="E10" s="33">
        <f>C32*'E Balans VL '!I20/100/3.6*1000000</f>
        <v>43.194269411705434</v>
      </c>
      <c r="F10" s="33">
        <f>C32*'E Balans VL '!L20/100/3.6*1000000+C32*'E Balans VL '!N20/100/3.6*1000000</f>
        <v>763.79922079578591</v>
      </c>
      <c r="G10" s="34"/>
      <c r="H10" s="33"/>
      <c r="I10" s="33"/>
      <c r="J10" s="40">
        <f>C32*'E Balans VL '!D20/100/3.6*1000000+C32*'E Balans VL '!E20/100/3.6*1000000</f>
        <v>19.499169646075785</v>
      </c>
      <c r="K10" s="33"/>
      <c r="L10" s="33"/>
      <c r="M10" s="33"/>
      <c r="N10" s="33">
        <f>C32*'E Balans VL '!Y20/100/3.6*1000000</f>
        <v>69.259851247884882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286.04700000000003</v>
      </c>
      <c r="C12" s="33"/>
      <c r="D12" s="37">
        <f>IF( ISERROR(IND_min_gas_kWh/1000),0,IND_min_gas_kWh/1000)*0.902</f>
        <v>0</v>
      </c>
      <c r="E12" s="33">
        <f>C34*'E Balans VL '!I22/100/3.6*1000000</f>
        <v>7.094895552617638</v>
      </c>
      <c r="F12" s="33">
        <f>C34*'E Balans VL '!L22/100/3.6*1000000+C34*'E Balans VL '!N22/100/3.6*1000000</f>
        <v>30.395232648955279</v>
      </c>
      <c r="G12" s="34"/>
      <c r="H12" s="33"/>
      <c r="I12" s="33"/>
      <c r="J12" s="40">
        <f>C34*'E Balans VL '!D22/100/3.6*1000000+C34*'E Balans VL '!E22/100/3.6*1000000</f>
        <v>1.6249148015676371</v>
      </c>
      <c r="K12" s="33"/>
      <c r="L12" s="33"/>
      <c r="M12" s="33"/>
      <c r="N12" s="33">
        <f>C34*'E Balans VL '!Y22/100/3.6*1000000</f>
        <v>0</v>
      </c>
      <c r="O12" s="33"/>
      <c r="P12" s="33"/>
      <c r="R12" s="32"/>
    </row>
    <row r="13" spans="1:18">
      <c r="A13" s="6" t="s">
        <v>38</v>
      </c>
      <c r="B13" s="37">
        <f t="shared" si="0"/>
        <v>124.322</v>
      </c>
      <c r="C13" s="33"/>
      <c r="D13" s="37">
        <f>IF( ISERROR(IND_papier_gas_kWh/1000),0,IND_papier_gas_kWh/1000)*0.902</f>
        <v>0</v>
      </c>
      <c r="E13" s="33">
        <f>C35*'E Balans VL '!I23/100/3.6*1000000</f>
        <v>3.8250634884764652</v>
      </c>
      <c r="F13" s="33">
        <f>C35*'E Balans VL '!L23/100/3.6*1000000+C35*'E Balans VL '!N23/100/3.6*1000000</f>
        <v>26.397905397199008</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377.20299999999997</v>
      </c>
      <c r="C14" s="33"/>
      <c r="D14" s="37">
        <f>IF( ISERROR(IND_chemie_gas_kWh/1000),0,IND_chemie_gas_kWh/1000)*0.902</f>
        <v>0</v>
      </c>
      <c r="E14" s="33">
        <f>C36*'E Balans VL '!I24/100/3.6*1000000</f>
        <v>1.2789779748635961</v>
      </c>
      <c r="F14" s="33">
        <f>C36*'E Balans VL '!L24/100/3.6*1000000+C36*'E Balans VL '!N24/100/3.6*1000000</f>
        <v>1.210535818039679</v>
      </c>
      <c r="G14" s="34"/>
      <c r="H14" s="33"/>
      <c r="I14" s="33"/>
      <c r="J14" s="40">
        <f>C36*'E Balans VL '!D24/100/3.6*1000000+C36*'E Balans VL '!E24/100/3.6*1000000</f>
        <v>0</v>
      </c>
      <c r="K14" s="33"/>
      <c r="L14" s="33"/>
      <c r="M14" s="33"/>
      <c r="N14" s="33">
        <f>C36*'E Balans VL '!Y24/100/3.6*1000000</f>
        <v>1.7636990041681617</v>
      </c>
      <c r="O14" s="33"/>
      <c r="P14" s="33"/>
      <c r="R14" s="32"/>
    </row>
    <row r="15" spans="1:18">
      <c r="A15" s="6" t="s">
        <v>259</v>
      </c>
      <c r="B15" s="37">
        <f t="shared" si="0"/>
        <v>0</v>
      </c>
      <c r="C15" s="33"/>
      <c r="D15" s="37">
        <f>IF( ISERROR(IND_rest_gas_kWh/1000),0,IND_rest_gas_kWh/1000)*0.902</f>
        <v>217.004062</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483</v>
      </c>
      <c r="B16" s="243">
        <f>'lokale energieproductie'!N38+'lokale energieproductie'!N30</f>
        <v>0</v>
      </c>
      <c r="C16" s="243">
        <f>'lokale energieproductie'!O38+'lokale energieproductie'!O30</f>
        <v>0</v>
      </c>
      <c r="D16" s="302">
        <f>('lokale energieproductie'!P30+'lokale energieproductie'!P38)*(-1)</f>
        <v>0</v>
      </c>
      <c r="E16" s="244"/>
      <c r="F16" s="302">
        <f>('lokale energieproductie'!S30+'lokale energieproductie'!S38)*(-1)</f>
        <v>0</v>
      </c>
      <c r="G16" s="245"/>
      <c r="H16" s="244"/>
      <c r="I16" s="244"/>
      <c r="J16" s="244"/>
      <c r="K16" s="244"/>
      <c r="L16" s="302">
        <f>('lokale energieproductie'!T30+'lokale energieproductie'!U30+'lokale energieproductie'!T38+'lokale energieproductie'!U38)*(-1)</f>
        <v>0</v>
      </c>
      <c r="M16" s="244"/>
      <c r="N16" s="302">
        <f>('lokale energieproductie'!Q30+'lokale energieproductie'!R30+'lokale energieproductie'!V30+'lokale energieproductie'!Q38+'lokale energieproductie'!R38+'lokale energieproductie'!V38)*(-1)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19727.912</v>
      </c>
      <c r="C18" s="21">
        <f>C5+C16</f>
        <v>0</v>
      </c>
      <c r="D18" s="21">
        <f>MAX((D5+D16),0)</f>
        <v>6606.0856400000002</v>
      </c>
      <c r="E18" s="21">
        <f>MAX((E5+E16),0)</f>
        <v>256.88646670307139</v>
      </c>
      <c r="F18" s="21">
        <f>MAX((F5+F16),0)</f>
        <v>9374.5301329524173</v>
      </c>
      <c r="G18" s="21"/>
      <c r="H18" s="21"/>
      <c r="I18" s="21"/>
      <c r="J18" s="21">
        <f>MAX((J5+J16),0)</f>
        <v>100.44335729548112</v>
      </c>
      <c r="K18" s="21"/>
      <c r="L18" s="21">
        <f>MAX((L5+L16),0)</f>
        <v>0</v>
      </c>
      <c r="M18" s="21"/>
      <c r="N18" s="21">
        <f>MAX((N5+N16),0)</f>
        <v>856.59027415372543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0.20329589841940759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4010.6035939790122</v>
      </c>
      <c r="C22" s="23">
        <f ca="1">C18*C20</f>
        <v>0</v>
      </c>
      <c r="D22" s="23">
        <f>D18*D20</f>
        <v>1334.4292992800001</v>
      </c>
      <c r="E22" s="23">
        <f>E18*E20</f>
        <v>58.313227941597205</v>
      </c>
      <c r="F22" s="23">
        <f>F18*F20</f>
        <v>2502.9995454982954</v>
      </c>
      <c r="G22" s="23"/>
      <c r="H22" s="23"/>
      <c r="I22" s="23"/>
      <c r="J22" s="23">
        <f>J18*J20</f>
        <v>35.556948482600312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3798.9560000000001</v>
      </c>
      <c r="C30" s="39">
        <f>IF(ISERROR(B30*3.6/1000000/'E Balans VL '!Z18*100),0,B30*3.6/1000000/'E Balans VL '!Z18*100)</f>
        <v>0.25289882075693182</v>
      </c>
      <c r="D30" s="233" t="s">
        <v>676</v>
      </c>
    </row>
    <row r="31" spans="1:18">
      <c r="A31" s="6" t="s">
        <v>32</v>
      </c>
      <c r="B31" s="37">
        <f>IF( ISERROR(IND_ander_ele_kWh/1000),0,IND_ander_ele_kWh/1000)</f>
        <v>10407.031000000001</v>
      </c>
      <c r="C31" s="39">
        <f>IF(ISERROR(B31*3.6/1000000/'E Balans VL '!Z19*100),0,B31*3.6/1000000/'E Balans VL '!Z19*100)</f>
        <v>0.4613024417192621</v>
      </c>
      <c r="D31" s="233" t="s">
        <v>676</v>
      </c>
    </row>
    <row r="32" spans="1:18">
      <c r="A32" s="168" t="s">
        <v>40</v>
      </c>
      <c r="B32" s="37">
        <f>IF( ISERROR(IND_voed_ele_kWh/1000),0,IND_voed_ele_kWh/1000)</f>
        <v>4734.3530000000001</v>
      </c>
      <c r="C32" s="39">
        <f>IF(ISERROR(B32*3.6/1000000/'E Balans VL '!Z20*100),0,B32*3.6/1000000/'E Balans VL '!Z20*100)</f>
        <v>0.15814097130101901</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286.04700000000003</v>
      </c>
      <c r="C34" s="39">
        <f>IF(ISERROR(B34*3.6/1000000/'E Balans VL '!Z22*100),0,B34*3.6/1000000/'E Balans VL '!Z22*100)</f>
        <v>5.5632999452309789E-2</v>
      </c>
      <c r="D34" s="233" t="s">
        <v>676</v>
      </c>
    </row>
    <row r="35" spans="1:5">
      <c r="A35" s="168" t="s">
        <v>38</v>
      </c>
      <c r="B35" s="37">
        <f>IF( ISERROR(IND_papier_ele_kWh/1000),0,IND_papier_ele_kWh/1000)</f>
        <v>124.322</v>
      </c>
      <c r="C35" s="39">
        <f>IF(ISERROR(B35*3.6/1000000/'E Balans VL '!Z22*100),0,B35*3.6/1000000/'E Balans VL '!Z22*100)</f>
        <v>2.4179263400455377E-2</v>
      </c>
      <c r="D35" s="233" t="s">
        <v>676</v>
      </c>
    </row>
    <row r="36" spans="1:5">
      <c r="A36" s="168" t="s">
        <v>33</v>
      </c>
      <c r="B36" s="37">
        <f>IF( ISERROR(IND_chemie_ele_kWh/1000),0,IND_chemie_ele_kWh/1000)</f>
        <v>377.20299999999997</v>
      </c>
      <c r="C36" s="39">
        <f>IF(ISERROR(B36*3.6/1000000/'E Balans VL '!Z24*100),0,B36*3.6/1000000/'E Balans VL '!Z24*100)</f>
        <v>8.8577423979544663E-3</v>
      </c>
      <c r="D36" s="233" t="s">
        <v>676</v>
      </c>
    </row>
    <row r="37" spans="1:5">
      <c r="A37" s="168" t="s">
        <v>259</v>
      </c>
      <c r="B37" s="37">
        <f>IF( ISERROR(IND_rest_ele_kWh/1000),0,IND_rest_ele_kWh/1000)</f>
        <v>0</v>
      </c>
      <c r="C37" s="39">
        <f>IF(ISERROR(B37*3.6/1000000/'E Balans VL '!Z15*100),0,B37*3.6/1000000/'E Balans VL '!Z15*100)</f>
        <v>0</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9936.1000909582508</v>
      </c>
      <c r="C5" s="17">
        <f>'Eigen informatie GS &amp; warmtenet'!B60</f>
        <v>0</v>
      </c>
      <c r="D5" s="30">
        <f>IF(ISERROR(SUM(LB_lb_gas_kWh,LB_rest_gas_kWh)/1000),0,SUM(LB_lb_gas_kWh,LB_rest_gas_kWh)/1000)*0.902</f>
        <v>571.71646399999997</v>
      </c>
      <c r="E5" s="17">
        <f>B17*'E Balans VL '!I25/3.6*1000000/100</f>
        <v>89.536869619323213</v>
      </c>
      <c r="F5" s="17">
        <f>B17*('E Balans VL '!L25/3.6*1000000+'E Balans VL '!N25/3.6*1000000)/100</f>
        <v>37230.870081838511</v>
      </c>
      <c r="G5" s="18"/>
      <c r="H5" s="17"/>
      <c r="I5" s="17"/>
      <c r="J5" s="17">
        <f>('E Balans VL '!D25+'E Balans VL '!E25)/3.6*1000000*landbouw!B17/100</f>
        <v>1005.4922346424931</v>
      </c>
      <c r="K5" s="17"/>
      <c r="L5" s="17">
        <f>L6*(-1)</f>
        <v>360</v>
      </c>
      <c r="M5" s="17"/>
      <c r="N5" s="17">
        <f>N6*(-1)</f>
        <v>2126.25</v>
      </c>
      <c r="O5" s="17"/>
      <c r="P5" s="17"/>
      <c r="R5" s="32"/>
    </row>
    <row r="6" spans="1:18">
      <c r="A6" s="16" t="s">
        <v>483</v>
      </c>
      <c r="B6" s="17" t="s">
        <v>204</v>
      </c>
      <c r="C6" s="17">
        <f>'lokale energieproductie'!O40+'lokale energieproductie'!O32</f>
        <v>0</v>
      </c>
      <c r="D6" s="302">
        <f>('lokale energieproductie'!P32+'lokale energieproductie'!P40)*(-1)</f>
        <v>0</v>
      </c>
      <c r="E6" s="244"/>
      <c r="F6" s="302">
        <f>('lokale energieproductie'!S32+'lokale energieproductie'!S40)*(-1)</f>
        <v>0</v>
      </c>
      <c r="G6" s="245"/>
      <c r="H6" s="244"/>
      <c r="I6" s="244"/>
      <c r="J6" s="244"/>
      <c r="K6" s="244"/>
      <c r="L6" s="302">
        <f>('lokale energieproductie'!T32+'lokale energieproductie'!U32+'lokale energieproductie'!T40+'lokale energieproductie'!U40)*(-1)</f>
        <v>-360</v>
      </c>
      <c r="M6" s="244"/>
      <c r="N6" s="302">
        <f>('lokale energieproductie'!V32+'lokale energieproductie'!R32+'lokale energieproductie'!Q32+'lokale energieproductie'!Q40+'lokale energieproductie'!R40+'lokale energieproductie'!V40)*(-1)</f>
        <v>-2126.25</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9936.1000909582508</v>
      </c>
      <c r="C8" s="21">
        <f>C5+C6</f>
        <v>0</v>
      </c>
      <c r="D8" s="21">
        <f>MAX((D5+D6),0)</f>
        <v>571.71646399999997</v>
      </c>
      <c r="E8" s="21">
        <f>MAX((E5+E6),0)</f>
        <v>89.536869619323213</v>
      </c>
      <c r="F8" s="21">
        <f>MAX((F5+F6),0)</f>
        <v>37230.870081838511</v>
      </c>
      <c r="G8" s="21"/>
      <c r="H8" s="21"/>
      <c r="I8" s="21"/>
      <c r="J8" s="21">
        <f>MAX((J5+J6),0)</f>
        <v>1005.4922346424931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0.20329589841940759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2019.9683947765152</v>
      </c>
      <c r="C12" s="23">
        <f ca="1">C8*C10</f>
        <v>0</v>
      </c>
      <c r="D12" s="23">
        <f>D8*D10</f>
        <v>115.486725728</v>
      </c>
      <c r="E12" s="23">
        <f>E8*E10</f>
        <v>20.324869403586369</v>
      </c>
      <c r="F12" s="23">
        <f>F8*F10</f>
        <v>9940.6423118508828</v>
      </c>
      <c r="G12" s="23"/>
      <c r="H12" s="23"/>
      <c r="I12" s="23"/>
      <c r="J12" s="23">
        <f>J8*J10</f>
        <v>355.94425106344255</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1.5293576061749727</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1923.5730740973634</v>
      </c>
      <c r="C26" s="243">
        <f>B26*'GWP N2O_CH4'!B5</f>
        <v>40395.034556044629</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1002.1026540860026</v>
      </c>
      <c r="C27" s="243">
        <f>B27*'GWP N2O_CH4'!B5</f>
        <v>21044.155735806056</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29.950619776923183</v>
      </c>
      <c r="C28" s="243">
        <f>B28*'GWP N2O_CH4'!B4</f>
        <v>9284.692130846186</v>
      </c>
      <c r="D28" s="50"/>
    </row>
    <row r="29" spans="1:4">
      <c r="A29" s="41" t="s">
        <v>266</v>
      </c>
      <c r="B29" s="243">
        <f>B34*'ha_N2O bodem landbouw'!B4</f>
        <v>71.082372045599712</v>
      </c>
      <c r="C29" s="243">
        <f>B29*'GWP N2O_CH4'!B4</f>
        <v>22035.535334135911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1.8455188328565394E-2</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5.9747754570474383E-6</v>
      </c>
      <c r="C5" s="431" t="s">
        <v>204</v>
      </c>
      <c r="D5" s="416">
        <f>SUM(D6:D11)</f>
        <v>1.9918233677099034E-5</v>
      </c>
      <c r="E5" s="416">
        <f>SUM(E6:E11)</f>
        <v>2.0402917732541635E-3</v>
      </c>
      <c r="F5" s="429" t="s">
        <v>204</v>
      </c>
      <c r="G5" s="416">
        <f>SUM(G6:G11)</f>
        <v>0.39283806358341539</v>
      </c>
      <c r="H5" s="416">
        <f>SUM(H6:H11)</f>
        <v>6.8457434337817924E-2</v>
      </c>
      <c r="I5" s="431" t="s">
        <v>204</v>
      </c>
      <c r="J5" s="431" t="s">
        <v>204</v>
      </c>
      <c r="K5" s="431" t="s">
        <v>204</v>
      </c>
      <c r="L5" s="431" t="s">
        <v>204</v>
      </c>
      <c r="M5" s="416">
        <f>SUM(M6:M11)</f>
        <v>2.0073898185474948E-2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4.8380637220411944E-6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1.5271236210287604E-5</v>
      </c>
      <c r="E6" s="419">
        <f>vkm_GW_PW*SUMIFS(TableVerdeelsleutelVkm[LPG],TableVerdeelsleutelVkm[Voertuigtype],"Lichte voertuigen")*SUMIFS(TableECFTransport[EnergieConsumptieFactor (PJ per km)],TableECFTransport[Index],CONCATENATE($A6,"_LPG_LPG"))</f>
        <v>1.5860471129056598E-3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0.21170952207109564</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5.317230865658918E-2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1.1567531498184458E-2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2.5532735168128355E-7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0.11509532177667407</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3.386605433166976E-6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4.9583667683964182E-3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8.6800615558422041E-7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4.6469974668114309E-6</v>
      </c>
      <c r="E8" s="419">
        <f>vkm_NGW_PW*SUMIFS(TableVerdeelsleutelVkm[LPG],TableVerdeelsleutelVkm[Voertuigtype],"Lichte voertuigen")*SUMIFS(TableECFTransport[EnergieConsumptieFactor (PJ per km)],TableECFTransport[Index],CONCATENATE($A8,"_LPG_LPG"))</f>
        <v>4.5424466034850387E-4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5.7679922564640135E-2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1.5281524894130184E-2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3.1881369547012194E-3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1.3378227740740249E-8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8.3532971710055873E-3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2.1418166539307878E-7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3.5986296419285351E-4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1.659659849179844</v>
      </c>
      <c r="C14" s="21"/>
      <c r="D14" s="21">
        <f t="shared" ref="D14:M14" si="0">((D5)*10^9/3600)+D12</f>
        <v>5.5328426880830648</v>
      </c>
      <c r="E14" s="21">
        <f t="shared" si="0"/>
        <v>566.74771479282322</v>
      </c>
      <c r="F14" s="21"/>
      <c r="G14" s="21">
        <f t="shared" si="0"/>
        <v>109121.68432872649</v>
      </c>
      <c r="H14" s="21">
        <f t="shared" si="0"/>
        <v>19015.953982727202</v>
      </c>
      <c r="I14" s="21"/>
      <c r="J14" s="21"/>
      <c r="K14" s="21"/>
      <c r="L14" s="21"/>
      <c r="M14" s="21">
        <f t="shared" si="0"/>
        <v>5576.0828292985962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0.20329589841940759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0.33740204010963487</v>
      </c>
      <c r="C18" s="23"/>
      <c r="D18" s="23">
        <f t="shared" ref="D18:M18" si="1">D14*D16</f>
        <v>1.1176342229927791</v>
      </c>
      <c r="E18" s="23">
        <f t="shared" si="1"/>
        <v>128.65173125797088</v>
      </c>
      <c r="F18" s="23"/>
      <c r="G18" s="23">
        <f t="shared" si="1"/>
        <v>29135.489715769974</v>
      </c>
      <c r="H18" s="23">
        <f t="shared" si="1"/>
        <v>4734.9725416990732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3.5860534400030906E-5</v>
      </c>
      <c r="C50" s="313">
        <f t="shared" ref="C50:P50" si="2">SUM(C51:C52)</f>
        <v>0</v>
      </c>
      <c r="D50" s="313">
        <f t="shared" si="2"/>
        <v>0</v>
      </c>
      <c r="E50" s="313">
        <f t="shared" si="2"/>
        <v>0</v>
      </c>
      <c r="F50" s="313">
        <f t="shared" si="2"/>
        <v>0</v>
      </c>
      <c r="G50" s="313">
        <f t="shared" si="2"/>
        <v>7.7795829034008187E-3</v>
      </c>
      <c r="H50" s="313">
        <f t="shared" si="2"/>
        <v>0</v>
      </c>
      <c r="I50" s="313">
        <f t="shared" si="2"/>
        <v>0</v>
      </c>
      <c r="J50" s="313">
        <f t="shared" si="2"/>
        <v>0</v>
      </c>
      <c r="K50" s="313">
        <f t="shared" si="2"/>
        <v>0</v>
      </c>
      <c r="L50" s="313">
        <f t="shared" si="2"/>
        <v>0</v>
      </c>
      <c r="M50" s="313">
        <f t="shared" si="2"/>
        <v>3.3309185660835921E-4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3.5860534400030906E-5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7.7795829034008187E-3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3.3309185660835921E-4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9.9612595555641406</v>
      </c>
      <c r="C54" s="21">
        <f t="shared" ref="C54:P54" si="3">(C50)*10^9/3600</f>
        <v>0</v>
      </c>
      <c r="D54" s="21">
        <f t="shared" si="3"/>
        <v>0</v>
      </c>
      <c r="E54" s="21">
        <f t="shared" si="3"/>
        <v>0</v>
      </c>
      <c r="F54" s="21">
        <f t="shared" si="3"/>
        <v>0</v>
      </c>
      <c r="G54" s="21">
        <f t="shared" si="3"/>
        <v>2160.9952509446721</v>
      </c>
      <c r="H54" s="21">
        <f t="shared" si="3"/>
        <v>0</v>
      </c>
      <c r="I54" s="21">
        <f t="shared" si="3"/>
        <v>0</v>
      </c>
      <c r="J54" s="21">
        <f t="shared" si="3"/>
        <v>0</v>
      </c>
      <c r="K54" s="21">
        <f t="shared" si="3"/>
        <v>0</v>
      </c>
      <c r="L54" s="21">
        <f t="shared" si="3"/>
        <v>0</v>
      </c>
      <c r="M54" s="21">
        <f t="shared" si="3"/>
        <v>92.525515724544221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0.20329589841940759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2.0250832107373209</v>
      </c>
      <c r="C58" s="23">
        <f t="shared" ref="C58:P58" ca="1" si="4">C54*C56</f>
        <v>0</v>
      </c>
      <c r="D58" s="23">
        <f t="shared" si="4"/>
        <v>0</v>
      </c>
      <c r="E58" s="23">
        <f t="shared" si="4"/>
        <v>0</v>
      </c>
      <c r="F58" s="23">
        <f t="shared" si="4"/>
        <v>0</v>
      </c>
      <c r="G58" s="23">
        <f t="shared" si="4"/>
        <v>576.98573200222745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2642.9898546116724</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3700.3470012987232</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B49</f>
        <v>0</v>
      </c>
      <c r="D8" s="920"/>
      <c r="E8" s="920">
        <f>E49</f>
        <v>0</v>
      </c>
      <c r="F8" s="921"/>
      <c r="G8" s="543"/>
      <c r="H8" s="920">
        <f>I49</f>
        <v>0</v>
      </c>
      <c r="I8" s="920">
        <f>G49+F49</f>
        <v>0</v>
      </c>
      <c r="J8" s="920">
        <f>H49+D49+C49</f>
        <v>0</v>
      </c>
      <c r="K8" s="920"/>
      <c r="L8" s="920"/>
      <c r="M8" s="920"/>
      <c r="N8" s="544"/>
      <c r="O8" s="545">
        <f>C8*$C$12+D8*$D$12+E8*$E$12+F8*$F$12+G8*$G$12+H8*$H$12+I8*$I$12+J8*$J$12</f>
        <v>0</v>
      </c>
      <c r="P8" s="1181"/>
      <c r="Q8" s="1182"/>
      <c r="S8" s="953"/>
      <c r="T8" s="1169"/>
      <c r="U8" s="1169"/>
    </row>
    <row r="9" spans="1:21" s="530" customFormat="1" ht="17.45" customHeight="1" thickBot="1">
      <c r="A9" s="546" t="s">
        <v>237</v>
      </c>
      <c r="B9" s="957">
        <f>N37+'Eigen informatie GS &amp; warmtenet'!B12</f>
        <v>994.5</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360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2126.25</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7337.8368559103956</v>
      </c>
      <c r="C10" s="554">
        <f t="shared" ref="C10:L10" si="0">SUM(C8:C9)</f>
        <v>0</v>
      </c>
      <c r="D10" s="554">
        <f t="shared" si="0"/>
        <v>0</v>
      </c>
      <c r="E10" s="554">
        <f t="shared" si="0"/>
        <v>0</v>
      </c>
      <c r="F10" s="554">
        <f t="shared" si="0"/>
        <v>0</v>
      </c>
      <c r="G10" s="554">
        <f t="shared" si="0"/>
        <v>0</v>
      </c>
      <c r="H10" s="554">
        <f t="shared" si="0"/>
        <v>0</v>
      </c>
      <c r="I10" s="554">
        <f t="shared" si="0"/>
        <v>360</v>
      </c>
      <c r="J10" s="554">
        <f t="shared" si="0"/>
        <v>2126.25</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B50</f>
        <v>0</v>
      </c>
      <c r="D17" s="567"/>
      <c r="E17" s="567">
        <f>E50</f>
        <v>0</v>
      </c>
      <c r="F17" s="568"/>
      <c r="G17" s="569"/>
      <c r="H17" s="566">
        <f>I50</f>
        <v>0</v>
      </c>
      <c r="I17" s="567">
        <f>G50+F50</f>
        <v>0</v>
      </c>
      <c r="J17" s="567">
        <f>H50+D50+C50</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38.25" hidden="1">
      <c r="A35" s="580"/>
      <c r="B35" s="736">
        <v>32003</v>
      </c>
      <c r="C35" s="736">
        <v>8600</v>
      </c>
      <c r="D35" s="628"/>
      <c r="E35" s="628"/>
      <c r="F35" s="628"/>
      <c r="G35" s="628" t="s">
        <v>962</v>
      </c>
      <c r="H35" s="628" t="s">
        <v>963</v>
      </c>
      <c r="I35" s="628"/>
      <c r="J35" s="735"/>
      <c r="K35" s="735"/>
      <c r="L35" s="628" t="s">
        <v>964</v>
      </c>
      <c r="M35" s="628">
        <v>32</v>
      </c>
      <c r="N35" s="628">
        <v>144</v>
      </c>
      <c r="O35" s="628">
        <v>0</v>
      </c>
      <c r="P35" s="628">
        <v>0</v>
      </c>
      <c r="Q35" s="628">
        <v>0</v>
      </c>
      <c r="R35" s="628">
        <v>0</v>
      </c>
      <c r="S35" s="628">
        <v>0</v>
      </c>
      <c r="T35" s="628">
        <v>0</v>
      </c>
      <c r="U35" s="628">
        <v>360</v>
      </c>
      <c r="V35" s="628">
        <v>0</v>
      </c>
      <c r="W35" s="628">
        <v>0</v>
      </c>
      <c r="X35" s="628"/>
      <c r="Y35" s="628">
        <v>10</v>
      </c>
      <c r="Z35" s="628" t="s">
        <v>105</v>
      </c>
      <c r="AA35" s="629" t="s">
        <v>105</v>
      </c>
    </row>
    <row r="36" spans="1:28" s="594" customFormat="1" ht="38.25" hidden="1">
      <c r="A36" s="580"/>
      <c r="B36" s="736">
        <v>32003</v>
      </c>
      <c r="C36" s="736">
        <v>8600</v>
      </c>
      <c r="D36" s="628"/>
      <c r="E36" s="628"/>
      <c r="F36" s="628"/>
      <c r="G36" s="628" t="s">
        <v>965</v>
      </c>
      <c r="H36" s="628" t="s">
        <v>966</v>
      </c>
      <c r="I36" s="628"/>
      <c r="J36" s="735"/>
      <c r="K36" s="735"/>
      <c r="L36" s="628" t="s">
        <v>964</v>
      </c>
      <c r="M36" s="628">
        <v>378</v>
      </c>
      <c r="N36" s="628">
        <v>850.5</v>
      </c>
      <c r="O36" s="628">
        <v>0</v>
      </c>
      <c r="P36" s="628">
        <v>0</v>
      </c>
      <c r="Q36" s="628">
        <v>0</v>
      </c>
      <c r="R36" s="628">
        <v>0</v>
      </c>
      <c r="S36" s="628">
        <v>0</v>
      </c>
      <c r="T36" s="628">
        <v>0</v>
      </c>
      <c r="U36" s="628">
        <v>0</v>
      </c>
      <c r="V36" s="628">
        <v>2126.25</v>
      </c>
      <c r="W36" s="628">
        <v>0</v>
      </c>
      <c r="X36" s="628"/>
      <c r="Y36" s="628">
        <v>10</v>
      </c>
      <c r="Z36" s="628" t="s">
        <v>105</v>
      </c>
      <c r="AA36" s="629" t="s">
        <v>105</v>
      </c>
    </row>
    <row r="37" spans="1:28" s="561" customFormat="1" hidden="1">
      <c r="A37" s="581" t="s">
        <v>269</v>
      </c>
      <c r="B37" s="582"/>
      <c r="C37" s="582"/>
      <c r="D37" s="582"/>
      <c r="E37" s="582"/>
      <c r="F37" s="582"/>
      <c r="G37" s="582"/>
      <c r="H37" s="582"/>
      <c r="I37" s="582"/>
      <c r="J37" s="582"/>
      <c r="K37" s="582"/>
      <c r="L37" s="583"/>
      <c r="M37" s="583">
        <f>SUM(M35:M36)</f>
        <v>410</v>
      </c>
      <c r="N37" s="583">
        <f>SUM(N35:N36)</f>
        <v>994.5</v>
      </c>
      <c r="O37" s="583">
        <f>SUM(O35:O36)</f>
        <v>0</v>
      </c>
      <c r="P37" s="583">
        <f>SUM(P35:P36)</f>
        <v>0</v>
      </c>
      <c r="Q37" s="583">
        <f>SUM(Q35:Q36)</f>
        <v>0</v>
      </c>
      <c r="R37" s="583">
        <f>SUM(R35:R36)</f>
        <v>0</v>
      </c>
      <c r="S37" s="583">
        <f>SUM(S35:S36)</f>
        <v>0</v>
      </c>
      <c r="T37" s="583">
        <f>SUM(T35:T36)</f>
        <v>0</v>
      </c>
      <c r="U37" s="583">
        <f>SUM(U35:U36)</f>
        <v>360</v>
      </c>
      <c r="V37" s="583">
        <f>SUM(V35:V36)</f>
        <v>2126.25</v>
      </c>
      <c r="W37" s="583">
        <f>SUM(W35:W36)</f>
        <v>0</v>
      </c>
      <c r="X37" s="583"/>
      <c r="Y37" s="584"/>
      <c r="Z37" s="584"/>
      <c r="AA37" s="585"/>
    </row>
    <row r="38" spans="1:28" s="561" customFormat="1">
      <c r="A38" s="581" t="s">
        <v>276</v>
      </c>
      <c r="B38" s="582"/>
      <c r="C38" s="582"/>
      <c r="D38" s="582"/>
      <c r="E38" s="582"/>
      <c r="F38" s="582"/>
      <c r="G38" s="582"/>
      <c r="H38" s="582"/>
      <c r="I38" s="582"/>
      <c r="J38" s="582"/>
      <c r="K38" s="582"/>
      <c r="L38" s="583"/>
      <c r="M38" s="583">
        <f>SUMIF($AA$35:$AA$36,"industrie",M35:M36)</f>
        <v>0</v>
      </c>
      <c r="N38" s="583">
        <f>SUMIF($AA$35:$AA$36,"industrie",N35:N36)</f>
        <v>0</v>
      </c>
      <c r="O38" s="583">
        <f>SUMIF($AA$35:$AA$36,"industrie",O35:O36)</f>
        <v>0</v>
      </c>
      <c r="P38" s="583">
        <f>SUMIF($AA$35:$AA$36,"industrie",P35:P36)</f>
        <v>0</v>
      </c>
      <c r="Q38" s="583">
        <f>SUMIF($AA$35:$AA$36,"industrie",Q35:Q36)</f>
        <v>0</v>
      </c>
      <c r="R38" s="583">
        <f>SUMIF($AA$35:$AA$36,"industrie",R35:R36)</f>
        <v>0</v>
      </c>
      <c r="S38" s="583">
        <f>SUMIF($AA$35:$AA$36,"industrie",S35:S36)</f>
        <v>0</v>
      </c>
      <c r="T38" s="583">
        <f>SUMIF($AA$35:$AA$36,"industrie",T35:T36)</f>
        <v>0</v>
      </c>
      <c r="U38" s="583">
        <f>SUMIF($AA$35:$AA$36,"industrie",U35:U36)</f>
        <v>0</v>
      </c>
      <c r="V38" s="583">
        <f>SUMIF($AA$35:$AA$36,"industrie",V35:V36)</f>
        <v>0</v>
      </c>
      <c r="W38" s="583">
        <f>SUMIF($AA$35:$AA$36,"industrie",W35:W36)</f>
        <v>0</v>
      </c>
      <c r="X38" s="583"/>
      <c r="Y38" s="584"/>
      <c r="Z38" s="584"/>
      <c r="AA38" s="585"/>
    </row>
    <row r="39" spans="1:28" s="561" customFormat="1">
      <c r="A39" s="581" t="s">
        <v>277</v>
      </c>
      <c r="B39" s="582"/>
      <c r="C39" s="582"/>
      <c r="D39" s="582"/>
      <c r="E39" s="582"/>
      <c r="F39" s="582"/>
      <c r="G39" s="582"/>
      <c r="H39" s="582"/>
      <c r="I39" s="582"/>
      <c r="J39" s="582"/>
      <c r="K39" s="582"/>
      <c r="L39" s="583"/>
      <c r="M39" s="583">
        <f>SUMIF($AA$35:$AA$37,"tertiair",M35:M37)</f>
        <v>0</v>
      </c>
      <c r="N39" s="583">
        <f>SUMIF($AA$35:$AA$37,"tertiair",N35:N37)</f>
        <v>0</v>
      </c>
      <c r="O39" s="583">
        <f>SUMIF($AA$35:$AA$37,"tertiair",O35:O37)</f>
        <v>0</v>
      </c>
      <c r="P39" s="583">
        <f>SUMIF($AA$35:$AA$37,"tertiair",P35:P37)</f>
        <v>0</v>
      </c>
      <c r="Q39" s="583">
        <f>SUMIF($AA$35:$AA$37,"tertiair",Q35:Q37)</f>
        <v>0</v>
      </c>
      <c r="R39" s="583">
        <f>SUMIF($AA$35:$AA$37,"tertiair",R35:R37)</f>
        <v>0</v>
      </c>
      <c r="S39" s="583">
        <f>SUMIF($AA$35:$AA$37,"tertiair",S35:S37)</f>
        <v>0</v>
      </c>
      <c r="T39" s="583">
        <f>SUMIF($AA$35:$AA$37,"tertiair",T35:T37)</f>
        <v>0</v>
      </c>
      <c r="U39" s="583">
        <f>SUMIF($AA$35:$AA$37,"tertiair",U35:U37)</f>
        <v>0</v>
      </c>
      <c r="V39" s="583">
        <f>SUMIF($AA$35:$AA$37,"tertiair",V35:V37)</f>
        <v>0</v>
      </c>
      <c r="W39" s="583">
        <f>SUMIF($AA$35:$AA$37,"tertiair",W35:W37)</f>
        <v>0</v>
      </c>
      <c r="X39" s="583"/>
      <c r="Y39" s="584"/>
      <c r="Z39" s="584"/>
      <c r="AA39" s="585"/>
    </row>
    <row r="40" spans="1:28" s="561" customFormat="1" ht="15.75" thickBot="1">
      <c r="A40" s="586" t="s">
        <v>278</v>
      </c>
      <c r="B40" s="587"/>
      <c r="C40" s="587"/>
      <c r="D40" s="587"/>
      <c r="E40" s="587"/>
      <c r="F40" s="587"/>
      <c r="G40" s="587"/>
      <c r="H40" s="587"/>
      <c r="I40" s="587"/>
      <c r="J40" s="587"/>
      <c r="K40" s="587"/>
      <c r="L40" s="588"/>
      <c r="M40" s="588">
        <f>SUMIF($AA$35:$AA$38,"landbouw",M35:M38)</f>
        <v>410</v>
      </c>
      <c r="N40" s="588">
        <f>SUMIF($AA$35:$AA$38,"landbouw",N35:N38)</f>
        <v>994.5</v>
      </c>
      <c r="O40" s="588">
        <f>SUMIF($AA$35:$AA$38,"landbouw",O35:O38)</f>
        <v>0</v>
      </c>
      <c r="P40" s="588">
        <f>SUMIF($AA$35:$AA$38,"landbouw",P35:P38)</f>
        <v>0</v>
      </c>
      <c r="Q40" s="588">
        <f>SUMIF($AA$35:$AA$38,"landbouw",Q35:Q38)</f>
        <v>0</v>
      </c>
      <c r="R40" s="588">
        <f>SUMIF($AA$35:$AA$38,"landbouw",R35:R38)</f>
        <v>0</v>
      </c>
      <c r="S40" s="588">
        <f>SUMIF($AA$35:$AA$38,"landbouw",S35:S38)</f>
        <v>0</v>
      </c>
      <c r="T40" s="588">
        <f>SUMIF($AA$35:$AA$38,"landbouw",T35:T38)</f>
        <v>0</v>
      </c>
      <c r="U40" s="588">
        <f>SUMIF($AA$35:$AA$38,"landbouw",U35:U38)</f>
        <v>360</v>
      </c>
      <c r="V40" s="588">
        <f>SUMIF($AA$35:$AA$38,"landbouw",V35:V38)</f>
        <v>2126.25</v>
      </c>
      <c r="W40" s="588">
        <f>SUMIF($AA$35:$AA$38,"landbouw",W35:W38)</f>
        <v>0</v>
      </c>
      <c r="X40" s="588"/>
      <c r="Y40" s="589"/>
      <c r="Z40" s="589"/>
      <c r="AA40" s="590"/>
    </row>
    <row r="41" spans="1:28" s="595" customForma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row>
    <row r="42" spans="1:28" s="595" customFormat="1" ht="15.75" thickBot="1">
      <c r="A42" s="591"/>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row>
    <row r="43" spans="1:28">
      <c r="A43" s="596" t="s">
        <v>271</v>
      </c>
      <c r="B43" s="597"/>
      <c r="C43" s="597"/>
      <c r="D43" s="597"/>
      <c r="E43" s="597"/>
      <c r="F43" s="597"/>
      <c r="G43" s="597"/>
      <c r="H43" s="597"/>
      <c r="I43" s="598"/>
      <c r="J43" s="599"/>
      <c r="K43" s="599"/>
      <c r="L43" s="600"/>
      <c r="M43" s="600"/>
      <c r="N43" s="600"/>
      <c r="O43" s="600"/>
      <c r="P43" s="600"/>
    </row>
    <row r="44" spans="1:28">
      <c r="A44" s="602"/>
      <c r="B44" s="592"/>
      <c r="C44" s="592"/>
      <c r="D44" s="592"/>
      <c r="E44" s="592"/>
      <c r="F44" s="592"/>
      <c r="G44" s="592"/>
      <c r="H44" s="592"/>
      <c r="I44" s="603"/>
      <c r="J44" s="592"/>
      <c r="K44" s="592"/>
      <c r="L44" s="600"/>
      <c r="M44" s="600"/>
      <c r="N44" s="600"/>
      <c r="O44" s="600"/>
      <c r="P44" s="600"/>
    </row>
    <row r="45" spans="1:28">
      <c r="A45" s="604"/>
      <c r="B45" s="605" t="s">
        <v>272</v>
      </c>
      <c r="C45" s="605" t="s">
        <v>273</v>
      </c>
      <c r="D45" s="605"/>
      <c r="E45" s="605"/>
      <c r="F45" s="605"/>
      <c r="G45" s="605"/>
      <c r="H45" s="605"/>
      <c r="I45" s="606"/>
      <c r="J45" s="605"/>
      <c r="K45" s="605"/>
      <c r="L45" s="605"/>
      <c r="M45" s="605"/>
      <c r="N45" s="605"/>
      <c r="O45" s="605"/>
      <c r="P45" s="600"/>
    </row>
    <row r="46" spans="1:28">
      <c r="A46" s="602" t="s">
        <v>269</v>
      </c>
      <c r="B46" s="607">
        <f>IF(ISERROR(O29/(O29+N29)),0,O29/(O29+N29))</f>
        <v>0</v>
      </c>
      <c r="C46" s="608">
        <f>IF(ISERROR(N29/(O29+N29)),0,N29/(N29+O29))</f>
        <v>0</v>
      </c>
      <c r="D46" s="575"/>
      <c r="E46" s="575"/>
      <c r="F46" s="575"/>
      <c r="G46" s="575"/>
      <c r="H46" s="575"/>
      <c r="I46" s="609"/>
      <c r="J46" s="575"/>
      <c r="K46" s="575"/>
      <c r="L46" s="610"/>
      <c r="M46" s="610"/>
      <c r="N46" s="610"/>
      <c r="O46" s="610"/>
      <c r="P46" s="600"/>
    </row>
    <row r="47" spans="1:28">
      <c r="A47" s="602"/>
      <c r="B47" s="611"/>
      <c r="C47" s="611"/>
      <c r="D47" s="611"/>
      <c r="E47" s="611"/>
      <c r="F47" s="611"/>
      <c r="G47" s="611"/>
      <c r="H47" s="611"/>
      <c r="I47" s="612"/>
      <c r="J47" s="611"/>
      <c r="K47" s="611"/>
      <c r="L47" s="613"/>
      <c r="M47" s="613"/>
      <c r="N47" s="613"/>
      <c r="O47" s="613"/>
      <c r="P47" s="600"/>
    </row>
    <row r="48" spans="1:28" ht="30">
      <c r="A48" s="614"/>
      <c r="B48" s="615" t="s">
        <v>528</v>
      </c>
      <c r="C48" s="615" t="s">
        <v>96</v>
      </c>
      <c r="D48" s="615" t="s">
        <v>97</v>
      </c>
      <c r="E48" s="615" t="s">
        <v>98</v>
      </c>
      <c r="F48" s="615" t="s">
        <v>99</v>
      </c>
      <c r="G48" s="615" t="s">
        <v>100</v>
      </c>
      <c r="H48" s="615" t="s">
        <v>101</v>
      </c>
      <c r="I48" s="616" t="s">
        <v>102</v>
      </c>
      <c r="J48" s="605"/>
      <c r="K48" s="605"/>
      <c r="L48" s="613"/>
      <c r="M48" s="613"/>
      <c r="N48" s="613"/>
      <c r="O48" s="600"/>
      <c r="P48" s="600"/>
    </row>
    <row r="49" spans="1:16">
      <c r="A49" s="604" t="s">
        <v>274</v>
      </c>
      <c r="B49" s="617">
        <f t="shared" ref="B49:I49" si="2">$C$46*P29</f>
        <v>0</v>
      </c>
      <c r="C49" s="617">
        <f t="shared" si="2"/>
        <v>0</v>
      </c>
      <c r="D49" s="617">
        <f t="shared" si="2"/>
        <v>0</v>
      </c>
      <c r="E49" s="617">
        <f t="shared" si="2"/>
        <v>0</v>
      </c>
      <c r="F49" s="617">
        <f t="shared" si="2"/>
        <v>0</v>
      </c>
      <c r="G49" s="617">
        <f t="shared" si="2"/>
        <v>0</v>
      </c>
      <c r="H49" s="617">
        <f t="shared" si="2"/>
        <v>0</v>
      </c>
      <c r="I49" s="618">
        <f t="shared" si="2"/>
        <v>0</v>
      </c>
      <c r="J49" s="575"/>
      <c r="K49" s="575"/>
      <c r="L49" s="613"/>
      <c r="M49" s="613"/>
      <c r="N49" s="613"/>
      <c r="O49" s="600"/>
      <c r="P49" s="600"/>
    </row>
    <row r="50" spans="1:16" ht="15.75" thickBot="1">
      <c r="A50" s="619" t="s">
        <v>275</v>
      </c>
      <c r="B50" s="620">
        <f t="shared" ref="B50:I50" si="3">$B$46*P29</f>
        <v>0</v>
      </c>
      <c r="C50" s="620">
        <f t="shared" si="3"/>
        <v>0</v>
      </c>
      <c r="D50" s="620">
        <f t="shared" si="3"/>
        <v>0</v>
      </c>
      <c r="E50" s="620">
        <f t="shared" si="3"/>
        <v>0</v>
      </c>
      <c r="F50" s="620">
        <f t="shared" si="3"/>
        <v>0</v>
      </c>
      <c r="G50" s="620">
        <f t="shared" si="3"/>
        <v>0</v>
      </c>
      <c r="H50" s="620">
        <f t="shared" si="3"/>
        <v>0</v>
      </c>
      <c r="I50" s="621">
        <f t="shared" si="3"/>
        <v>0</v>
      </c>
      <c r="J50" s="575"/>
      <c r="K50" s="575"/>
      <c r="L50" s="613"/>
      <c r="M50" s="613"/>
      <c r="N50" s="613"/>
      <c r="O50" s="600"/>
      <c r="P50" s="600"/>
    </row>
    <row r="51" spans="1:16">
      <c r="J51" s="559"/>
      <c r="K51" s="559"/>
      <c r="L51" s="559"/>
      <c r="M51" s="559"/>
      <c r="N51" s="559"/>
    </row>
    <row r="52" spans="1:16">
      <c r="J52" s="559"/>
      <c r="K52" s="559"/>
      <c r="L52" s="559"/>
      <c r="M52" s="559"/>
      <c r="N52"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27362.453000000001</v>
      </c>
      <c r="D10" s="635">
        <f ca="1">tertiair!C16</f>
        <v>0</v>
      </c>
      <c r="E10" s="635">
        <f ca="1">tertiair!D16</f>
        <v>20002.127815999997</v>
      </c>
      <c r="F10" s="635">
        <f>tertiair!E16</f>
        <v>414.58563685668639</v>
      </c>
      <c r="G10" s="635">
        <f ca="1">tertiair!F16</f>
        <v>6075.5890638014962</v>
      </c>
      <c r="H10" s="635">
        <f>tertiair!G16</f>
        <v>0</v>
      </c>
      <c r="I10" s="635">
        <f>tertiair!H16</f>
        <v>0</v>
      </c>
      <c r="J10" s="635">
        <f>tertiair!I16</f>
        <v>0</v>
      </c>
      <c r="K10" s="635">
        <f>tertiair!J16</f>
        <v>0</v>
      </c>
      <c r="L10" s="635">
        <f>tertiair!K16</f>
        <v>0</v>
      </c>
      <c r="M10" s="635">
        <f ca="1">tertiair!L16</f>
        <v>0</v>
      </c>
      <c r="N10" s="635">
        <f>tertiair!M16</f>
        <v>0</v>
      </c>
      <c r="O10" s="635">
        <f ca="1">tertiair!N16</f>
        <v>1684.2667886969286</v>
      </c>
      <c r="P10" s="635">
        <f>tertiair!O16</f>
        <v>0</v>
      </c>
      <c r="Q10" s="636">
        <f>tertiair!P16</f>
        <v>19.066666666666666</v>
      </c>
      <c r="R10" s="638">
        <f ca="1">SUM(C10:Q10)</f>
        <v>55558.088972021782</v>
      </c>
      <c r="S10" s="67"/>
    </row>
    <row r="11" spans="1:19" s="441" customFormat="1">
      <c r="A11" s="749" t="s">
        <v>214</v>
      </c>
      <c r="B11" s="754"/>
      <c r="C11" s="635">
        <f>huishoudens!B8</f>
        <v>31667.790108007852</v>
      </c>
      <c r="D11" s="635">
        <f>huishoudens!C8</f>
        <v>0</v>
      </c>
      <c r="E11" s="635">
        <f>huishoudens!D8</f>
        <v>60683.704268000001</v>
      </c>
      <c r="F11" s="635">
        <f>huishoudens!E8</f>
        <v>1363.3387385992778</v>
      </c>
      <c r="G11" s="635">
        <f>huishoudens!F8</f>
        <v>46536.743896708307</v>
      </c>
      <c r="H11" s="635">
        <f>huishoudens!G8</f>
        <v>0</v>
      </c>
      <c r="I11" s="635">
        <f>huishoudens!H8</f>
        <v>0</v>
      </c>
      <c r="J11" s="635">
        <f>huishoudens!I8</f>
        <v>0</v>
      </c>
      <c r="K11" s="635">
        <f>huishoudens!J8</f>
        <v>1047.8894885435323</v>
      </c>
      <c r="L11" s="635">
        <f>huishoudens!K8</f>
        <v>0</v>
      </c>
      <c r="M11" s="635">
        <f>huishoudens!L8</f>
        <v>0</v>
      </c>
      <c r="N11" s="635">
        <f>huishoudens!M8</f>
        <v>0</v>
      </c>
      <c r="O11" s="635">
        <f>huishoudens!N8</f>
        <v>8133.7206601019761</v>
      </c>
      <c r="P11" s="635">
        <f>huishoudens!O8</f>
        <v>71.913333333333341</v>
      </c>
      <c r="Q11" s="636">
        <f>huishoudens!P8</f>
        <v>133.46666666666667</v>
      </c>
      <c r="R11" s="638">
        <f>SUM(C11:Q11)</f>
        <v>149638.56715996095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19727.912</v>
      </c>
      <c r="D13" s="635">
        <f>industrie!C18</f>
        <v>0</v>
      </c>
      <c r="E13" s="635">
        <f>industrie!D18</f>
        <v>6606.0856400000002</v>
      </c>
      <c r="F13" s="635">
        <f>industrie!E18</f>
        <v>256.88646670307139</v>
      </c>
      <c r="G13" s="635">
        <f>industrie!F18</f>
        <v>9374.5301329524173</v>
      </c>
      <c r="H13" s="635">
        <f>industrie!G18</f>
        <v>0</v>
      </c>
      <c r="I13" s="635">
        <f>industrie!H18</f>
        <v>0</v>
      </c>
      <c r="J13" s="635">
        <f>industrie!I18</f>
        <v>0</v>
      </c>
      <c r="K13" s="635">
        <f>industrie!J18</f>
        <v>100.44335729548112</v>
      </c>
      <c r="L13" s="635">
        <f>industrie!K18</f>
        <v>0</v>
      </c>
      <c r="M13" s="635">
        <f>industrie!L18</f>
        <v>0</v>
      </c>
      <c r="N13" s="635">
        <f>industrie!M18</f>
        <v>0</v>
      </c>
      <c r="O13" s="635">
        <f>industrie!N18</f>
        <v>856.59027415372543</v>
      </c>
      <c r="P13" s="635">
        <f>industrie!O18</f>
        <v>0</v>
      </c>
      <c r="Q13" s="636">
        <f>industrie!P18</f>
        <v>0</v>
      </c>
      <c r="R13" s="638">
        <f>SUM(C13:Q13)</f>
        <v>36922.447871104698</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78758.15510800785</v>
      </c>
      <c r="D16" s="668">
        <f t="shared" ref="D16:R16" ca="1" si="0">SUM(D9:D15)</f>
        <v>0</v>
      </c>
      <c r="E16" s="668">
        <f t="shared" ca="1" si="0"/>
        <v>87291.917723999999</v>
      </c>
      <c r="F16" s="668">
        <f t="shared" si="0"/>
        <v>2034.8108421590357</v>
      </c>
      <c r="G16" s="668">
        <f t="shared" ca="1" si="0"/>
        <v>61986.86309346222</v>
      </c>
      <c r="H16" s="668">
        <f t="shared" si="0"/>
        <v>0</v>
      </c>
      <c r="I16" s="668">
        <f t="shared" si="0"/>
        <v>0</v>
      </c>
      <c r="J16" s="668">
        <f t="shared" si="0"/>
        <v>0</v>
      </c>
      <c r="K16" s="668">
        <f t="shared" si="0"/>
        <v>1148.3328458390133</v>
      </c>
      <c r="L16" s="668">
        <f t="shared" si="0"/>
        <v>0</v>
      </c>
      <c r="M16" s="668">
        <f t="shared" ca="1" si="0"/>
        <v>0</v>
      </c>
      <c r="N16" s="668">
        <f t="shared" si="0"/>
        <v>0</v>
      </c>
      <c r="O16" s="668">
        <f t="shared" ca="1" si="0"/>
        <v>10674.57772295263</v>
      </c>
      <c r="P16" s="668">
        <f t="shared" si="0"/>
        <v>71.913333333333341</v>
      </c>
      <c r="Q16" s="668">
        <f t="shared" si="0"/>
        <v>152.53333333333333</v>
      </c>
      <c r="R16" s="668">
        <f t="shared" ca="1" si="0"/>
        <v>242119.10400308744</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9.9612595555641406</v>
      </c>
      <c r="D19" s="635">
        <f>transport!C54</f>
        <v>0</v>
      </c>
      <c r="E19" s="635">
        <f>transport!D54</f>
        <v>0</v>
      </c>
      <c r="F19" s="635">
        <f>transport!E54</f>
        <v>0</v>
      </c>
      <c r="G19" s="635">
        <f>transport!F54</f>
        <v>0</v>
      </c>
      <c r="H19" s="635">
        <f>transport!G54</f>
        <v>2160.9952509446721</v>
      </c>
      <c r="I19" s="635">
        <f>transport!H54</f>
        <v>0</v>
      </c>
      <c r="J19" s="635">
        <f>transport!I54</f>
        <v>0</v>
      </c>
      <c r="K19" s="635">
        <f>transport!J54</f>
        <v>0</v>
      </c>
      <c r="L19" s="635">
        <f>transport!K54</f>
        <v>0</v>
      </c>
      <c r="M19" s="635">
        <f>transport!L54</f>
        <v>0</v>
      </c>
      <c r="N19" s="635">
        <f>transport!M54</f>
        <v>92.525515724544221</v>
      </c>
      <c r="O19" s="635">
        <f>transport!N54</f>
        <v>0</v>
      </c>
      <c r="P19" s="635">
        <f>transport!O54</f>
        <v>0</v>
      </c>
      <c r="Q19" s="636">
        <f>transport!P54</f>
        <v>0</v>
      </c>
      <c r="R19" s="638">
        <f>SUM(C19:Q19)</f>
        <v>2263.4820262247804</v>
      </c>
      <c r="S19" s="67"/>
    </row>
    <row r="20" spans="1:19" s="441" customFormat="1">
      <c r="A20" s="749" t="s">
        <v>296</v>
      </c>
      <c r="B20" s="754"/>
      <c r="C20" s="635">
        <f>transport!B14</f>
        <v>1.659659849179844</v>
      </c>
      <c r="D20" s="635">
        <f>transport!C14</f>
        <v>0</v>
      </c>
      <c r="E20" s="635">
        <f>transport!D14</f>
        <v>5.5328426880830648</v>
      </c>
      <c r="F20" s="635">
        <f>transport!E14</f>
        <v>566.74771479282322</v>
      </c>
      <c r="G20" s="635">
        <f>transport!F14</f>
        <v>0</v>
      </c>
      <c r="H20" s="635">
        <f>transport!G14</f>
        <v>109121.68432872649</v>
      </c>
      <c r="I20" s="635">
        <f>transport!H14</f>
        <v>19015.953982727202</v>
      </c>
      <c r="J20" s="635">
        <f>transport!I14</f>
        <v>0</v>
      </c>
      <c r="K20" s="635">
        <f>transport!J14</f>
        <v>0</v>
      </c>
      <c r="L20" s="635">
        <f>transport!K14</f>
        <v>0</v>
      </c>
      <c r="M20" s="635">
        <f>transport!L14</f>
        <v>0</v>
      </c>
      <c r="N20" s="635">
        <f>transport!M14</f>
        <v>5576.0828292985962</v>
      </c>
      <c r="O20" s="635">
        <f>transport!N14</f>
        <v>0</v>
      </c>
      <c r="P20" s="635">
        <f>transport!O14</f>
        <v>0</v>
      </c>
      <c r="Q20" s="636">
        <f>transport!P14</f>
        <v>0</v>
      </c>
      <c r="R20" s="638">
        <f>SUM(C20:Q20)</f>
        <v>134287.66135808238</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11.620919404743985</v>
      </c>
      <c r="D22" s="752">
        <f t="shared" ref="D22:R22" si="1">SUM(D18:D21)</f>
        <v>0</v>
      </c>
      <c r="E22" s="752">
        <f t="shared" si="1"/>
        <v>5.5328426880830648</v>
      </c>
      <c r="F22" s="752">
        <f t="shared" si="1"/>
        <v>566.74771479282322</v>
      </c>
      <c r="G22" s="752">
        <f t="shared" si="1"/>
        <v>0</v>
      </c>
      <c r="H22" s="752">
        <f t="shared" si="1"/>
        <v>111282.67957967117</v>
      </c>
      <c r="I22" s="752">
        <f t="shared" si="1"/>
        <v>19015.953982727202</v>
      </c>
      <c r="J22" s="752">
        <f t="shared" si="1"/>
        <v>0</v>
      </c>
      <c r="K22" s="752">
        <f t="shared" si="1"/>
        <v>0</v>
      </c>
      <c r="L22" s="752">
        <f t="shared" si="1"/>
        <v>0</v>
      </c>
      <c r="M22" s="752">
        <f t="shared" si="1"/>
        <v>0</v>
      </c>
      <c r="N22" s="752">
        <f t="shared" si="1"/>
        <v>5668.6083450231399</v>
      </c>
      <c r="O22" s="752">
        <f t="shared" si="1"/>
        <v>0</v>
      </c>
      <c r="P22" s="752">
        <f t="shared" si="1"/>
        <v>0</v>
      </c>
      <c r="Q22" s="752">
        <f t="shared" si="1"/>
        <v>0</v>
      </c>
      <c r="R22" s="752">
        <f t="shared" si="1"/>
        <v>136551.14338430716</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9936.1000909582508</v>
      </c>
      <c r="D24" s="635">
        <f>+landbouw!C8</f>
        <v>0</v>
      </c>
      <c r="E24" s="635">
        <f>+landbouw!D8</f>
        <v>571.71646399999997</v>
      </c>
      <c r="F24" s="635">
        <f>+landbouw!E8</f>
        <v>89.536869619323213</v>
      </c>
      <c r="G24" s="635">
        <f>+landbouw!F8</f>
        <v>37230.870081838511</v>
      </c>
      <c r="H24" s="635">
        <f>+landbouw!G8</f>
        <v>0</v>
      </c>
      <c r="I24" s="635">
        <f>+landbouw!H8</f>
        <v>0</v>
      </c>
      <c r="J24" s="635">
        <f>+landbouw!I8</f>
        <v>0</v>
      </c>
      <c r="K24" s="635">
        <f>+landbouw!J8</f>
        <v>1005.4922346424931</v>
      </c>
      <c r="L24" s="635">
        <f>+landbouw!K8</f>
        <v>0</v>
      </c>
      <c r="M24" s="635">
        <f>+landbouw!L8</f>
        <v>0</v>
      </c>
      <c r="N24" s="635">
        <f>+landbouw!M8</f>
        <v>0</v>
      </c>
      <c r="O24" s="635">
        <f>+landbouw!N8</f>
        <v>0</v>
      </c>
      <c r="P24" s="635">
        <f>+landbouw!O8</f>
        <v>0</v>
      </c>
      <c r="Q24" s="636">
        <f>+landbouw!P8</f>
        <v>0</v>
      </c>
      <c r="R24" s="638">
        <f>SUM(C24:Q24)</f>
        <v>48833.715741058579</v>
      </c>
      <c r="S24" s="67"/>
    </row>
    <row r="25" spans="1:19" s="441" customFormat="1" ht="15" thickBot="1">
      <c r="A25" s="771" t="s">
        <v>864</v>
      </c>
      <c r="B25" s="923"/>
      <c r="C25" s="924">
        <f>IF(Onbekend_ele_kWh="---",0,Onbekend_ele_kWh)/1000+IF(REST_rest_ele_kWh="---",0,REST_rest_ele_kWh)/1000</f>
        <v>2892.2170000000001</v>
      </c>
      <c r="D25" s="924"/>
      <c r="E25" s="924">
        <f>IF(onbekend_gas_kWh="---",0,onbekend_gas_kWh)/1000+IF(REST_rest_gas_kWh="---",0,REST_rest_gas_kWh)/1000</f>
        <v>1365.453</v>
      </c>
      <c r="F25" s="924"/>
      <c r="G25" s="924"/>
      <c r="H25" s="924"/>
      <c r="I25" s="924"/>
      <c r="J25" s="924"/>
      <c r="K25" s="924"/>
      <c r="L25" s="924"/>
      <c r="M25" s="924"/>
      <c r="N25" s="924"/>
      <c r="O25" s="924"/>
      <c r="P25" s="924"/>
      <c r="Q25" s="925"/>
      <c r="R25" s="638">
        <f>SUM(C25:Q25)</f>
        <v>4257.67</v>
      </c>
      <c r="S25" s="67"/>
    </row>
    <row r="26" spans="1:19" s="441" customFormat="1" ht="15.75" thickBot="1">
      <c r="A26" s="641" t="s">
        <v>865</v>
      </c>
      <c r="B26" s="757"/>
      <c r="C26" s="752">
        <f>SUM(C24:C25)</f>
        <v>12828.317090958251</v>
      </c>
      <c r="D26" s="752">
        <f t="shared" ref="D26:R26" si="2">SUM(D24:D25)</f>
        <v>0</v>
      </c>
      <c r="E26" s="752">
        <f t="shared" si="2"/>
        <v>1937.1694640000001</v>
      </c>
      <c r="F26" s="752">
        <f t="shared" si="2"/>
        <v>89.536869619323213</v>
      </c>
      <c r="G26" s="752">
        <f t="shared" si="2"/>
        <v>37230.870081838511</v>
      </c>
      <c r="H26" s="752">
        <f t="shared" si="2"/>
        <v>0</v>
      </c>
      <c r="I26" s="752">
        <f t="shared" si="2"/>
        <v>0</v>
      </c>
      <c r="J26" s="752">
        <f t="shared" si="2"/>
        <v>0</v>
      </c>
      <c r="K26" s="752">
        <f t="shared" si="2"/>
        <v>1005.4922346424931</v>
      </c>
      <c r="L26" s="752">
        <f t="shared" si="2"/>
        <v>0</v>
      </c>
      <c r="M26" s="752">
        <f t="shared" si="2"/>
        <v>0</v>
      </c>
      <c r="N26" s="752">
        <f t="shared" si="2"/>
        <v>0</v>
      </c>
      <c r="O26" s="752">
        <f t="shared" si="2"/>
        <v>0</v>
      </c>
      <c r="P26" s="752">
        <f t="shared" si="2"/>
        <v>0</v>
      </c>
      <c r="Q26" s="752">
        <f t="shared" si="2"/>
        <v>0</v>
      </c>
      <c r="R26" s="752">
        <f t="shared" si="2"/>
        <v>53091.385741058577</v>
      </c>
      <c r="S26" s="67"/>
    </row>
    <row r="27" spans="1:19" s="441" customFormat="1" ht="17.25" thickTop="1" thickBot="1">
      <c r="A27" s="642" t="s">
        <v>109</v>
      </c>
      <c r="B27" s="744"/>
      <c r="C27" s="643">
        <f ca="1">C22+C16+C26</f>
        <v>91598.093118370845</v>
      </c>
      <c r="D27" s="643">
        <f t="shared" ref="D27:R27" ca="1" si="3">D22+D16+D26</f>
        <v>0</v>
      </c>
      <c r="E27" s="643">
        <f t="shared" ca="1" si="3"/>
        <v>89234.620030688093</v>
      </c>
      <c r="F27" s="643">
        <f t="shared" si="3"/>
        <v>2691.0954265711821</v>
      </c>
      <c r="G27" s="643">
        <f t="shared" ca="1" si="3"/>
        <v>99217.733175300731</v>
      </c>
      <c r="H27" s="643">
        <f t="shared" si="3"/>
        <v>111282.67957967117</v>
      </c>
      <c r="I27" s="643">
        <f t="shared" si="3"/>
        <v>19015.953982727202</v>
      </c>
      <c r="J27" s="643">
        <f t="shared" si="3"/>
        <v>0</v>
      </c>
      <c r="K27" s="643">
        <f t="shared" si="3"/>
        <v>2153.8250804815066</v>
      </c>
      <c r="L27" s="643">
        <f t="shared" si="3"/>
        <v>0</v>
      </c>
      <c r="M27" s="643">
        <f t="shared" ca="1" si="3"/>
        <v>0</v>
      </c>
      <c r="N27" s="643">
        <f t="shared" si="3"/>
        <v>5668.6083450231399</v>
      </c>
      <c r="O27" s="643">
        <f t="shared" ca="1" si="3"/>
        <v>10674.57772295263</v>
      </c>
      <c r="P27" s="643">
        <f t="shared" si="3"/>
        <v>71.913333333333341</v>
      </c>
      <c r="Q27" s="643">
        <f t="shared" si="3"/>
        <v>152.53333333333333</v>
      </c>
      <c r="R27" s="643">
        <f t="shared" ca="1" si="3"/>
        <v>431761.63312845316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5562.6744655938146</v>
      </c>
      <c r="D40" s="635">
        <f ca="1">tertiair!C20</f>
        <v>0</v>
      </c>
      <c r="E40" s="635">
        <f ca="1">tertiair!D20</f>
        <v>4040.4298188319995</v>
      </c>
      <c r="F40" s="635">
        <f>tertiair!E20</f>
        <v>94.11093956646782</v>
      </c>
      <c r="G40" s="635">
        <f ca="1">tertiair!F20</f>
        <v>1622.1822800349996</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11319.397504027282</v>
      </c>
    </row>
    <row r="41" spans="1:18">
      <c r="A41" s="762" t="s">
        <v>214</v>
      </c>
      <c r="B41" s="769"/>
      <c r="C41" s="635">
        <f ca="1">huishoudens!B12</f>
        <v>6437.9318409646849</v>
      </c>
      <c r="D41" s="635">
        <f ca="1">huishoudens!C12</f>
        <v>0</v>
      </c>
      <c r="E41" s="635">
        <f>huishoudens!D12</f>
        <v>12258.108262136002</v>
      </c>
      <c r="F41" s="635">
        <f>huishoudens!E12</f>
        <v>309.47789366203608</v>
      </c>
      <c r="G41" s="635">
        <f>huishoudens!F12</f>
        <v>12425.310620421118</v>
      </c>
      <c r="H41" s="635">
        <f>huishoudens!G12</f>
        <v>0</v>
      </c>
      <c r="I41" s="635">
        <f>huishoudens!H12</f>
        <v>0</v>
      </c>
      <c r="J41" s="635">
        <f>huishoudens!I12</f>
        <v>0</v>
      </c>
      <c r="K41" s="635">
        <f>huishoudens!J12</f>
        <v>370.95287894441037</v>
      </c>
      <c r="L41" s="635">
        <f>huishoudens!K12</f>
        <v>0</v>
      </c>
      <c r="M41" s="635">
        <f>huishoudens!L12</f>
        <v>0</v>
      </c>
      <c r="N41" s="635">
        <f>huishoudens!M12</f>
        <v>0</v>
      </c>
      <c r="O41" s="635">
        <f>huishoudens!N12</f>
        <v>0</v>
      </c>
      <c r="P41" s="635">
        <f>huishoudens!O12</f>
        <v>0</v>
      </c>
      <c r="Q41" s="710">
        <f>huishoudens!P12</f>
        <v>0</v>
      </c>
      <c r="R41" s="790">
        <f t="shared" ca="1" si="4"/>
        <v>31801.781496128253</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4010.6035939790122</v>
      </c>
      <c r="D43" s="635">
        <f ca="1">industrie!C22</f>
        <v>0</v>
      </c>
      <c r="E43" s="635">
        <f>industrie!D22</f>
        <v>1334.4292992800001</v>
      </c>
      <c r="F43" s="635">
        <f>industrie!E22</f>
        <v>58.313227941597205</v>
      </c>
      <c r="G43" s="635">
        <f>industrie!F22</f>
        <v>2502.9995454982954</v>
      </c>
      <c r="H43" s="635">
        <f>industrie!G22</f>
        <v>0</v>
      </c>
      <c r="I43" s="635">
        <f>industrie!H22</f>
        <v>0</v>
      </c>
      <c r="J43" s="635">
        <f>industrie!I22</f>
        <v>0</v>
      </c>
      <c r="K43" s="635">
        <f>industrie!J22</f>
        <v>35.556948482600312</v>
      </c>
      <c r="L43" s="635">
        <f>industrie!K22</f>
        <v>0</v>
      </c>
      <c r="M43" s="635">
        <f>industrie!L22</f>
        <v>0</v>
      </c>
      <c r="N43" s="635">
        <f>industrie!M22</f>
        <v>0</v>
      </c>
      <c r="O43" s="635">
        <f>industrie!N22</f>
        <v>0</v>
      </c>
      <c r="P43" s="635">
        <f>industrie!O22</f>
        <v>0</v>
      </c>
      <c r="Q43" s="710">
        <f>industrie!P22</f>
        <v>0</v>
      </c>
      <c r="R43" s="789">
        <f t="shared" ca="1" si="4"/>
        <v>7941.9026151815051</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16011.209900537513</v>
      </c>
      <c r="D46" s="668">
        <f t="shared" ref="D46:Q46" ca="1" si="5">SUM(D39:D45)</f>
        <v>0</v>
      </c>
      <c r="E46" s="668">
        <f t="shared" ca="1" si="5"/>
        <v>17632.967380248003</v>
      </c>
      <c r="F46" s="668">
        <f t="shared" si="5"/>
        <v>461.90206117010109</v>
      </c>
      <c r="G46" s="668">
        <f t="shared" ca="1" si="5"/>
        <v>16550.492445954413</v>
      </c>
      <c r="H46" s="668">
        <f t="shared" si="5"/>
        <v>0</v>
      </c>
      <c r="I46" s="668">
        <f t="shared" si="5"/>
        <v>0</v>
      </c>
      <c r="J46" s="668">
        <f t="shared" si="5"/>
        <v>0</v>
      </c>
      <c r="K46" s="668">
        <f t="shared" si="5"/>
        <v>406.50982742701069</v>
      </c>
      <c r="L46" s="668">
        <f t="shared" si="5"/>
        <v>0</v>
      </c>
      <c r="M46" s="668">
        <f t="shared" ca="1" si="5"/>
        <v>0</v>
      </c>
      <c r="N46" s="668">
        <f t="shared" si="5"/>
        <v>0</v>
      </c>
      <c r="O46" s="668">
        <f t="shared" ca="1" si="5"/>
        <v>0</v>
      </c>
      <c r="P46" s="668">
        <f t="shared" si="5"/>
        <v>0</v>
      </c>
      <c r="Q46" s="668">
        <f t="shared" si="5"/>
        <v>0</v>
      </c>
      <c r="R46" s="668">
        <f ca="1">SUM(R39:R45)</f>
        <v>51063.08161533704</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2.0250832107373209</v>
      </c>
      <c r="D49" s="635">
        <f ca="1">transport!C58</f>
        <v>0</v>
      </c>
      <c r="E49" s="635">
        <f>transport!D58</f>
        <v>0</v>
      </c>
      <c r="F49" s="635">
        <f>transport!E58</f>
        <v>0</v>
      </c>
      <c r="G49" s="635">
        <f>transport!F58</f>
        <v>0</v>
      </c>
      <c r="H49" s="635">
        <f>transport!G58</f>
        <v>576.98573200222745</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579.01081521296476</v>
      </c>
    </row>
    <row r="50" spans="1:18">
      <c r="A50" s="765" t="s">
        <v>296</v>
      </c>
      <c r="B50" s="775"/>
      <c r="C50" s="930">
        <f ca="1">transport!B18</f>
        <v>0.33740204010963487</v>
      </c>
      <c r="D50" s="930">
        <f>transport!C18</f>
        <v>0</v>
      </c>
      <c r="E50" s="930">
        <f>transport!D18</f>
        <v>1.1176342229927791</v>
      </c>
      <c r="F50" s="930">
        <f>transport!E18</f>
        <v>128.65173125797088</v>
      </c>
      <c r="G50" s="930">
        <f>transport!F18</f>
        <v>0</v>
      </c>
      <c r="H50" s="930">
        <f>transport!G18</f>
        <v>29135.489715769974</v>
      </c>
      <c r="I50" s="930">
        <f>transport!H18</f>
        <v>4734.9725416990732</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34000.569024990124</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2.3624852508469556</v>
      </c>
      <c r="D52" s="668">
        <f t="shared" ref="D52:Q52" ca="1" si="6">SUM(D48:D51)</f>
        <v>0</v>
      </c>
      <c r="E52" s="668">
        <f t="shared" si="6"/>
        <v>1.1176342229927791</v>
      </c>
      <c r="F52" s="668">
        <f t="shared" si="6"/>
        <v>128.65173125797088</v>
      </c>
      <c r="G52" s="668">
        <f t="shared" si="6"/>
        <v>0</v>
      </c>
      <c r="H52" s="668">
        <f t="shared" si="6"/>
        <v>29712.475447772202</v>
      </c>
      <c r="I52" s="668">
        <f t="shared" si="6"/>
        <v>4734.9725416990732</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34579.579840203085</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2019.9683947765152</v>
      </c>
      <c r="D54" s="930">
        <f ca="1">+landbouw!C12</f>
        <v>0</v>
      </c>
      <c r="E54" s="930">
        <f>+landbouw!D12</f>
        <v>115.486725728</v>
      </c>
      <c r="F54" s="930">
        <f>+landbouw!E12</f>
        <v>20.324869403586369</v>
      </c>
      <c r="G54" s="930">
        <f>+landbouw!F12</f>
        <v>9940.6423118508828</v>
      </c>
      <c r="H54" s="930">
        <f>+landbouw!G12</f>
        <v>0</v>
      </c>
      <c r="I54" s="930">
        <f>+landbouw!H12</f>
        <v>0</v>
      </c>
      <c r="J54" s="930">
        <f>+landbouw!I12</f>
        <v>0</v>
      </c>
      <c r="K54" s="930">
        <f>+landbouw!J12</f>
        <v>355.94425106344255</v>
      </c>
      <c r="L54" s="930">
        <f>+landbouw!K12</f>
        <v>0</v>
      </c>
      <c r="M54" s="930">
        <f>+landbouw!L12</f>
        <v>0</v>
      </c>
      <c r="N54" s="930">
        <f>+landbouw!M12</f>
        <v>0</v>
      </c>
      <c r="O54" s="930">
        <f>+landbouw!N12</f>
        <v>0</v>
      </c>
      <c r="P54" s="930">
        <f>+landbouw!O12</f>
        <v>0</v>
      </c>
      <c r="Q54" s="931">
        <f>+landbouw!P12</f>
        <v>0</v>
      </c>
      <c r="R54" s="667">
        <f ca="1">SUM(C54:Q54)</f>
        <v>12452.366552822426</v>
      </c>
    </row>
    <row r="55" spans="1:18" ht="15" thickBot="1">
      <c r="A55" s="765" t="s">
        <v>864</v>
      </c>
      <c r="B55" s="775"/>
      <c r="C55" s="930">
        <f ca="1">C25*'EF ele_warmte'!B12</f>
        <v>587.97585343888375</v>
      </c>
      <c r="D55" s="930"/>
      <c r="E55" s="930">
        <f>E25*EF_CO2_aardgas</f>
        <v>275.821506</v>
      </c>
      <c r="F55" s="930"/>
      <c r="G55" s="930"/>
      <c r="H55" s="930"/>
      <c r="I55" s="930"/>
      <c r="J55" s="930"/>
      <c r="K55" s="930"/>
      <c r="L55" s="930"/>
      <c r="M55" s="930"/>
      <c r="N55" s="930"/>
      <c r="O55" s="930"/>
      <c r="P55" s="930"/>
      <c r="Q55" s="931"/>
      <c r="R55" s="667">
        <f ca="1">SUM(C55:Q55)</f>
        <v>863.79735943888375</v>
      </c>
    </row>
    <row r="56" spans="1:18" ht="15.75" thickBot="1">
      <c r="A56" s="763" t="s">
        <v>865</v>
      </c>
      <c r="B56" s="776"/>
      <c r="C56" s="668">
        <f ca="1">SUM(C54:C55)</f>
        <v>2607.9442482153991</v>
      </c>
      <c r="D56" s="668">
        <f t="shared" ref="D56:Q56" ca="1" si="7">SUM(D54:D55)</f>
        <v>0</v>
      </c>
      <c r="E56" s="668">
        <f t="shared" si="7"/>
        <v>391.30823172800001</v>
      </c>
      <c r="F56" s="668">
        <f t="shared" si="7"/>
        <v>20.324869403586369</v>
      </c>
      <c r="G56" s="668">
        <f t="shared" si="7"/>
        <v>9940.6423118508828</v>
      </c>
      <c r="H56" s="668">
        <f t="shared" si="7"/>
        <v>0</v>
      </c>
      <c r="I56" s="668">
        <f t="shared" si="7"/>
        <v>0</v>
      </c>
      <c r="J56" s="668">
        <f t="shared" si="7"/>
        <v>0</v>
      </c>
      <c r="K56" s="668">
        <f t="shared" si="7"/>
        <v>355.94425106344255</v>
      </c>
      <c r="L56" s="668">
        <f t="shared" si="7"/>
        <v>0</v>
      </c>
      <c r="M56" s="668">
        <f t="shared" si="7"/>
        <v>0</v>
      </c>
      <c r="N56" s="668">
        <f t="shared" si="7"/>
        <v>0</v>
      </c>
      <c r="O56" s="668">
        <f t="shared" si="7"/>
        <v>0</v>
      </c>
      <c r="P56" s="668">
        <f t="shared" si="7"/>
        <v>0</v>
      </c>
      <c r="Q56" s="669">
        <f t="shared" si="7"/>
        <v>0</v>
      </c>
      <c r="R56" s="670">
        <f ca="1">SUM(R54:R55)</f>
        <v>13316.163912261311</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18621.516634003761</v>
      </c>
      <c r="D61" s="676">
        <f t="shared" ref="D61:Q61" ca="1" si="8">D46+D52+D56</f>
        <v>0</v>
      </c>
      <c r="E61" s="676">
        <f t="shared" ca="1" si="8"/>
        <v>18025.393246198993</v>
      </c>
      <c r="F61" s="676">
        <f t="shared" si="8"/>
        <v>610.87866183165841</v>
      </c>
      <c r="G61" s="676">
        <f t="shared" ca="1" si="8"/>
        <v>26491.134757805296</v>
      </c>
      <c r="H61" s="676">
        <f t="shared" si="8"/>
        <v>29712.475447772202</v>
      </c>
      <c r="I61" s="676">
        <f t="shared" si="8"/>
        <v>4734.9725416990732</v>
      </c>
      <c r="J61" s="676">
        <f t="shared" si="8"/>
        <v>0</v>
      </c>
      <c r="K61" s="676">
        <f t="shared" si="8"/>
        <v>762.45407849045318</v>
      </c>
      <c r="L61" s="676">
        <f t="shared" si="8"/>
        <v>0</v>
      </c>
      <c r="M61" s="676">
        <f t="shared" ca="1" si="8"/>
        <v>0</v>
      </c>
      <c r="N61" s="676">
        <f t="shared" si="8"/>
        <v>0</v>
      </c>
      <c r="O61" s="676">
        <f t="shared" ca="1" si="8"/>
        <v>0</v>
      </c>
      <c r="P61" s="676">
        <f t="shared" si="8"/>
        <v>0</v>
      </c>
      <c r="Q61" s="676">
        <f t="shared" si="8"/>
        <v>0</v>
      </c>
      <c r="R61" s="676">
        <f ca="1">R46+R52+R56</f>
        <v>98958.825367801444</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0.20329589841940765</v>
      </c>
      <c r="D63" s="720">
        <f t="shared" ca="1" si="9"/>
        <v>0</v>
      </c>
      <c r="E63" s="932">
        <f t="shared" ca="1" si="9"/>
        <v>0.20199999999999999</v>
      </c>
      <c r="F63" s="720">
        <f t="shared" si="9"/>
        <v>0.22700000000000004</v>
      </c>
      <c r="G63" s="720">
        <f t="shared" ca="1" si="9"/>
        <v>0.26700000000000002</v>
      </c>
      <c r="H63" s="720">
        <f t="shared" si="9"/>
        <v>0.26700000000000002</v>
      </c>
      <c r="I63" s="720">
        <f t="shared" si="9"/>
        <v>0.249</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2642.9898546116724</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3700.3470012987232</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994.5</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360</v>
      </c>
      <c r="J77" s="943">
        <f>'lokale energieproductie'!J9</f>
        <v>2126.25</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7337.8368559103956</v>
      </c>
      <c r="C78" s="691">
        <f>SUM(C72:C77)</f>
        <v>0</v>
      </c>
      <c r="D78" s="692">
        <f t="shared" ref="D78:H78" si="10">SUM(D76:D77)</f>
        <v>0</v>
      </c>
      <c r="E78" s="692">
        <f t="shared" si="10"/>
        <v>0</v>
      </c>
      <c r="F78" s="692">
        <f t="shared" si="10"/>
        <v>0</v>
      </c>
      <c r="G78" s="692">
        <f t="shared" si="10"/>
        <v>0</v>
      </c>
      <c r="H78" s="692">
        <f t="shared" si="10"/>
        <v>0</v>
      </c>
      <c r="I78" s="692">
        <f>SUM(I76:I77)</f>
        <v>360</v>
      </c>
      <c r="J78" s="692">
        <f>SUM(J76:J77)</f>
        <v>2126.25</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31667.790108007852</v>
      </c>
      <c r="C4" s="445">
        <f>huishoudens!C8</f>
        <v>0</v>
      </c>
      <c r="D4" s="445">
        <f>huishoudens!D8</f>
        <v>60683.704268000001</v>
      </c>
      <c r="E4" s="445">
        <f>huishoudens!E8</f>
        <v>1363.3387385992778</v>
      </c>
      <c r="F4" s="445">
        <f>huishoudens!F8</f>
        <v>46536.743896708307</v>
      </c>
      <c r="G4" s="445">
        <f>huishoudens!G8</f>
        <v>0</v>
      </c>
      <c r="H4" s="445">
        <f>huishoudens!H8</f>
        <v>0</v>
      </c>
      <c r="I4" s="445">
        <f>huishoudens!I8</f>
        <v>0</v>
      </c>
      <c r="J4" s="445">
        <f>huishoudens!J8</f>
        <v>1047.8894885435323</v>
      </c>
      <c r="K4" s="445">
        <f>huishoudens!K8</f>
        <v>0</v>
      </c>
      <c r="L4" s="445">
        <f>huishoudens!L8</f>
        <v>0</v>
      </c>
      <c r="M4" s="445">
        <f>huishoudens!M8</f>
        <v>0</v>
      </c>
      <c r="N4" s="445">
        <f>huishoudens!N8</f>
        <v>8133.7206601019761</v>
      </c>
      <c r="O4" s="445">
        <f>huishoudens!O8</f>
        <v>71.913333333333341</v>
      </c>
      <c r="P4" s="446">
        <f>huishoudens!P8</f>
        <v>133.46666666666667</v>
      </c>
      <c r="Q4" s="447">
        <f>SUM(B4:P4)</f>
        <v>149638.56715996095</v>
      </c>
    </row>
    <row r="5" spans="1:17">
      <c r="A5" s="444" t="s">
        <v>149</v>
      </c>
      <c r="B5" s="445">
        <f ca="1">tertiair!B16</f>
        <v>25990.786</v>
      </c>
      <c r="C5" s="445">
        <f ca="1">tertiair!C16</f>
        <v>0</v>
      </c>
      <c r="D5" s="445">
        <f ca="1">tertiair!D16</f>
        <v>20002.127815999997</v>
      </c>
      <c r="E5" s="445">
        <f>tertiair!E16</f>
        <v>414.58563685668639</v>
      </c>
      <c r="F5" s="445">
        <f ca="1">tertiair!F16</f>
        <v>6075.5890638014962</v>
      </c>
      <c r="G5" s="445">
        <f>tertiair!G16</f>
        <v>0</v>
      </c>
      <c r="H5" s="445">
        <f>tertiair!H16</f>
        <v>0</v>
      </c>
      <c r="I5" s="445">
        <f>tertiair!I16</f>
        <v>0</v>
      </c>
      <c r="J5" s="445">
        <f>tertiair!J16</f>
        <v>0</v>
      </c>
      <c r="K5" s="445">
        <f>tertiair!K16</f>
        <v>0</v>
      </c>
      <c r="L5" s="445">
        <f ca="1">tertiair!L16</f>
        <v>0</v>
      </c>
      <c r="M5" s="445">
        <f>tertiair!M16</f>
        <v>0</v>
      </c>
      <c r="N5" s="445">
        <f ca="1">tertiair!N16</f>
        <v>1684.2667886969286</v>
      </c>
      <c r="O5" s="445">
        <f>tertiair!O16</f>
        <v>0</v>
      </c>
      <c r="P5" s="446">
        <f>tertiair!P16</f>
        <v>19.066666666666666</v>
      </c>
      <c r="Q5" s="444">
        <f t="shared" ref="Q5:Q14" ca="1" si="0">SUM(B5:P5)</f>
        <v>54186.421972021781</v>
      </c>
    </row>
    <row r="6" spans="1:17">
      <c r="A6" s="444" t="s">
        <v>187</v>
      </c>
      <c r="B6" s="445">
        <f>'openbare verlichting'!B8</f>
        <v>1371.6669999999999</v>
      </c>
      <c r="C6" s="445"/>
      <c r="D6" s="445"/>
      <c r="E6" s="445"/>
      <c r="F6" s="445"/>
      <c r="G6" s="445"/>
      <c r="H6" s="445"/>
      <c r="I6" s="445"/>
      <c r="J6" s="445"/>
      <c r="K6" s="445"/>
      <c r="L6" s="445"/>
      <c r="M6" s="445"/>
      <c r="N6" s="445"/>
      <c r="O6" s="445"/>
      <c r="P6" s="446"/>
      <c r="Q6" s="444">
        <f t="shared" si="0"/>
        <v>1371.6669999999999</v>
      </c>
    </row>
    <row r="7" spans="1:17">
      <c r="A7" s="444" t="s">
        <v>105</v>
      </c>
      <c r="B7" s="445">
        <f>landbouw!B8</f>
        <v>9936.1000909582508</v>
      </c>
      <c r="C7" s="445">
        <f>landbouw!C8</f>
        <v>0</v>
      </c>
      <c r="D7" s="445">
        <f>landbouw!D8</f>
        <v>571.71646399999997</v>
      </c>
      <c r="E7" s="445">
        <f>landbouw!E8</f>
        <v>89.536869619323213</v>
      </c>
      <c r="F7" s="445">
        <f>landbouw!F8</f>
        <v>37230.870081838511</v>
      </c>
      <c r="G7" s="445">
        <f>landbouw!G8</f>
        <v>0</v>
      </c>
      <c r="H7" s="445">
        <f>landbouw!H8</f>
        <v>0</v>
      </c>
      <c r="I7" s="445">
        <f>landbouw!I8</f>
        <v>0</v>
      </c>
      <c r="J7" s="445">
        <f>landbouw!J8</f>
        <v>1005.4922346424931</v>
      </c>
      <c r="K7" s="445">
        <f>landbouw!K8</f>
        <v>0</v>
      </c>
      <c r="L7" s="445">
        <f>landbouw!L8</f>
        <v>0</v>
      </c>
      <c r="M7" s="445">
        <f>landbouw!M8</f>
        <v>0</v>
      </c>
      <c r="N7" s="445">
        <f>landbouw!N8</f>
        <v>0</v>
      </c>
      <c r="O7" s="445">
        <f>landbouw!O8</f>
        <v>0</v>
      </c>
      <c r="P7" s="446">
        <f>landbouw!P8</f>
        <v>0</v>
      </c>
      <c r="Q7" s="444">
        <f t="shared" si="0"/>
        <v>48833.715741058579</v>
      </c>
    </row>
    <row r="8" spans="1:17">
      <c r="A8" s="444" t="s">
        <v>613</v>
      </c>
      <c r="B8" s="445">
        <f>industrie!B18</f>
        <v>19727.912</v>
      </c>
      <c r="C8" s="445">
        <f>industrie!C18</f>
        <v>0</v>
      </c>
      <c r="D8" s="445">
        <f>industrie!D18</f>
        <v>6606.0856400000002</v>
      </c>
      <c r="E8" s="445">
        <f>industrie!E18</f>
        <v>256.88646670307139</v>
      </c>
      <c r="F8" s="445">
        <f>industrie!F18</f>
        <v>9374.5301329524173</v>
      </c>
      <c r="G8" s="445">
        <f>industrie!G18</f>
        <v>0</v>
      </c>
      <c r="H8" s="445">
        <f>industrie!H18</f>
        <v>0</v>
      </c>
      <c r="I8" s="445">
        <f>industrie!I18</f>
        <v>0</v>
      </c>
      <c r="J8" s="445">
        <f>industrie!J18</f>
        <v>100.44335729548112</v>
      </c>
      <c r="K8" s="445">
        <f>industrie!K18</f>
        <v>0</v>
      </c>
      <c r="L8" s="445">
        <f>industrie!L18</f>
        <v>0</v>
      </c>
      <c r="M8" s="445">
        <f>industrie!M18</f>
        <v>0</v>
      </c>
      <c r="N8" s="445">
        <f>industrie!N18</f>
        <v>856.59027415372543</v>
      </c>
      <c r="O8" s="445">
        <f>industrie!O18</f>
        <v>0</v>
      </c>
      <c r="P8" s="446">
        <f>industrie!P18</f>
        <v>0</v>
      </c>
      <c r="Q8" s="444">
        <f t="shared" si="0"/>
        <v>36922.447871104698</v>
      </c>
    </row>
    <row r="9" spans="1:17" s="450" customFormat="1">
      <c r="A9" s="448" t="s">
        <v>555</v>
      </c>
      <c r="B9" s="449">
        <f>transport!B14</f>
        <v>1.659659849179844</v>
      </c>
      <c r="C9" s="449">
        <f>transport!C14</f>
        <v>0</v>
      </c>
      <c r="D9" s="449">
        <f>transport!D14</f>
        <v>5.5328426880830648</v>
      </c>
      <c r="E9" s="449">
        <f>transport!E14</f>
        <v>566.74771479282322</v>
      </c>
      <c r="F9" s="449">
        <f>transport!F14</f>
        <v>0</v>
      </c>
      <c r="G9" s="449">
        <f>transport!G14</f>
        <v>109121.68432872649</v>
      </c>
      <c r="H9" s="449">
        <f>transport!H14</f>
        <v>19015.953982727202</v>
      </c>
      <c r="I9" s="449">
        <f>transport!I14</f>
        <v>0</v>
      </c>
      <c r="J9" s="449">
        <f>transport!J14</f>
        <v>0</v>
      </c>
      <c r="K9" s="449">
        <f>transport!K14</f>
        <v>0</v>
      </c>
      <c r="L9" s="449">
        <f>transport!L14</f>
        <v>0</v>
      </c>
      <c r="M9" s="449">
        <f>transport!M14</f>
        <v>5576.0828292985962</v>
      </c>
      <c r="N9" s="449">
        <f>transport!N14</f>
        <v>0</v>
      </c>
      <c r="O9" s="449">
        <f>transport!O14</f>
        <v>0</v>
      </c>
      <c r="P9" s="449">
        <f>transport!P14</f>
        <v>0</v>
      </c>
      <c r="Q9" s="448">
        <f>SUM(B9:P9)</f>
        <v>134287.66135808238</v>
      </c>
    </row>
    <row r="10" spans="1:17">
      <c r="A10" s="444" t="s">
        <v>545</v>
      </c>
      <c r="B10" s="445">
        <f>transport!B54</f>
        <v>9.9612595555641406</v>
      </c>
      <c r="C10" s="445">
        <f>transport!C54</f>
        <v>0</v>
      </c>
      <c r="D10" s="445">
        <f>transport!D54</f>
        <v>0</v>
      </c>
      <c r="E10" s="445">
        <f>transport!E54</f>
        <v>0</v>
      </c>
      <c r="F10" s="445">
        <f>transport!F54</f>
        <v>0</v>
      </c>
      <c r="G10" s="445">
        <f>transport!G54</f>
        <v>2160.9952509446721</v>
      </c>
      <c r="H10" s="445">
        <f>transport!H54</f>
        <v>0</v>
      </c>
      <c r="I10" s="445">
        <f>transport!I54</f>
        <v>0</v>
      </c>
      <c r="J10" s="445">
        <f>transport!J54</f>
        <v>0</v>
      </c>
      <c r="K10" s="445">
        <f>transport!K54</f>
        <v>0</v>
      </c>
      <c r="L10" s="445">
        <f>transport!L54</f>
        <v>0</v>
      </c>
      <c r="M10" s="445">
        <f>transport!M54</f>
        <v>92.525515724544221</v>
      </c>
      <c r="N10" s="445">
        <f>transport!N54</f>
        <v>0</v>
      </c>
      <c r="O10" s="445">
        <f>transport!O54</f>
        <v>0</v>
      </c>
      <c r="P10" s="446">
        <f>transport!P54</f>
        <v>0</v>
      </c>
      <c r="Q10" s="444">
        <f t="shared" si="0"/>
        <v>2263.4820262247804</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2892.2170000000001</v>
      </c>
      <c r="C14" s="452"/>
      <c r="D14" s="452">
        <f>'SEAP template'!E25</f>
        <v>1365.453</v>
      </c>
      <c r="E14" s="452"/>
      <c r="F14" s="452"/>
      <c r="G14" s="452"/>
      <c r="H14" s="452"/>
      <c r="I14" s="452"/>
      <c r="J14" s="452"/>
      <c r="K14" s="452"/>
      <c r="L14" s="452"/>
      <c r="M14" s="452"/>
      <c r="N14" s="452"/>
      <c r="O14" s="452"/>
      <c r="P14" s="453"/>
      <c r="Q14" s="444">
        <f t="shared" si="0"/>
        <v>4257.67</v>
      </c>
    </row>
    <row r="15" spans="1:17" s="457" customFormat="1">
      <c r="A15" s="454" t="s">
        <v>549</v>
      </c>
      <c r="B15" s="455">
        <f ca="1">SUM(B4:B14)</f>
        <v>91598.093118370845</v>
      </c>
      <c r="C15" s="455">
        <f t="shared" ref="C15:Q15" ca="1" si="1">SUM(C4:C14)</f>
        <v>0</v>
      </c>
      <c r="D15" s="455">
        <f t="shared" ca="1" si="1"/>
        <v>89234.620030688078</v>
      </c>
      <c r="E15" s="455">
        <f t="shared" si="1"/>
        <v>2691.0954265711816</v>
      </c>
      <c r="F15" s="455">
        <f t="shared" ca="1" si="1"/>
        <v>99217.733175300746</v>
      </c>
      <c r="G15" s="455">
        <f t="shared" si="1"/>
        <v>111282.67957967117</v>
      </c>
      <c r="H15" s="455">
        <f t="shared" si="1"/>
        <v>19015.953982727202</v>
      </c>
      <c r="I15" s="455">
        <f t="shared" si="1"/>
        <v>0</v>
      </c>
      <c r="J15" s="455">
        <f t="shared" si="1"/>
        <v>2153.8250804815066</v>
      </c>
      <c r="K15" s="455">
        <f t="shared" si="1"/>
        <v>0</v>
      </c>
      <c r="L15" s="455">
        <f t="shared" ca="1" si="1"/>
        <v>0</v>
      </c>
      <c r="M15" s="455">
        <f t="shared" si="1"/>
        <v>5668.6083450231399</v>
      </c>
      <c r="N15" s="455">
        <f t="shared" ca="1" si="1"/>
        <v>10674.57772295263</v>
      </c>
      <c r="O15" s="455">
        <f t="shared" si="1"/>
        <v>71.913333333333341</v>
      </c>
      <c r="P15" s="455">
        <f t="shared" si="1"/>
        <v>152.53333333333333</v>
      </c>
      <c r="Q15" s="455">
        <f t="shared" ca="1" si="1"/>
        <v>431761.6331284531</v>
      </c>
    </row>
    <row r="17" spans="1:17">
      <c r="A17" s="458" t="s">
        <v>550</v>
      </c>
      <c r="B17" s="725">
        <f ca="1">huishoudens!B10</f>
        <v>0.20329589841940759</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6437.9318409646849</v>
      </c>
      <c r="C22" s="445">
        <f t="shared" ref="C22:C32" ca="1" si="3">C4*$C$17</f>
        <v>0</v>
      </c>
      <c r="D22" s="445">
        <f t="shared" ref="D22:D32" si="4">D4*$D$17</f>
        <v>12258.108262136002</v>
      </c>
      <c r="E22" s="445">
        <f t="shared" ref="E22:E32" si="5">E4*$E$17</f>
        <v>309.47789366203608</v>
      </c>
      <c r="F22" s="445">
        <f t="shared" ref="F22:F32" si="6">F4*$F$17</f>
        <v>12425.310620421118</v>
      </c>
      <c r="G22" s="445">
        <f t="shared" ref="G22:G32" si="7">G4*$G$17</f>
        <v>0</v>
      </c>
      <c r="H22" s="445">
        <f t="shared" ref="H22:H32" si="8">H4*$H$17</f>
        <v>0</v>
      </c>
      <c r="I22" s="445">
        <f t="shared" ref="I22:I32" si="9">I4*$I$17</f>
        <v>0</v>
      </c>
      <c r="J22" s="445">
        <f t="shared" ref="J22:J32" si="10">J4*$J$17</f>
        <v>370.95287894441037</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31801.781496128253</v>
      </c>
    </row>
    <row r="23" spans="1:17">
      <c r="A23" s="444" t="s">
        <v>149</v>
      </c>
      <c r="B23" s="445">
        <f t="shared" ca="1" si="2"/>
        <v>5283.8201904965608</v>
      </c>
      <c r="C23" s="445">
        <f t="shared" ca="1" si="3"/>
        <v>0</v>
      </c>
      <c r="D23" s="445">
        <f t="shared" ca="1" si="4"/>
        <v>4040.4298188319995</v>
      </c>
      <c r="E23" s="445">
        <f t="shared" si="5"/>
        <v>94.11093956646782</v>
      </c>
      <c r="F23" s="445">
        <f t="shared" ca="1" si="6"/>
        <v>1622.1822800349996</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11040.543228930028</v>
      </c>
    </row>
    <row r="24" spans="1:17">
      <c r="A24" s="444" t="s">
        <v>187</v>
      </c>
      <c r="B24" s="445">
        <f t="shared" ca="1" si="2"/>
        <v>278.85427509725355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278.85427509725355</v>
      </c>
    </row>
    <row r="25" spans="1:17">
      <c r="A25" s="444" t="s">
        <v>105</v>
      </c>
      <c r="B25" s="445">
        <f t="shared" ca="1" si="2"/>
        <v>2019.9683947765152</v>
      </c>
      <c r="C25" s="445">
        <f t="shared" ca="1" si="3"/>
        <v>0</v>
      </c>
      <c r="D25" s="445">
        <f t="shared" si="4"/>
        <v>115.486725728</v>
      </c>
      <c r="E25" s="445">
        <f t="shared" si="5"/>
        <v>20.324869403586369</v>
      </c>
      <c r="F25" s="445">
        <f t="shared" si="6"/>
        <v>9940.6423118508828</v>
      </c>
      <c r="G25" s="445">
        <f t="shared" si="7"/>
        <v>0</v>
      </c>
      <c r="H25" s="445">
        <f t="shared" si="8"/>
        <v>0</v>
      </c>
      <c r="I25" s="445">
        <f t="shared" si="9"/>
        <v>0</v>
      </c>
      <c r="J25" s="445">
        <f t="shared" si="10"/>
        <v>355.94425106344255</v>
      </c>
      <c r="K25" s="445">
        <f t="shared" si="11"/>
        <v>0</v>
      </c>
      <c r="L25" s="445">
        <f t="shared" si="12"/>
        <v>0</v>
      </c>
      <c r="M25" s="445">
        <f t="shared" si="13"/>
        <v>0</v>
      </c>
      <c r="N25" s="445">
        <f t="shared" si="14"/>
        <v>0</v>
      </c>
      <c r="O25" s="445">
        <f t="shared" si="15"/>
        <v>0</v>
      </c>
      <c r="P25" s="446">
        <f t="shared" si="16"/>
        <v>0</v>
      </c>
      <c r="Q25" s="444">
        <f t="shared" ca="1" si="17"/>
        <v>12452.366552822426</v>
      </c>
    </row>
    <row r="26" spans="1:17">
      <c r="A26" s="444" t="s">
        <v>613</v>
      </c>
      <c r="B26" s="445">
        <f t="shared" ca="1" si="2"/>
        <v>4010.6035939790122</v>
      </c>
      <c r="C26" s="445">
        <f t="shared" ca="1" si="3"/>
        <v>0</v>
      </c>
      <c r="D26" s="445">
        <f t="shared" si="4"/>
        <v>1334.4292992800001</v>
      </c>
      <c r="E26" s="445">
        <f t="shared" si="5"/>
        <v>58.313227941597205</v>
      </c>
      <c r="F26" s="445">
        <f t="shared" si="6"/>
        <v>2502.9995454982954</v>
      </c>
      <c r="G26" s="445">
        <f t="shared" si="7"/>
        <v>0</v>
      </c>
      <c r="H26" s="445">
        <f t="shared" si="8"/>
        <v>0</v>
      </c>
      <c r="I26" s="445">
        <f t="shared" si="9"/>
        <v>0</v>
      </c>
      <c r="J26" s="445">
        <f t="shared" si="10"/>
        <v>35.556948482600312</v>
      </c>
      <c r="K26" s="445">
        <f t="shared" si="11"/>
        <v>0</v>
      </c>
      <c r="L26" s="445">
        <f t="shared" si="12"/>
        <v>0</v>
      </c>
      <c r="M26" s="445">
        <f t="shared" si="13"/>
        <v>0</v>
      </c>
      <c r="N26" s="445">
        <f t="shared" si="14"/>
        <v>0</v>
      </c>
      <c r="O26" s="445">
        <f t="shared" si="15"/>
        <v>0</v>
      </c>
      <c r="P26" s="446">
        <f t="shared" si="16"/>
        <v>0</v>
      </c>
      <c r="Q26" s="444">
        <f t="shared" ca="1" si="17"/>
        <v>7941.9026151815051</v>
      </c>
    </row>
    <row r="27" spans="1:17" s="450" customFormat="1">
      <c r="A27" s="448" t="s">
        <v>555</v>
      </c>
      <c r="B27" s="719">
        <f t="shared" ca="1" si="2"/>
        <v>0.33740204010963487</v>
      </c>
      <c r="C27" s="449">
        <f t="shared" ca="1" si="3"/>
        <v>0</v>
      </c>
      <c r="D27" s="449">
        <f t="shared" si="4"/>
        <v>1.1176342229927791</v>
      </c>
      <c r="E27" s="449">
        <f t="shared" si="5"/>
        <v>128.65173125797088</v>
      </c>
      <c r="F27" s="449">
        <f t="shared" si="6"/>
        <v>0</v>
      </c>
      <c r="G27" s="449">
        <f t="shared" si="7"/>
        <v>29135.489715769974</v>
      </c>
      <c r="H27" s="449">
        <f t="shared" si="8"/>
        <v>4734.9725416990732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34000.569024990124</v>
      </c>
    </row>
    <row r="28" spans="1:17">
      <c r="A28" s="444" t="s">
        <v>545</v>
      </c>
      <c r="B28" s="445">
        <f t="shared" ca="1" si="2"/>
        <v>2.0250832107373209</v>
      </c>
      <c r="C28" s="445">
        <f t="shared" ca="1" si="3"/>
        <v>0</v>
      </c>
      <c r="D28" s="445">
        <f t="shared" si="4"/>
        <v>0</v>
      </c>
      <c r="E28" s="445">
        <f t="shared" si="5"/>
        <v>0</v>
      </c>
      <c r="F28" s="445">
        <f t="shared" si="6"/>
        <v>0</v>
      </c>
      <c r="G28" s="445">
        <f t="shared" si="7"/>
        <v>576.98573200222745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579.01081521296476</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587.97585343888375</v>
      </c>
      <c r="C32" s="445">
        <f t="shared" ca="1" si="3"/>
        <v>0</v>
      </c>
      <c r="D32" s="445">
        <f t="shared" si="4"/>
        <v>275.821506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863.79735943888375</v>
      </c>
    </row>
    <row r="33" spans="1:17" s="457" customFormat="1">
      <c r="A33" s="454" t="s">
        <v>549</v>
      </c>
      <c r="B33" s="455">
        <f ca="1">SUM(B22:B32)</f>
        <v>18621.516634003754</v>
      </c>
      <c r="C33" s="455">
        <f t="shared" ref="C33:Q33" ca="1" si="19">SUM(C22:C32)</f>
        <v>0</v>
      </c>
      <c r="D33" s="455">
        <f t="shared" ca="1" si="19"/>
        <v>18025.393246198993</v>
      </c>
      <c r="E33" s="455">
        <f t="shared" si="19"/>
        <v>610.87866183165829</v>
      </c>
      <c r="F33" s="455">
        <f t="shared" ca="1" si="19"/>
        <v>26491.134757805299</v>
      </c>
      <c r="G33" s="455">
        <f t="shared" si="19"/>
        <v>29712.475447772202</v>
      </c>
      <c r="H33" s="455">
        <f t="shared" si="19"/>
        <v>4734.9725416990732</v>
      </c>
      <c r="I33" s="455">
        <f t="shared" si="19"/>
        <v>0</v>
      </c>
      <c r="J33" s="455">
        <f t="shared" si="19"/>
        <v>762.45407849045318</v>
      </c>
      <c r="K33" s="455">
        <f t="shared" si="19"/>
        <v>0</v>
      </c>
      <c r="L33" s="455">
        <f t="shared" ca="1" si="19"/>
        <v>0</v>
      </c>
      <c r="M33" s="455">
        <f t="shared" si="19"/>
        <v>0</v>
      </c>
      <c r="N33" s="455">
        <f t="shared" ca="1" si="19"/>
        <v>0</v>
      </c>
      <c r="O33" s="455">
        <f t="shared" si="19"/>
        <v>0</v>
      </c>
      <c r="P33" s="455">
        <f t="shared" si="19"/>
        <v>0</v>
      </c>
      <c r="Q33" s="455">
        <f t="shared" ca="1" si="19"/>
        <v>98958.825367801444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2642.9898546116724</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3700.3470012987232</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994.5</v>
      </c>
      <c r="C9" s="963">
        <f>'SEAP template'!C77</f>
        <v>0</v>
      </c>
      <c r="D9" s="963">
        <f>'SEAP template'!D77</f>
        <v>0</v>
      </c>
      <c r="E9" s="963">
        <f>'SEAP template'!E77</f>
        <v>0</v>
      </c>
      <c r="F9" s="963">
        <f>'SEAP template'!F77</f>
        <v>0</v>
      </c>
      <c r="G9" s="963">
        <f>'SEAP template'!G77</f>
        <v>0</v>
      </c>
      <c r="H9" s="963">
        <f>'SEAP template'!H77</f>
        <v>0</v>
      </c>
      <c r="I9" s="963">
        <f>'SEAP template'!I77</f>
        <v>360</v>
      </c>
      <c r="J9" s="963">
        <f>'SEAP template'!J77</f>
        <v>2126.25</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7337.8368559103956</v>
      </c>
      <c r="C10" s="967">
        <f>SUM(C4:C9)</f>
        <v>0</v>
      </c>
      <c r="D10" s="967">
        <f t="shared" ref="D10:H10" si="0">SUM(D8:D9)</f>
        <v>0</v>
      </c>
      <c r="E10" s="967">
        <f t="shared" si="0"/>
        <v>0</v>
      </c>
      <c r="F10" s="967">
        <f t="shared" si="0"/>
        <v>0</v>
      </c>
      <c r="G10" s="967">
        <f t="shared" si="0"/>
        <v>0</v>
      </c>
      <c r="H10" s="967">
        <f t="shared" si="0"/>
        <v>0</v>
      </c>
      <c r="I10" s="967">
        <f>SUM(I8:I9)</f>
        <v>360</v>
      </c>
      <c r="J10" s="967">
        <f>SUM(J8:J9)</f>
        <v>2126.25</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0.20329589841940759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0.20329589841940759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2022-07-26T12:54:48Z</dcterms:modified>
</cp:coreProperties>
</file>