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CB11E241-6F61-4C04-B32A-3C930C6CD64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<sst xmlns="http://schemas.openxmlformats.org/spreadsheetml/2006/main" count="2513" uniqueCount="962">
  <si>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</si>
  <si>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</si>
  <si>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</si>
  <si>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</si>
  <si>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</si>
  <si>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</si>
  <si>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</si>
  <si>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</si>
  <si>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</si>
  <si>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</si>
  <si>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</si>
  <si>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</si>
  <si>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</si>
  <si>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</si>
  <si>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</si>
  <si>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</si>
  <si>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</si>
  <si>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</si>
  <si>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</si>
  <si>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</si>
  <si>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</si>
  <si>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</si>
  <si>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</si>
  <si>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</si>
  <si>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</si>
  <si>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</si>
  <si>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</si>
  <si>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</si>
  <si>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</si>
  <si>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</si>
  <si>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</si>
  <si>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</si>
  <si>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</si>
  <si>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</si>
  <si>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</si>
  <si>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</si>
  <si>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</si>
  <si>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</si>
  <si>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</si>
  <si>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</si>
  <si>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</si>
  <si>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</si>
  <si>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</si>
  <si>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</si>
  <si>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</si>
  <si>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</si>
  <si>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</si>
  <si>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</si>
  <si>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</si>
  <si>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</si>
  <si>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</si>
  <si>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</si>
  <si>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</si>
  <si>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</si>
  <si>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</si>
  <si>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</si>
  <si>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</si>
  <si>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</si>
  <si>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</si>
  <si>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</si>
  <si>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</si>
  <si>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</si>
  <si>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</si>
  <si>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</si>
  <si>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</si>
  <si>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</si>
  <si>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</si>
  <si>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</si>
  <si>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</si>
  <si>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</si>
  <si>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</si>
  <si>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</si>
  <si>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</si>
  <si>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</si>
  <si>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</si>
  <si>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</si>
  <si>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</si>
  <si>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</si>
  <si>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</si>
  <si>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</si>
  <si>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</si>
  <si>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</si>
  <si>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</si>
  <si>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</si>
  <si>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</si>
  <si>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</si>
  <si>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</si>
  <si>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</si>
  <si>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</si>
  <si>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</si>
  <si>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</si>
  <si>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</si>
  <si>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</si>
  <si>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</si>
  <si>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</si>
  <si>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</si>
  <si>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</si>
  <si>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</si>
  <si>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</si>
  <si>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</si>
  <si>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</si>
  <si>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</si>
  <si>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</si>
  <si>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</si>
  <si>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</si>
  <si>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</si>
  <si>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</si>
  <si>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</si>
  <si>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</si>
  <si>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</si>
  <si>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</si>
  <si>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</si>
  <si>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</si>
  <si>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</si>
  <si>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</si>
  <si>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</si>
  <si>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</si>
  <si>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</si>
  <si>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</si>
  <si>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</si>
  <si>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</si>
  <si>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</si>
  <si>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</si>
  <si>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</si>
  <si>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</si>
  <si>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</si>
  <si>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</si>
  <si>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</si>
  <si>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</si>
  <si>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</si>
  <si>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</si>
  <si>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</si>
  <si>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</si>
  <si>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</si>
  <si>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</si>
  <si>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</si>
  <si>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</si>
  <si>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</si>
  <si>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</si>
  <si>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</si>
  <si>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</si>
  <si>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</si>
  <si>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</si>
  <si>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</si>
  <si>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</si>
  <si>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</si>
  <si>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</si>
  <si>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</si>
  <si>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</si>
  <si>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</si>
  <si>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</si>
  <si>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</si>
  <si>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</si>
  <si>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</si>
  <si>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</si>
  <si>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</si>
  <si>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</si>
  <si>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</si>
  <si>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</si>
  <si>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</si>
  <si>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</si>
  <si>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</si>
  <si>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</si>
  <si>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</si>
  <si>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</si>
  <si>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</si>
  <si>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</si>
  <si>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</si>
  <si>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</si>
  <si>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</si>
  <si>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</si>
  <si>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</si>
  <si>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</si>
  <si>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</si>
  <si>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</si>
  <si>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</si>
  <si>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</si>
  <si>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</si>
  <si>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</si>
  <si>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</si>
  <si>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</si>
  <si>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</si>
  <si>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</si>
  <si>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</si>
  <si>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</si>
  <si>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</si>
  <si>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</si>
  <si>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</si>
  <si>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</si>
  <si>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</si>
  <si>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</si>
  <si>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</si>
  <si>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</si>
  <si>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</si>
  <si>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</si>
  <si>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</si>
  <si>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</si>
  <si>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</si>
  <si>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</si>
  <si>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</si>
  <si>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</si>
  <si>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</si>
  <si>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</si>
  <si>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</si>
  <si>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</si>
  <si>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</si>
  <si>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</si>
  <si>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</si>
  <si>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</si>
  <si>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</si>
  <si>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</si>
  <si>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</si>
  <si>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</si>
  <si>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</si>
  <si>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</si>
  <si>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</si>
  <si>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</si>
  <si>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</si>
  <si>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</si>
  <si>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</si>
  <si>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</si>
  <si>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</si>
  <si>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</si>
  <si>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</si>
  <si>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</si>
  <si>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</si>
  <si>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</si>
  <si>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</si>
  <si>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</si>
  <si>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</si>
  <si>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</si>
  <si>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</si>
  <si>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</si>
  <si>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</si>
  <si>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</si>
  <si>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</si>
  <si>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</si>
  <si>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</si>
  <si>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</si>
  <si>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</si>
  <si>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</si>
  <si>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</si>
  <si>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</si>
  <si>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</si>
  <si>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</si>
  <si>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</si>
  <si>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</si>
  <si>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</si>
  <si>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</si>
  <si>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</si>
  <si>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</si>
  <si>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</si>
  <si>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</si>
  <si>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</si>
  <si>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</si>
  <si>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</si>
  <si>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</si>
  <si>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</si>
  <si>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</si>
  <si>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</si>
  <si>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</si>
  <si>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</si>
  <si>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</si>
  <si>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</si>
  <si>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</si>
  <si>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</si>
  <si>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</si>
  <si>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</si>
  <si>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</si>
  <si>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</si>
  <si>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</si>
  <si>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</si>
  <si>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</si>
  <si>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</si>
  <si>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</si>
  <si>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</si>
  <si>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</si>
  <si>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</si>
  <si>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</si>
  <si>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</si>
  <si>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</si>
  <si>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</si>
  <si>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</si>
  <si>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</si>
  <si>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</si>
  <si>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</si>
  <si>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</si>
  <si>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</si>
  <si>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</si>
  <si>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</si>
  <si>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</si>
  <si>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</si>
  <si>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</si>
  <si>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</si>
  <si>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</si>
  <si>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</si>
  <si>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</si>
  <si>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</si>
  <si>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</si>
  <si>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</si>
  <si>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</si>
  <si>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</si>
  <si>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</si>
  <si>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</si>
  <si>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</si>
  <si>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</si>
  <si>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</si>
  <si>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</si>
  <si>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</si>
  <si>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</si>
  <si>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</si>
  <si>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</si>
  <si>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</si>
  <si>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</si>
  <si>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</si>
  <si>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</si>
  <si>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</si>
  <si>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</si>
  <si>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</si>
  <si>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</si>
  <si>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</si>
  <si>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</si>
  <si>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</si>
  <si>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</si>
  <si>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</si>
  <si>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</si>
  <si>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</si>
  <si>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</si>
  <si>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</si>
  <si>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</si>
  <si>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</si>
  <si>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</si>
  <si>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</si>
  <si>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</si>
  <si>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</si>
  <si>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</si>
  <si>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</si>
  <si>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</si>
  <si>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</si>
  <si>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</si>
  <si>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</si>
  <si>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</si>
  <si>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</si>
  <si>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</si>
  <si>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</si>
  <si>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</si>
  <si>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</si>
  <si>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</si>
  <si>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</si>
  <si>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</si>
  <si>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</si>
  <si>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</si>
  <si>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</si>
  <si>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</si>
  <si>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</si>
  <si>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</si>
  <si>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</si>
  <si>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</si>
  <si>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</si>
  <si>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</si>
  <si>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</si>
  <si>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</si>
  <si>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</si>
  <si>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</si>
  <si>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</si>
  <si>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</si>
  <si>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</si>
  <si>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</si>
  <si>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</si>
  <si>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</si>
  <si>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</si>
  <si>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</si>
  <si>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</si>
  <si>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</si>
  <si>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</si>
  <si>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</si>
  <si>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</si>
  <si>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</si>
  <si>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</si>
  <si>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</si>
  <si>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</si>
  <si>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</si>
  <si>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</si>
  <si>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</si>
  <si>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</si>
  <si>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</si>
  <si>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</si>
  <si>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</si>
  <si>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</si>
  <si>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</si>
  <si>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</si>
  <si>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</si>
  <si>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</si>
  <si>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</si>
  <si>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</si>
  <si>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</si>
  <si>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</si>
  <si>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</si>
  <si>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</si>
  <si>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</si>
  <si>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</si>
  <si>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</si>
  <si>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</si>
  <si>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</si>
  <si>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</si>
  <si>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</si>
  <si>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</si>
  <si>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</si>
  <si>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</si>
  <si>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</si>
  <si>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</si>
  <si>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</si>
  <si>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</si>
  <si>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</si>
  <si>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</si>
  <si>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</si>
  <si>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</si>
  <si>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</si>
  <si>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</si>
  <si>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</si>
  <si>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</si>
  <si>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</si>
  <si>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</si>
  <si>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</si>
  <si>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</si>
  <si>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</si>
  <si>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</si>
  <si>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</si>
  <si>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</si>
  <si>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</si>
  <si>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</si>
  <si>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</si>
  <si>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</si>
  <si>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</si>
  <si>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</si>
  <si>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</si>
  <si>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</si>
  <si>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</si>
  <si>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</si>
  <si>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</si>
  <si>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</si>
  <si>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</si>
  <si>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</si>
  <si>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</si>
  <si>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</si>
  <si>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</si>
  <si>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</si>
  <si>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</si>
  <si>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</si>
  <si>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</si>
  <si>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</si>
  <si>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</si>
  <si>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</si>
  <si>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</si>
  <si>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</si>
  <si>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</si>
  <si>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</si>
  <si>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</si>
  <si>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</si>
  <si>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</si>
  <si>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</si>
  <si>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</si>
  <si>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</si>
  <si>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</si>
  <si>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</si>
  <si>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</si>
  <si>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</si>
  <si>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</si>
  <si>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</si>
  <si>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</si>
  <si>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</si>
  <si>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</si>
  <si>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</si>
  <si>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</si>
  <si>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</si>
  <si>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</si>
  <si>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</si>
  <si>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</si>
  <si>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</si>
  <si>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</si>
  <si>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</si>
  <si>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</si>
  <si>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</si>
  <si>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</si>
  <si>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</si>
  <si>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</si>
  <si>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</si>
  <si>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</si>
  <si>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</si>
  <si>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</si>
  <si>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</si>
  <si>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</si>
  <si>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</si>
  <si>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</si>
  <si>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</si>
  <si>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</si>
  <si>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</si>
  <si>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</si>
  <si>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</si>
  <si>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</si>
  <si>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</si>
  <si>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</si>
  <si>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</si>
  <si>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</si>
  <si>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</si>
  <si>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</si>
  <si>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</si>
  <si>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</si>
  <si>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</si>
  <si>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</si>
  <si>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</si>
  <si>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</si>
  <si>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</si>
  <si>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</si>
  <si>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</si>
  <si>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</si>
  <si>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</si>
  <si>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</si>
  <si>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</si>
  <si>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</si>
  <si>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</si>
  <si>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</si>
  <si>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</si>
  <si>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</si>
  <si>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</si>
  <si>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</si>
  <si>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</si>
  <si>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</si>
  <si>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</si>
  <si>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</si>
  <si>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</si>
  <si>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</si>
  <si>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</si>
  <si>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</si>
  <si>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</si>
  <si>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</si>
  <si>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</si>
  <si>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</si>
  <si>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</si>
  <si>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</si>
  <si>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</si>
  <si>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</si>
  <si>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</si>
  <si>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</si>
  <si>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</si>
  <si>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</si>
  <si>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</si>
  <si>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</si>
  <si>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</si>
  <si>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</si>
  <si>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</si>
  <si>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</si>
  <si>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</si>
  <si>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</si>
  <si>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</si>
  <si>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</si>
  <si>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</si>
  <si>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</si>
  <si>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</si>
  <si>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</si>
  <si>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</si>
  <si>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</si>
  <si>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</si>
  <si>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</si>
  <si>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</si>
  <si>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</si>
  <si>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</si>
  <si>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</si>
  <si>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</si>
  <si>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</si>
  <si>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</si>
  <si>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</si>
  <si>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</si>
  <si>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</si>
  <si>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</si>
  <si>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</si>
  <si>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</si>
  <si>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</si>
  <si>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</si>
  <si>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</si>
  <si>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</si>
  <si>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</si>
  <si>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</si>
  <si>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</si>
  <si>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</si>
  <si>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</si>
  <si>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</si>
  <si>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</si>
  <si>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</si>
  <si>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</si>
  <si>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</si>
  <si>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</si>
  <si>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</si>
  <si>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</si>
  <si>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</si>
  <si>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</si>
  <si>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</si>
  <si>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</si>
  <si>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</si>
  <si>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</si>
  <si>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</si>
  <si>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</si>
  <si>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</si>
  <si>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</si>
  <si>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</si>
  <si>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</si>
  <si>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</si>
  <si>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</si>
  <si>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</si>
  <si>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</si>
  <si>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</si>
  <si>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</si>
  <si>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</si>
  <si>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</si>
  <si>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</si>
  <si>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</si>
  <si>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</si>
  <si>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</si>
  <si>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</si>
  <si>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</si>
  <si>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</si>
  <si>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</si>
  <si>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</si>
  <si>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</si>
  <si>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</si>
  <si>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</si>
  <si>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</si>
  <si>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</si>
  <si>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</si>
  <si>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</si>
  <si>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</si>
  <si>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</si>
  <si>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</si>
  <si>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</si>
  <si>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</si>
  <si>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</si>
  <si>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</si>
  <si>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</si>
  <si>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</si>
  <si>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</si>
  <si>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</si>
  <si>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</si>
  <si>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</si>
  <si>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</si>
  <si>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</si>
  <si>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</si>
  <si>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</si>
  <si>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</si>
  <si>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</si>
  <si>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</si>
  <si>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</si>
  <si>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</si>
  <si>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</si>
  <si>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</si>
  <si>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</si>
  <si>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</si>
  <si>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</si>
  <si>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</si>
  <si>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</si>
  <si>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</si>
  <si>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</si>
  <si>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</si>
  <si>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</si>
  <si>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</si>
  <si>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</si>
  <si>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</si>
  <si>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</si>
  <si>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</si>
  <si>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</si>
  <si>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</si>
  <si>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</si>
  <si>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</si>
  <si>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</si>
  <si>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</si>
  <si>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</si>
  <si>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</si>
  <si>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</si>
  <si>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</si>
  <si>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</si>
  <si>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</si>
  <si>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</si>
  <si>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</si>
  <si>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</si>
  <si>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</si>
  <si>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</si>
  <si>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</si>
  <si>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</si>
  <si>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</si>
  <si>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</si>
  <si>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</si>
  <si>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</si>
  <si>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</si>
  <si>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</si>
  <si>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</si>
  <si>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</si>
  <si>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</si>
  <si>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</si>
  <si>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</si>
  <si>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</si>
  <si>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</si>
  <si>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</si>
  <si>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</si>
  <si>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</si>
  <si>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</si>
  <si>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</si>
  <si>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</si>
  <si>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</si>
  <si>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</si>
  <si>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</si>
  <si>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</si>
  <si>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</si>
  <si>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</si>
  <si>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</si>
  <si>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</si>
  <si>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</si>
  <si>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</si>
  <si>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</si>
  <si>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</si>
  <si>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</si>
  <si>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</si>
  <si>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</si>
  <si>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</si>
  <si>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</si>
  <si>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</si>
  <si>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</si>
  <si>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</si>
  <si>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</si>
  <si>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</si>
  <si>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</si>
  <si>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</si>
  <si>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</si>
  <si>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</si>
  <si>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</si>
  <si>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</si>
  <si>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</si>
  <si>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</si>
  <si>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</si>
  <si>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</si>
  <si>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</si>
  <si>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</si>
  <si>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</si>
  <si>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</si>
  <si>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</si>
  <si>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</si>
  <si>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</si>
  <si>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</si>
  <si>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</si>
  <si>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</si>
  <si>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</si>
  <si>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</si>
  <si>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</si>
  <si>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</si>
  <si>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</si>
  <si>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</si>
  <si>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</si>
  <si>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</si>
  <si>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</si>
  <si>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</si>
  <si>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</si>
  <si>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</si>
  <si>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</si>
  <si>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</si>
  <si>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</si>
  <si>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</si>
  <si>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</si>
  <si>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</si>
  <si>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</si>
  <si>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</si>
  <si>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</si>
  <si>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</si>
  <si>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</si>
  <si>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</si>
  <si>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</si>
  <si>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</si>
  <si>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</si>
  <si>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</si>
  <si>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</si>
  <si>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</si>
  <si>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</si>
  <si>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</si>
  <si>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</si>
  <si>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</si>
  <si>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</si>
  <si>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</si>
  <si>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</si>
  <si>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</si>
  <si>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</si>
  <si>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</si>
  <si>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</si>
  <si>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</si>
  <si>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</si>
  <si>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</si>
  <si>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</si>
  <si>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</si>
  <si>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</si>
  <si>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</si>
  <si>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</si>
  <si>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</si>
  <si>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</si>
  <si>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</si>
  <si>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</si>
  <si>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</si>
  <si>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</si>
  <si>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</si>
  <si>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</si>
  <si>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</si>
  <si>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</si>
  <si>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</si>
  <si>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</si>
  <si>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</si>
  <si>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</si>
  <si>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</si>
  <si>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</si>
  <si>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</si>
  <si>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</si>
  <si>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</si>
  <si>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</si>
  <si>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</si>
  <si>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</si>
  <si>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</si>
  <si>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</si>
  <si>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</si>
  <si>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</si>
  <si>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</si>
  <si>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</si>
  <si>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</si>
  <si>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</si>
  <si>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</si>
  <si>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</si>
  <si>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</si>
  <si>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</si>
  <si>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</si>
  <si>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</si>
  <si>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</si>
  <si>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</si>
  <si>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</si>
  <si>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</si>
  <si>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</si>
  <si>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</si>
  <si>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</si>
  <si>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</si>
  <si>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</si>
  <si>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</si>
  <si>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</si>
  <si>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</si>
  <si>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</si>
  <si>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</si>
  <si>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</si>
  <si>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</si>
  <si>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</si>
  <si>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</si>
  <si>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</si>
  <si>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</si>
  <si>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</si>
  <si>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</si>
  <si>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</si>
  <si>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</si>
  <si>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</si>
  <si>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</si>
  <si>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</si>
  <si>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</si>
  <si>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</si>
  <si>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</si>
  <si>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</si>
  <si>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</si>
  <si>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</si>
  <si>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</si>
  <si>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</si>
  <si>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</si>
  <si>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</si>
  <si>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</si>
  <si>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</si>
  <si>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</si>
  <si>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</si>
  <si>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</si>
  <si>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</si>
  <si>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</si>
  <si>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</si>
  <si>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</si>
  <si>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</si>
  <si>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</si>
  <si>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</si>
  <si>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</si>
  <si>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</si>
  <si>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</si>
  <si>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</si>
  <si>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</si>
  <si>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</si>
  <si>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</si>
  <si>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</si>
  <si>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</si>
  <si>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</si>
  <si>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</si>
  <si>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</si>
  <si>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</si>
  <si>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</si>
  <si>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</si>
  <si>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</si>
  <si>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</si>
  <si>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</si>
  <si>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</si>
  <si>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</si>
  <si>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</si>
  <si>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</si>
  <si>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</si>
  <si>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</si>
  <si>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</si>
  <si>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</si>
  <si>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</si>
  <si>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</si>
  <si>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</si>
  <si>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</si>
  <si>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</si>
  <si>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</si>
  <si>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</si>
  <si>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</si>
  <si>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</si>
  <si>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</si>
  <si>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</si>
  <si>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</si>
  <si>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</si>
  <si>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</si>
  <si>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</si>
  <si>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</si>
  <si>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</si>
  <si>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</si>
  <si>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</si>
  <si>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</si>
  <si>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</si>
  <si>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</si>
  <si>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</si>
  <si>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</si>
  <si>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</si>
  <si>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</si>
  <si>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</si>
  <si>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</si>
  <si>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</si>
  <si>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</si>
  <si>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</si>
  <si>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</si>
  <si>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</si>
  <si>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</si>
  <si>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</si>
  <si>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</si>
  <si>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</si>
  <si>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</si>
  <si>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</si>
  <si>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</si>
  <si>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</si>
  <si>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</si>
  <si>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</si>
  <si>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</si>
  <si>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</si>
  <si>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</si>
  <si>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</si>
  <si>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</si>
  <si>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</si>
  <si>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24135</t>
  </si>
  <si>
    <t>TIELT-WINGE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</si>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</sst>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EE0FDA3-AE95-4D04-AA58-FC5E6605A13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24135</v>
      </c>
      <c r="B6" s="382"/>
      <c r="C6" s="383"/>
    </row>
    <row r="7" spans="1:7" s="380" customFormat="1" ht="15.75" customHeight="1">
      <c r="A7" s="384" t="str">
        <f>txtMunicipality</f>
        <v>TIELT-WINGE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0.2104120604107387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0.2104120604107387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4188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2118</v>
      </c>
      <c r="C14" s="324"/>
      <c r="D14" s="324"/>
      <c r="E14" s="324"/>
      <c r="F14" s="324"/>
    </row>
    <row r="15" spans="1:6">
      <c r="A15" s="1235" t="s">
        <v>177</v>
      </c>
      <c r="B15" s="1236">
        <v>9</v>
      </c>
      <c r="C15" s="324"/>
      <c r="D15" s="324"/>
      <c r="E15" s="324"/>
      <c r="F15" s="324"/>
    </row>
    <row r="16" spans="1:6">
      <c r="A16" s="1235" t="s">
        <v>6</v>
      </c>
      <c r="B16" s="1236">
        <v>239</v>
      </c>
      <c r="C16" s="324"/>
      <c r="D16" s="324"/>
      <c r="E16" s="324"/>
      <c r="F16" s="324"/>
    </row>
    <row r="17" spans="1:6">
      <c r="A17" s="1235" t="s">
        <v>7</v>
      </c>
      <c r="B17" s="1236">
        <v>349</v>
      </c>
      <c r="C17" s="324"/>
      <c r="D17" s="324"/>
      <c r="E17" s="324"/>
      <c r="F17" s="324"/>
    </row>
    <row r="18" spans="1:6">
      <c r="A18" s="1235" t="s">
        <v>8</v>
      </c>
      <c r="B18" s="1236">
        <v>396</v>
      </c>
      <c r="C18" s="324"/>
      <c r="D18" s="324"/>
      <c r="E18" s="324"/>
      <c r="F18" s="324"/>
    </row>
    <row r="19" spans="1:6">
      <c r="A19" s="1235" t="s">
        <v>9</v>
      </c>
      <c r="B19" s="1236">
        <v>350</v>
      </c>
      <c r="C19" s="324"/>
      <c r="D19" s="324"/>
      <c r="E19" s="324"/>
      <c r="F19" s="324"/>
    </row>
    <row r="20" spans="1:6">
      <c r="A20" s="1235" t="s">
        <v>10</v>
      </c>
      <c r="B20" s="1236">
        <v>311</v>
      </c>
      <c r="C20" s="324"/>
      <c r="D20" s="324"/>
      <c r="E20" s="324"/>
      <c r="F20" s="324"/>
    </row>
    <row r="21" spans="1:6">
      <c r="A21" s="1235" t="s">
        <v>11</v>
      </c>
      <c r="B21" s="1236">
        <v>2205</v>
      </c>
      <c r="C21" s="324"/>
      <c r="D21" s="324"/>
      <c r="E21" s="324"/>
      <c r="F21" s="324"/>
    </row>
    <row r="22" spans="1:6">
      <c r="A22" s="1235" t="s">
        <v>12</v>
      </c>
      <c r="B22" s="1236">
        <v>4466</v>
      </c>
      <c r="C22" s="324"/>
      <c r="D22" s="324"/>
      <c r="E22" s="324"/>
      <c r="F22" s="324"/>
    </row>
    <row r="23" spans="1:6">
      <c r="A23" s="1235" t="s">
        <v>13</v>
      </c>
      <c r="B23" s="1236">
        <v>28</v>
      </c>
      <c r="C23" s="324"/>
      <c r="D23" s="324"/>
      <c r="E23" s="324"/>
      <c r="F23" s="324"/>
    </row>
    <row r="24" spans="1:6">
      <c r="A24" s="1235" t="s">
        <v>14</v>
      </c>
      <c r="B24" s="1236">
        <v>2</v>
      </c>
      <c r="C24" s="324"/>
      <c r="D24" s="324"/>
      <c r="E24" s="324"/>
      <c r="F24" s="324"/>
    </row>
    <row r="25" spans="1:6">
      <c r="A25" s="1235" t="s">
        <v>15</v>
      </c>
      <c r="B25" s="1236">
        <v>315</v>
      </c>
      <c r="C25" s="324"/>
      <c r="D25" s="324"/>
      <c r="E25" s="324"/>
      <c r="F25" s="324"/>
    </row>
    <row r="26" spans="1:6">
      <c r="A26" s="1235" t="s">
        <v>16</v>
      </c>
      <c r="B26" s="1236">
        <v>821</v>
      </c>
      <c r="C26" s="324"/>
      <c r="D26" s="324"/>
      <c r="E26" s="324"/>
      <c r="F26" s="324"/>
    </row>
    <row r="27" spans="1:6">
      <c r="A27" s="1235" t="s">
        <v>17</v>
      </c>
      <c r="B27" s="1236">
        <v>26</v>
      </c>
      <c r="C27" s="324"/>
      <c r="D27" s="324"/>
      <c r="E27" s="324"/>
      <c r="F27" s="324"/>
    </row>
    <row r="28" spans="1:6">
      <c r="A28" s="1235" t="s">
        <v>18</v>
      </c>
      <c r="B28" s="1237">
        <v>66430</v>
      </c>
      <c r="C28" s="324"/>
      <c r="D28" s="324"/>
      <c r="E28" s="324"/>
      <c r="F28" s="324"/>
    </row>
    <row r="29" spans="1:6">
      <c r="A29" s="1235" t="s">
        <v>959</v>
      </c>
      <c r="B29" s="1237">
        <v>75</v>
      </c>
      <c r="C29" s="324"/>
      <c r="D29" s="324"/>
      <c r="E29" s="324"/>
      <c r="F29" s="324"/>
    </row>
    <row r="30" spans="1:6">
      <c r="A30" s="1230" t="s">
        <v>960</v>
      </c>
      <c r="B30" s="1238">
        <v>25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17391</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944</v>
      </c>
      <c r="D39" s="1236">
        <v>17898105</v>
      </c>
      <c r="E39" s="1236">
        <v>4144</v>
      </c>
      <c r="F39" s="1236">
        <v>19293433</v>
      </c>
    </row>
    <row r="40" spans="1:6">
      <c r="A40" s="1235" t="s">
        <v>29</v>
      </c>
      <c r="B40" s="1235" t="s">
        <v>28</v>
      </c>
      <c r="C40" s="1236">
        <v>0</v>
      </c>
      <c r="D40" s="1236">
        <v>0</v>
      </c>
      <c r="E40" s="1236">
        <v>0</v>
      </c>
      <c r="F40" s="1236">
        <v>0</v>
      </c>
    </row>
    <row r="41" spans="1:6">
      <c r="A41" s="1235" t="s">
        <v>31</v>
      </c>
      <c r="B41" s="1235" t="s">
        <v>32</v>
      </c>
      <c r="C41" s="1236">
        <v>8</v>
      </c>
      <c r="D41" s="1236">
        <v>220204</v>
      </c>
      <c r="E41" s="1236">
        <v>38</v>
      </c>
      <c r="F41" s="1236">
        <v>822534</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208873</v>
      </c>
      <c r="E44" s="1236">
        <v>7</v>
      </c>
      <c r="F44" s="1236">
        <v>51272</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4</v>
      </c>
      <c r="D48" s="1236">
        <v>321218</v>
      </c>
      <c r="E48" s="1236">
        <v>4</v>
      </c>
      <c r="F48" s="1236">
        <v>57599</v>
      </c>
    </row>
    <row r="49" spans="1:6">
      <c r="A49" s="1235" t="s">
        <v>31</v>
      </c>
      <c r="B49" s="1235" t="s">
        <v>39</v>
      </c>
      <c r="C49" s="1236">
        <v>0</v>
      </c>
      <c r="D49" s="1236">
        <v>0</v>
      </c>
      <c r="E49" s="1236">
        <v>0</v>
      </c>
      <c r="F49" s="1236">
        <v>0</v>
      </c>
    </row>
    <row r="50" spans="1:6">
      <c r="A50" s="1235" t="s">
        <v>31</v>
      </c>
      <c r="B50" s="1235" t="s">
        <v>40</v>
      </c>
      <c r="C50" s="1236">
        <v>0</v>
      </c>
      <c r="D50" s="1236">
        <v>0</v>
      </c>
      <c r="E50" s="1236">
        <v>4</v>
      </c>
      <c r="F50" s="1236">
        <v>336753</v>
      </c>
    </row>
    <row r="51" spans="1:6">
      <c r="A51" s="1235" t="s">
        <v>41</v>
      </c>
      <c r="B51" s="1235" t="s">
        <v>42</v>
      </c>
      <c r="C51" s="1236">
        <v>0</v>
      </c>
      <c r="D51" s="1236">
        <v>0</v>
      </c>
      <c r="E51" s="1236">
        <v>77</v>
      </c>
      <c r="F51" s="1236">
        <v>900146</v>
      </c>
    </row>
    <row r="52" spans="1:6">
      <c r="A52" s="1235" t="s">
        <v>41</v>
      </c>
      <c r="B52" s="1235" t="s">
        <v>28</v>
      </c>
      <c r="C52" s="1236">
        <v>1</v>
      </c>
      <c r="D52" s="1236">
        <v>328724</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15</v>
      </c>
      <c r="F54" s="1236">
        <v>635652</v>
      </c>
    </row>
    <row r="55" spans="1:6">
      <c r="A55" s="1235" t="s">
        <v>45</v>
      </c>
      <c r="B55" s="1235" t="s">
        <v>28</v>
      </c>
      <c r="C55" s="1236">
        <v>0</v>
      </c>
      <c r="D55" s="1236">
        <v>0</v>
      </c>
      <c r="E55" s="1236">
        <v>0</v>
      </c>
      <c r="F55" s="1236">
        <v>0</v>
      </c>
    </row>
    <row r="56" spans="1:6">
      <c r="A56" s="1235" t="s">
        <v>47</v>
      </c>
      <c r="B56" s="1235" t="s">
        <v>28</v>
      </c>
      <c r="C56" s="1236">
        <v>12</v>
      </c>
      <c r="D56" s="1236">
        <v>984336</v>
      </c>
      <c r="E56" s="1236">
        <v>177</v>
      </c>
      <c r="F56" s="1236">
        <v>2439399</v>
      </c>
    </row>
    <row r="57" spans="1:6">
      <c r="A57" s="1235" t="s">
        <v>48</v>
      </c>
      <c r="B57" s="1235" t="s">
        <v>49</v>
      </c>
      <c r="C57" s="1236">
        <v>6</v>
      </c>
      <c r="D57" s="1236">
        <v>420407</v>
      </c>
      <c r="E57" s="1236">
        <v>33</v>
      </c>
      <c r="F57" s="1236">
        <v>878907</v>
      </c>
    </row>
    <row r="58" spans="1:6">
      <c r="A58" s="1235" t="s">
        <v>48</v>
      </c>
      <c r="B58" s="1235" t="s">
        <v>50</v>
      </c>
      <c r="C58" s="1236">
        <v>4</v>
      </c>
      <c r="D58" s="1236">
        <v>186871</v>
      </c>
      <c r="E58" s="1236">
        <v>9</v>
      </c>
      <c r="F58" s="1236">
        <v>229566</v>
      </c>
    </row>
    <row r="59" spans="1:6">
      <c r="A59" s="1235" t="s">
        <v>48</v>
      </c>
      <c r="B59" s="1235" t="s">
        <v>51</v>
      </c>
      <c r="C59" s="1236">
        <v>25</v>
      </c>
      <c r="D59" s="1236">
        <v>1456588</v>
      </c>
      <c r="E59" s="1236">
        <v>146</v>
      </c>
      <c r="F59" s="1236">
        <v>4595366</v>
      </c>
    </row>
    <row r="60" spans="1:6">
      <c r="A60" s="1235" t="s">
        <v>48</v>
      </c>
      <c r="B60" s="1235" t="s">
        <v>52</v>
      </c>
      <c r="C60" s="1236">
        <v>9</v>
      </c>
      <c r="D60" s="1236">
        <v>337325</v>
      </c>
      <c r="E60" s="1236">
        <v>35</v>
      </c>
      <c r="F60" s="1236">
        <v>844884</v>
      </c>
    </row>
    <row r="61" spans="1:6">
      <c r="A61" s="1235" t="s">
        <v>48</v>
      </c>
      <c r="B61" s="1235" t="s">
        <v>53</v>
      </c>
      <c r="C61" s="1236">
        <v>37</v>
      </c>
      <c r="D61" s="1236">
        <v>1817425</v>
      </c>
      <c r="E61" s="1236">
        <v>92</v>
      </c>
      <c r="F61" s="1236">
        <v>1987846</v>
      </c>
    </row>
    <row r="62" spans="1:6">
      <c r="A62" s="1235" t="s">
        <v>48</v>
      </c>
      <c r="B62" s="1235" t="s">
        <v>54</v>
      </c>
      <c r="C62" s="1236">
        <v>3</v>
      </c>
      <c r="D62" s="1236">
        <v>196208</v>
      </c>
      <c r="E62" s="1236">
        <v>7</v>
      </c>
      <c r="F62" s="1236">
        <v>132800</v>
      </c>
    </row>
    <row r="63" spans="1:6">
      <c r="A63" s="1235" t="s">
        <v>48</v>
      </c>
      <c r="B63" s="1235" t="s">
        <v>28</v>
      </c>
      <c r="C63" s="1236">
        <v>0</v>
      </c>
      <c r="D63" s="1236">
        <v>0</v>
      </c>
      <c r="E63" s="1236">
        <v>1</v>
      </c>
      <c r="F63" s="1236">
        <v>11341.724490893301</v>
      </c>
    </row>
    <row r="64" spans="1:6">
      <c r="A64" s="1235" t="s">
        <v>55</v>
      </c>
      <c r="B64" s="1235" t="s">
        <v>56</v>
      </c>
      <c r="C64" s="1236">
        <v>0</v>
      </c>
      <c r="D64" s="1236">
        <v>0</v>
      </c>
      <c r="E64" s="1236">
        <v>0</v>
      </c>
      <c r="F64" s="1236">
        <v>0</v>
      </c>
    </row>
    <row r="65" spans="1:6">
      <c r="A65" s="1235" t="s">
        <v>55</v>
      </c>
      <c r="B65" s="1235" t="s">
        <v>28</v>
      </c>
      <c r="C65" s="1236">
        <v>2</v>
      </c>
      <c r="D65" s="1236">
        <v>64103</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64359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61519320</v>
      </c>
      <c r="E73" s="443"/>
      <c r="F73" s="324"/>
    </row>
    <row r="74" spans="1:6">
      <c r="A74" s="1235" t="s">
        <v>63</v>
      </c>
      <c r="B74" s="1235" t="s">
        <v>730</v>
      </c>
      <c r="C74" s="1248" t="s">
        <v>731</v>
      </c>
      <c r="D74" s="1236">
        <v>5919115.0725625511</v>
      </c>
      <c r="E74" s="443"/>
      <c r="F74" s="324"/>
    </row>
    <row r="75" spans="1:6">
      <c r="A75" s="1235" t="s">
        <v>64</v>
      </c>
      <c r="B75" s="1235" t="s">
        <v>728</v>
      </c>
      <c r="C75" s="1248" t="s">
        <v>732</v>
      </c>
      <c r="D75" s="1236">
        <v>21765772</v>
      </c>
      <c r="E75" s="443"/>
      <c r="F75" s="324"/>
    </row>
    <row r="76" spans="1:6">
      <c r="A76" s="1235" t="s">
        <v>64</v>
      </c>
      <c r="B76" s="1235" t="s">
        <v>730</v>
      </c>
      <c r="C76" s="1248" t="s">
        <v>733</v>
      </c>
      <c r="D76" s="1236">
        <v>690015.07256255101</v>
      </c>
      <c r="E76" s="443"/>
      <c r="F76" s="324"/>
    </row>
    <row r="77" spans="1:6">
      <c r="A77" s="1235" t="s">
        <v>65</v>
      </c>
      <c r="B77" s="1235" t="s">
        <v>728</v>
      </c>
      <c r="C77" s="1248" t="s">
        <v>734</v>
      </c>
      <c r="D77" s="1236">
        <v>35760542</v>
      </c>
      <c r="E77" s="443"/>
      <c r="F77" s="324"/>
    </row>
    <row r="78" spans="1:6">
      <c r="A78" s="1230" t="s">
        <v>65</v>
      </c>
      <c r="B78" s="1230" t="s">
        <v>730</v>
      </c>
      <c r="C78" s="1230" t="s">
        <v>735</v>
      </c>
      <c r="D78" s="1238">
        <v>3983837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660037.85487489798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1420.0704670118962</v>
      </c>
      <c r="C91" s="324"/>
      <c r="D91" s="324"/>
      <c r="E91" s="324"/>
      <c r="F91" s="324"/>
    </row>
    <row r="92" spans="1:6">
      <c r="A92" s="1230" t="s">
        <v>68</v>
      </c>
      <c r="B92" s="1231">
        <v>239.98335724369298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197</v>
      </c>
      <c r="C97" s="324"/>
      <c r="D97" s="324"/>
      <c r="E97" s="324"/>
      <c r="F97" s="324"/>
    </row>
    <row r="98" spans="1:6">
      <c r="A98" s="1235" t="s">
        <v>71</v>
      </c>
      <c r="B98" s="1236">
        <v>3</v>
      </c>
      <c r="C98" s="324"/>
      <c r="D98" s="324"/>
      <c r="E98" s="324"/>
      <c r="F98" s="324"/>
    </row>
    <row r="99" spans="1:6">
      <c r="A99" s="1235" t="s">
        <v>72</v>
      </c>
      <c r="B99" s="1236">
        <v>146</v>
      </c>
      <c r="C99" s="324"/>
      <c r="D99" s="324"/>
      <c r="E99" s="324"/>
      <c r="F99" s="324"/>
    </row>
    <row r="100" spans="1:6">
      <c r="A100" s="1235" t="s">
        <v>73</v>
      </c>
      <c r="B100" s="1236">
        <v>179</v>
      </c>
      <c r="C100" s="324"/>
      <c r="D100" s="324"/>
      <c r="E100" s="324"/>
      <c r="F100" s="324"/>
    </row>
    <row r="101" spans="1:6">
      <c r="A101" s="1235" t="s">
        <v>74</v>
      </c>
      <c r="B101" s="1236">
        <v>67</v>
      </c>
      <c r="C101" s="324"/>
      <c r="D101" s="324"/>
      <c r="E101" s="324"/>
      <c r="F101" s="324"/>
    </row>
    <row r="102" spans="1:6">
      <c r="A102" s="1235" t="s">
        <v>75</v>
      </c>
      <c r="B102" s="1236">
        <v>53</v>
      </c>
      <c r="C102" s="324"/>
      <c r="D102" s="324"/>
      <c r="E102" s="324"/>
      <c r="F102" s="324"/>
    </row>
    <row r="103" spans="1:6">
      <c r="A103" s="1235" t="s">
        <v>76</v>
      </c>
      <c r="B103" s="1236">
        <v>165</v>
      </c>
      <c r="C103" s="324"/>
      <c r="D103" s="324"/>
      <c r="E103" s="324"/>
      <c r="F103" s="324"/>
    </row>
    <row r="104" spans="1:6">
      <c r="A104" s="1235" t="s">
        <v>77</v>
      </c>
      <c r="B104" s="1236">
        <v>2944</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21</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34649.980014296831</v>
      </c>
      <c r="C3" s="43" t="s">
        <v>163</v>
      </c>
      <c r="D3" s="43"/>
      <c r="E3" s="155"/>
      <c r="F3" s="43"/>
      <c r="G3" s="43"/>
      <c r="H3" s="43"/>
      <c r="I3" s="43"/>
      <c r="J3" s="43"/>
      <c r="K3" s="96"/>
    </row>
    <row r="4" spans="1:11">
      <c r="A4" s="350" t="s">
        <v>164</v>
      </c>
      <c r="B4" s="49">
        <f>IF(ISERROR('SEAP template'!B78+'SEAP template'!C78),0,'SEAP template'!B78+'SEAP template'!C78)</f>
        <v>1660.0538242555892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0.2104120604107387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635.65200000000004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635.65200000000004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0.2104120604107387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133.7488470242069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19293.433000000001</v>
      </c>
      <c r="C5" s="17">
        <f>IF(ISERROR('Eigen informatie GS &amp; warmtenet'!B57),0,'Eigen informatie GS &amp; warmtenet'!B57)</f>
        <v>0</v>
      </c>
      <c r="D5" s="30">
        <f>(SUM(HH_hh_gas_kWh,HH_rest_gas_kWh)/1000)*0.902</f>
        <v>16144.09071</v>
      </c>
      <c r="E5" s="17">
        <f>B32*B41</f>
        <v>1578.4706471826371</v>
      </c>
      <c r="F5" s="17">
        <f>B36*B45</f>
        <v>53880.141579400079</v>
      </c>
      <c r="G5" s="18"/>
      <c r="H5" s="17"/>
      <c r="I5" s="17"/>
      <c r="J5" s="17">
        <f>B35*B44+C35*C44</f>
        <v>1213.2441867357261</v>
      </c>
      <c r="K5" s="17"/>
      <c r="L5" s="17"/>
      <c r="M5" s="17"/>
      <c r="N5" s="17">
        <f>B34*B43+C34*C43</f>
        <v>5592.3201303934457</v>
      </c>
      <c r="O5" s="17">
        <f>B52*B53*B54</f>
        <v>37.520000000000003</v>
      </c>
      <c r="P5" s="17">
        <f>B60*B61*B62/1000-B60*B61*B62/1000/B63</f>
        <v>400.4</v>
      </c>
    </row>
    <row r="6" spans="1:16">
      <c r="A6" s="16" t="s">
        <v>591</v>
      </c>
      <c r="B6" s="727">
        <f>kWh_PV_kleiner_dan_10kW</f>
        <v>1420.0704670118962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20713.503467011898</v>
      </c>
      <c r="C8" s="21">
        <f>C5</f>
        <v>0</v>
      </c>
      <c r="D8" s="21">
        <f>D5</f>
        <v>16144.09071</v>
      </c>
      <c r="E8" s="21">
        <f>E5</f>
        <v>1578.4706471826371</v>
      </c>
      <c r="F8" s="21">
        <f>F5</f>
        <v>53880.141579400079</v>
      </c>
      <c r="G8" s="21"/>
      <c r="H8" s="21"/>
      <c r="I8" s="21"/>
      <c r="J8" s="21">
        <f>J5</f>
        <v>1213.2441867357261</v>
      </c>
      <c r="K8" s="21"/>
      <c r="L8" s="21">
        <f>L5</f>
        <v>0</v>
      </c>
      <c r="M8" s="21">
        <f>M5</f>
        <v>0</v>
      </c>
      <c r="N8" s="21">
        <f>N5</f>
        <v>5592.3201303934457</v>
      </c>
      <c r="O8" s="21">
        <f>O5</f>
        <v>37.520000000000003</v>
      </c>
      <c r="P8" s="21">
        <f>P5</f>
        <v>400.4</v>
      </c>
    </row>
    <row r="9" spans="1:16">
      <c r="B9" s="19"/>
      <c r="C9" s="19"/>
      <c r="D9" s="255"/>
      <c r="E9" s="19"/>
      <c r="F9" s="19"/>
      <c r="G9" s="19"/>
      <c r="H9" s="19"/>
      <c r="I9" s="19"/>
      <c r="J9" s="19"/>
      <c r="K9" s="19"/>
      <c r="L9" s="19"/>
      <c r="M9" s="19"/>
      <c r="N9" s="19"/>
      <c r="O9" s="19"/>
      <c r="P9" s="19"/>
    </row>
    <row r="10" spans="1:16">
      <c r="A10" s="24" t="s">
        <v>207</v>
      </c>
      <c r="B10" s="25">
        <f ca="1">'EF ele_warmte'!B12</f>
        <v>0.2104120604107387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4358.3709428189532</v>
      </c>
      <c r="C12" s="23">
        <f ca="1">C10*C8</f>
        <v>0</v>
      </c>
      <c r="D12" s="23">
        <f>D8*D10</f>
        <v>3261.1063234200001</v>
      </c>
      <c r="E12" s="23">
        <f>E10*E8</f>
        <v>358.31283691045866</v>
      </c>
      <c r="F12" s="23">
        <f>F10*F8</f>
        <v>14385.997801699821</v>
      </c>
      <c r="G12" s="23"/>
      <c r="H12" s="23"/>
      <c r="I12" s="23"/>
      <c r="J12" s="23">
        <f>J10*J8</f>
        <v>429.48844210444702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4188</v>
      </c>
      <c r="C26" s="36"/>
      <c r="D26" s="225"/>
    </row>
    <row r="27" spans="1:5" s="15" customFormat="1">
      <c r="A27" s="227" t="s">
        <v>671</v>
      </c>
      <c r="B27" s="37">
        <f>SUM(HH_hh_gas_aantal,HH_rest_gas_aantal)</f>
        <v>944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896.8</v>
      </c>
      <c r="C31" s="34" t="s">
        <v>104</v>
      </c>
      <c r="D31" s="171"/>
    </row>
    <row r="32" spans="1:5">
      <c r="A32" s="168" t="s">
        <v>72</v>
      </c>
      <c r="B32" s="33">
        <f>IF((B21*($B$26-($B$27-0.05*$B$27)-$B$60))&lt;0,0,B21*($B$26-($B$27-0.05*$B$27)-$B$60))</f>
        <v>23.18430740353968</v>
      </c>
      <c r="C32" s="34" t="s">
        <v>104</v>
      </c>
      <c r="D32" s="171"/>
    </row>
    <row r="33" spans="1:6">
      <c r="A33" s="168" t="s">
        <v>73</v>
      </c>
      <c r="B33" s="33">
        <f>IF((B22*($B$26-($B$27-0.05*$B$27)-$B$60))&lt;0,0,B22*($B$26-($B$27-0.05*$B$27)-$B$60))</f>
        <v>664.45909585790946</v>
      </c>
      <c r="C33" s="34" t="s">
        <v>104</v>
      </c>
      <c r="D33" s="171"/>
    </row>
    <row r="34" spans="1:6">
      <c r="A34" s="168" t="s">
        <v>74</v>
      </c>
      <c r="B34" s="33">
        <f>IF((B24*($B$26-($B$27-0.05*$B$27)-$B$60))&lt;0,0,B24*($B$26-($B$27-0.05*$B$27)-$B$60))</f>
        <v>132.50016592982377</v>
      </c>
      <c r="C34" s="33">
        <f>B26*C24</f>
        <v>856.35225048923678</v>
      </c>
      <c r="D34" s="230"/>
    </row>
    <row r="35" spans="1:6">
      <c r="A35" s="168" t="s">
        <v>76</v>
      </c>
      <c r="B35" s="33">
        <f>IF((B19*($B$26-($B$27-0.05*$B$27)-$B$60))&lt;0,0,B19*($B$26-($B$27-0.05*$B$27)-$B$60))</f>
        <v>69.000914891487142</v>
      </c>
      <c r="C35" s="33">
        <f>B35/2</f>
        <v>34.500457445743571</v>
      </c>
      <c r="D35" s="230"/>
    </row>
    <row r="36" spans="1:6">
      <c r="A36" s="168" t="s">
        <v>77</v>
      </c>
      <c r="B36" s="33">
        <f>IF((B18*($B$26-($B$27-0.05*$B$27)-$B$60))&lt;0,0,B18*($B$26-($B$27-0.05*$B$27)-$B$60))</f>
        <v>2381.05551591724</v>
      </c>
      <c r="C36" s="34" t="s">
        <v>104</v>
      </c>
      <c r="D36" s="171"/>
    </row>
    <row r="37" spans="1:6">
      <c r="A37" s="168" t="s">
        <v>78</v>
      </c>
      <c r="B37" s="33">
        <f>B60</f>
        <v>21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8680.710724490893</v>
      </c>
      <c r="C5" s="17">
        <f>IF(ISERROR('Eigen informatie GS &amp; warmtenet'!B58),0,'Eigen informatie GS &amp; warmtenet'!B58)</f>
        <v>0</v>
      </c>
      <c r="D5" s="30">
        <f>SUM(D6:D12)</f>
        <v>3982.1712480000001</v>
      </c>
      <c r="E5" s="17">
        <f>SUM(E6:E12)</f>
        <v>144.15644024007551</v>
      </c>
      <c r="F5" s="17">
        <f>SUM(F6:F12)</f>
        <v>1585.7264673569464</v>
      </c>
      <c r="G5" s="18"/>
      <c r="H5" s="17"/>
      <c r="I5" s="17"/>
      <c r="J5" s="17">
        <f>SUM(J6:J12)</f>
        <v>0</v>
      </c>
      <c r="K5" s="17"/>
      <c r="L5" s="17"/>
      <c r="M5" s="17"/>
      <c r="N5" s="17">
        <f>SUM(N6:N12)</f>
        <v>218.55432397933507</v>
      </c>
      <c r="O5" s="17">
        <f>B38*B39*B40</f>
        <v>1.5633333333333335</v>
      </c>
      <c r="P5" s="17">
        <f>B46*B47*B48/1000-B46*B47*B48/1000/B49</f>
        <v>0</v>
      </c>
      <c r="R5" s="32"/>
    </row>
    <row r="6" spans="1:18">
      <c r="A6" s="32" t="s">
        <v>53</v>
      </c>
      <c r="B6" s="37">
        <f>B26</f>
        <v>1987.846</v>
      </c>
      <c r="C6" s="33"/>
      <c r="D6" s="37">
        <f>IF(ISERROR(TER_kantoor_gas_kWh/1000),0,TER_kantoor_gas_kWh/1000)*0.902</f>
        <v>1639.31735</v>
      </c>
      <c r="E6" s="33">
        <f>$C$26*'E Balans VL '!I12/100/3.6*1000000</f>
        <v>68.76359059627454</v>
      </c>
      <c r="F6" s="33">
        <f>$C$26*('E Balans VL '!L12+'E Balans VL '!N12)/100/3.6*1000000</f>
        <v>303.46579976242003</v>
      </c>
      <c r="G6" s="34"/>
      <c r="H6" s="33"/>
      <c r="I6" s="33"/>
      <c r="J6" s="33">
        <f>$C$26*('E Balans VL '!D12+'E Balans VL '!E12)/100/3.6*1000000</f>
        <v>0</v>
      </c>
      <c r="K6" s="33"/>
      <c r="L6" s="33"/>
      <c r="M6" s="33"/>
      <c r="N6" s="33">
        <f>$C$26*'E Balans VL '!Y12/100/3.6*1000000</f>
        <v>30.643591046277965</v>
      </c>
      <c r="O6" s="33"/>
      <c r="P6" s="33"/>
      <c r="R6" s="32"/>
    </row>
    <row r="7" spans="1:18">
      <c r="A7" s="32" t="s">
        <v>52</v>
      </c>
      <c r="B7" s="37">
        <f t="shared" ref="B7:B12" si="0">B27</f>
        <v>844.88400000000001</v>
      </c>
      <c r="C7" s="33"/>
      <c r="D7" s="37">
        <f>IF(ISERROR(TER_horeca_gas_kWh/1000),0,TER_horeca_gas_kWh/1000)*0.902</f>
        <v>304.26715000000002</v>
      </c>
      <c r="E7" s="33">
        <f>$C$27*'E Balans VL '!I9/100/3.6*1000000</f>
        <v>46.302327931338944</v>
      </c>
      <c r="F7" s="33">
        <f>$C$27*('E Balans VL '!L9+'E Balans VL '!N9)/100/3.6*1000000</f>
        <v>142.98263404257693</v>
      </c>
      <c r="G7" s="34"/>
      <c r="H7" s="33"/>
      <c r="I7" s="33"/>
      <c r="J7" s="33">
        <f>$C$27*('E Balans VL '!D9+'E Balans VL '!E9)/100/3.6*1000000</f>
        <v>0</v>
      </c>
      <c r="K7" s="33"/>
      <c r="L7" s="33"/>
      <c r="M7" s="33"/>
      <c r="N7" s="33">
        <f>$C$27*'E Balans VL '!Y9/100/3.6*1000000</f>
        <v>0</v>
      </c>
      <c r="O7" s="33"/>
      <c r="P7" s="33"/>
      <c r="R7" s="32"/>
    </row>
    <row r="8" spans="1:18">
      <c r="A8" s="6" t="s">
        <v>51</v>
      </c>
      <c r="B8" s="37">
        <f t="shared" si="0"/>
        <v>4595.366</v>
      </c>
      <c r="C8" s="33"/>
      <c r="D8" s="37">
        <f>IF(ISERROR(TER_handel_gas_kWh/1000),0,TER_handel_gas_kWh/1000)*0.902</f>
        <v>1313.8423760000001</v>
      </c>
      <c r="E8" s="33">
        <f>$C$28*'E Balans VL '!I13/100/3.6*1000000</f>
        <v>23.248741250190587</v>
      </c>
      <c r="F8" s="33">
        <f>$C$28*('E Balans VL '!L13+'E Balans VL '!N13)/100/3.6*1000000</f>
        <v>698.22992232497404</v>
      </c>
      <c r="G8" s="34"/>
      <c r="H8" s="33"/>
      <c r="I8" s="33"/>
      <c r="J8" s="33">
        <f>$C$28*('E Balans VL '!D13+'E Balans VL '!E13)/100/3.6*1000000</f>
        <v>0</v>
      </c>
      <c r="K8" s="33"/>
      <c r="L8" s="33"/>
      <c r="M8" s="33"/>
      <c r="N8" s="33">
        <f>$C$28*'E Balans VL '!Y13/100/3.6*1000000</f>
        <v>2.1489161562494132</v>
      </c>
      <c r="O8" s="33"/>
      <c r="P8" s="33"/>
      <c r="R8" s="32"/>
    </row>
    <row r="9" spans="1:18">
      <c r="A9" s="32" t="s">
        <v>50</v>
      </c>
      <c r="B9" s="37">
        <f t="shared" si="0"/>
        <v>229.566</v>
      </c>
      <c r="C9" s="33"/>
      <c r="D9" s="37">
        <f>IF(ISERROR(TER_gezond_gas_kWh/1000),0,TER_gezond_gas_kWh/1000)*0.902</f>
        <v>168.55764200000002</v>
      </c>
      <c r="E9" s="33">
        <f>$C$29*'E Balans VL '!I10/100/3.6*1000000</f>
        <v>8.3480679412124184E-2</v>
      </c>
      <c r="F9" s="33">
        <f>$C$29*('E Balans VL '!L10+'E Balans VL '!N10)/100/3.6*1000000</f>
        <v>49.603009231669922</v>
      </c>
      <c r="G9" s="34"/>
      <c r="H9" s="33"/>
      <c r="I9" s="33"/>
      <c r="J9" s="33">
        <f>$C$29*('E Balans VL '!D10+'E Balans VL '!E10)/100/3.6*1000000</f>
        <v>0</v>
      </c>
      <c r="K9" s="33"/>
      <c r="L9" s="33"/>
      <c r="M9" s="33"/>
      <c r="N9" s="33">
        <f>$C$29*'E Balans VL '!Y10/100/3.6*1000000</f>
        <v>1.740632307807563</v>
      </c>
      <c r="O9" s="33"/>
      <c r="P9" s="33"/>
      <c r="R9" s="32"/>
    </row>
    <row r="10" spans="1:18">
      <c r="A10" s="32" t="s">
        <v>49</v>
      </c>
      <c r="B10" s="37">
        <f t="shared" si="0"/>
        <v>878.90700000000004</v>
      </c>
      <c r="C10" s="33"/>
      <c r="D10" s="37">
        <f>IF(ISERROR(TER_ander_gas_kWh/1000),0,TER_ander_gas_kWh/1000)*0.902</f>
        <v>379.20711399999999</v>
      </c>
      <c r="E10" s="33">
        <f>$C$30*'E Balans VL '!I14/100/3.6*1000000</f>
        <v>5.3504770744815087</v>
      </c>
      <c r="F10" s="33">
        <f>$C$30*('E Balans VL '!L14+'E Balans VL '!N14)/100/3.6*1000000</f>
        <v>232.69012468147287</v>
      </c>
      <c r="G10" s="34"/>
      <c r="H10" s="33"/>
      <c r="I10" s="33"/>
      <c r="J10" s="33">
        <f>$C$30*('E Balans VL '!D14+'E Balans VL '!E14)/100/3.6*1000000</f>
        <v>0</v>
      </c>
      <c r="K10" s="33"/>
      <c r="L10" s="33"/>
      <c r="M10" s="33"/>
      <c r="N10" s="33">
        <f>$C$30*'E Balans VL '!Y14/100/3.6*1000000</f>
        <v>183.053534755524</v>
      </c>
      <c r="O10" s="33"/>
      <c r="P10" s="33"/>
      <c r="R10" s="32"/>
    </row>
    <row r="11" spans="1:18">
      <c r="A11" s="32" t="s">
        <v>54</v>
      </c>
      <c r="B11" s="37">
        <f t="shared" si="0"/>
        <v>132.80000000000001</v>
      </c>
      <c r="C11" s="33"/>
      <c r="D11" s="37">
        <f>IF(ISERROR(TER_onderwijs_gas_kWh/1000),0,TER_onderwijs_gas_kWh/1000)*0.902</f>
        <v>176.97961599999999</v>
      </c>
      <c r="E11" s="33">
        <f>$C$31*'E Balans VL '!I11/100/3.6*1000000</f>
        <v>0.16481629782000598</v>
      </c>
      <c r="F11" s="33">
        <f>$C$31*('E Balans VL '!L11+'E Balans VL '!N11)/100/3.6*1000000</f>
        <v>156.51175296380464</v>
      </c>
      <c r="G11" s="34"/>
      <c r="H11" s="33"/>
      <c r="I11" s="33"/>
      <c r="J11" s="33">
        <f>$C$31*('E Balans VL '!D11+'E Balans VL '!E11)/100/3.6*1000000</f>
        <v>0</v>
      </c>
      <c r="K11" s="33"/>
      <c r="L11" s="33"/>
      <c r="M11" s="33"/>
      <c r="N11" s="33">
        <f>$C$31*'E Balans VL '!Y11/100/3.6*1000000</f>
        <v>0.63742759691253581</v>
      </c>
      <c r="O11" s="33"/>
      <c r="P11" s="33"/>
      <c r="R11" s="32"/>
    </row>
    <row r="12" spans="1:18">
      <c r="A12" s="32" t="s">
        <v>249</v>
      </c>
      <c r="B12" s="37">
        <f t="shared" si="0"/>
        <v>11.3417244908933</v>
      </c>
      <c r="C12" s="33"/>
      <c r="D12" s="37">
        <f>IF(ISERROR(TER_rest_gas_kWh/1000),0,TER_rest_gas_kWh/1000)*0.902</f>
        <v>0</v>
      </c>
      <c r="E12" s="33">
        <f>$C$32*'E Balans VL '!I8/100/3.6*1000000</f>
        <v>0.24300641055777669</v>
      </c>
      <c r="F12" s="33">
        <f>$C$32*('E Balans VL '!L8+'E Balans VL '!N8)/100/3.6*1000000</f>
        <v>2.2432243500282851</v>
      </c>
      <c r="G12" s="34"/>
      <c r="H12" s="33"/>
      <c r="I12" s="33"/>
      <c r="J12" s="33">
        <f>$C$32*('E Balans VL '!D8+'E Balans VL '!E8)/100/3.6*1000000</f>
        <v>0</v>
      </c>
      <c r="K12" s="33"/>
      <c r="L12" s="33"/>
      <c r="M12" s="33"/>
      <c r="N12" s="33">
        <f>$C$32*'E Balans VL '!Y8/100/3.6*1000000</f>
        <v>0.33022211656360267</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8680.710724490893</v>
      </c>
      <c r="C16" s="21">
        <f ca="1">C5+C13+C14</f>
        <v>0</v>
      </c>
      <c r="D16" s="21">
        <f t="shared" ref="D16:N16" ca="1" si="1">MAX((D5+D13+D14),0)</f>
        <v>3982.1712480000001</v>
      </c>
      <c r="E16" s="21">
        <f t="shared" si="1"/>
        <v>144.15644024007551</v>
      </c>
      <c r="F16" s="21">
        <f t="shared" ca="1" si="1"/>
        <v>1585.7264673569464</v>
      </c>
      <c r="G16" s="21">
        <f t="shared" si="1"/>
        <v>0</v>
      </c>
      <c r="H16" s="21">
        <f t="shared" si="1"/>
        <v>0</v>
      </c>
      <c r="I16" s="21">
        <f t="shared" si="1"/>
        <v>0</v>
      </c>
      <c r="J16" s="21">
        <f t="shared" si="1"/>
        <v>0</v>
      </c>
      <c r="K16" s="21">
        <f t="shared" si="1"/>
        <v>0</v>
      </c>
      <c r="L16" s="21">
        <f t="shared" ca="1" si="1"/>
        <v>0</v>
      </c>
      <c r="M16" s="21">
        <f t="shared" si="1"/>
        <v>0</v>
      </c>
      <c r="N16" s="21">
        <f t="shared" ca="1" si="1"/>
        <v>218.55432397933507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0.2104120604107387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1826.5262293697251</v>
      </c>
      <c r="C20" s="23">
        <f t="shared" ref="C20:P20" ca="1" si="2">C16*C18</f>
        <v>0</v>
      </c>
      <c r="D20" s="23">
        <f t="shared" ca="1" si="2"/>
        <v>804.39859209600002</v>
      </c>
      <c r="E20" s="23">
        <f t="shared" si="2"/>
        <v>32.723511934497139</v>
      </c>
      <c r="F20" s="23">
        <f t="shared" ca="1" si="2"/>
        <v>423.38896678430473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1987.846</v>
      </c>
      <c r="C26" s="39">
        <f>IF(ISERROR(B26*3.6/1000000/'E Balans VL '!Z12*100),0,B26*3.6/1000000/'E Balans VL '!Z12*100)</f>
        <v>4.1338660355750463E-2</v>
      </c>
      <c r="D26" s="233" t="s">
        <v>676</v>
      </c>
      <c r="F26" s="6"/>
    </row>
    <row r="27" spans="1:18">
      <c r="A27" s="228" t="s">
        <v>52</v>
      </c>
      <c r="B27" s="33">
        <f>IF(ISERROR(TER_horeca_ele_kWh/1000),0,TER_horeca_ele_kWh/1000)</f>
        <v>844.88400000000001</v>
      </c>
      <c r="C27" s="39">
        <f>IF(ISERROR(B27*3.6/1000000/'E Balans VL '!Z9*100),0,B27*3.6/1000000/'E Balans VL '!Z9*100)</f>
        <v>6.9492308571844408E-2</v>
      </c>
      <c r="D27" s="233" t="s">
        <v>676</v>
      </c>
      <c r="F27" s="6"/>
    </row>
    <row r="28" spans="1:18">
      <c r="A28" s="168" t="s">
        <v>51</v>
      </c>
      <c r="B28" s="33">
        <f>IF(ISERROR(TER_handel_ele_kWh/1000),0,TER_handel_ele_kWh/1000)</f>
        <v>4595.366</v>
      </c>
      <c r="C28" s="39">
        <f>IF(ISERROR(B28*3.6/1000000/'E Balans VL '!Z13*100),0,B28*3.6/1000000/'E Balans VL '!Z13*100)</f>
        <v>0.1271988325100353</v>
      </c>
      <c r="D28" s="233" t="s">
        <v>676</v>
      </c>
      <c r="F28" s="6"/>
    </row>
    <row r="29" spans="1:18">
      <c r="A29" s="228" t="s">
        <v>50</v>
      </c>
      <c r="B29" s="33">
        <f>IF(ISERROR(TER_gezond_ele_kWh/1000),0,TER_gezond_ele_kWh/1000)</f>
        <v>229.566</v>
      </c>
      <c r="C29" s="39">
        <f>IF(ISERROR(B29*3.6/1000000/'E Balans VL '!Z10*100),0,B29*3.6/1000000/'E Balans VL '!Z10*100)</f>
        <v>2.6180336024156686E-2</v>
      </c>
      <c r="D29" s="233" t="s">
        <v>676</v>
      </c>
      <c r="F29" s="6"/>
    </row>
    <row r="30" spans="1:18">
      <c r="A30" s="228" t="s">
        <v>49</v>
      </c>
      <c r="B30" s="33">
        <f>IF(ISERROR(TER_ander_ele_kWh/1000),0,TER_ander_ele_kWh/1000)</f>
        <v>878.90700000000004</v>
      </c>
      <c r="C30" s="39">
        <f>IF(ISERROR(B30*3.6/1000000/'E Balans VL '!Z14*100),0,B30*3.6/1000000/'E Balans VL '!Z14*100)</f>
        <v>6.8029785857757125E-2</v>
      </c>
      <c r="D30" s="233" t="s">
        <v>676</v>
      </c>
      <c r="F30" s="6"/>
    </row>
    <row r="31" spans="1:18">
      <c r="A31" s="228" t="s">
        <v>54</v>
      </c>
      <c r="B31" s="33">
        <f>IF(ISERROR(TER_onderwijs_ele_kWh/1000),0,TER_onderwijs_ele_kWh/1000)</f>
        <v>132.80000000000001</v>
      </c>
      <c r="C31" s="39">
        <f>IF(ISERROR(B31*3.6/1000000/'E Balans VL '!Z11*100),0,B31*3.6/1000000/'E Balans VL '!Z11*100)</f>
        <v>4.1377967991725793E-2</v>
      </c>
      <c r="D31" s="233" t="s">
        <v>676</v>
      </c>
    </row>
    <row r="32" spans="1:18">
      <c r="A32" s="228" t="s">
        <v>249</v>
      </c>
      <c r="B32" s="33">
        <f>IF(ISERROR(TER_rest_ele_kWh/1000),0,TER_rest_ele_kWh/1000)</f>
        <v>11.3417244908933</v>
      </c>
      <c r="C32" s="39">
        <f>IF(ISERROR(B32*3.6/1000000/'E Balans VL '!Z8*100),0,B32*3.6/1000000/'E Balans VL '!Z8*100)</f>
        <v>9.3524764091176935E-5</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1268.1579999999999</v>
      </c>
      <c r="C5" s="17">
        <f>IF(ISERROR('Eigen informatie GS &amp; warmtenet'!B59),0,'Eigen informatie GS &amp; warmtenet'!B59)</f>
        <v>0</v>
      </c>
      <c r="D5" s="30">
        <f>SUM(D6:D15)</f>
        <v>676.76609000000008</v>
      </c>
      <c r="E5" s="17">
        <f>SUM(E6:E15)</f>
        <v>17.767954984927055</v>
      </c>
      <c r="F5" s="17">
        <f>SUM(F6:F15)</f>
        <v>714.48289331943931</v>
      </c>
      <c r="G5" s="18"/>
      <c r="H5" s="17"/>
      <c r="I5" s="17"/>
      <c r="J5" s="17">
        <f>SUM(J6:J15)</f>
        <v>2.9068411718632934</v>
      </c>
      <c r="K5" s="17"/>
      <c r="L5" s="17"/>
      <c r="M5" s="17"/>
      <c r="N5" s="17">
        <f>SUM(N6:N15)</f>
        <v>67.118111160755632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51.271999999999998</v>
      </c>
      <c r="C8" s="33"/>
      <c r="D8" s="37">
        <f>IF( ISERROR(IND_metaal_Gas_kWH/1000),0,IND_metaal_Gas_kWH/1000)*0.902</f>
        <v>188.403446</v>
      </c>
      <c r="E8" s="33">
        <f>C30*'E Balans VL '!I18/100/3.6*1000000</f>
        <v>0.36027703134634492</v>
      </c>
      <c r="F8" s="33">
        <f>C30*'E Balans VL '!L18/100/3.6*1000000+C30*'E Balans VL '!N18/100/3.6*1000000</f>
        <v>5.6293656292743206</v>
      </c>
      <c r="G8" s="34"/>
      <c r="H8" s="33"/>
      <c r="I8" s="33"/>
      <c r="J8" s="40">
        <f>C30*'E Balans VL '!D18/100/3.6*1000000+C30*'E Balans VL '!E18/100/3.6*1000000</f>
        <v>1.0578518712469549</v>
      </c>
      <c r="K8" s="33"/>
      <c r="L8" s="33"/>
      <c r="M8" s="33"/>
      <c r="N8" s="33">
        <f>C30*'E Balans VL '!Y18/100/3.6*1000000</f>
        <v>0.19217114860547924</v>
      </c>
      <c r="O8" s="33"/>
      <c r="P8" s="33"/>
      <c r="R8" s="32"/>
    </row>
    <row r="9" spans="1:18">
      <c r="A9" s="6" t="s">
        <v>32</v>
      </c>
      <c r="B9" s="37">
        <f t="shared" si="0"/>
        <v>822.53399999999999</v>
      </c>
      <c r="C9" s="33"/>
      <c r="D9" s="37">
        <f>IF( ISERROR(IND_andere_gas_kWh/1000),0,IND_andere_gas_kWh/1000)*0.902</f>
        <v>198.624008</v>
      </c>
      <c r="E9" s="33">
        <f>C31*'E Balans VL '!I19/100/3.6*1000000</f>
        <v>13.815466166322039</v>
      </c>
      <c r="F9" s="33">
        <f>C31*'E Balans VL '!L19/100/3.6*1000000+C31*'E Balans VL '!N19/100/3.6*1000000</f>
        <v>643.01023316138946</v>
      </c>
      <c r="G9" s="34"/>
      <c r="H9" s="33"/>
      <c r="I9" s="33"/>
      <c r="J9" s="40">
        <f>C31*'E Balans VL '!D19/100/3.6*1000000+C31*'E Balans VL '!E19/100/3.6*1000000</f>
        <v>7.4185305975777383E-2</v>
      </c>
      <c r="K9" s="33"/>
      <c r="L9" s="33"/>
      <c r="M9" s="33"/>
      <c r="N9" s="33">
        <f>C31*'E Balans VL '!Y19/100/3.6*1000000</f>
        <v>60.96296579625534</v>
      </c>
      <c r="O9" s="33"/>
      <c r="P9" s="33"/>
      <c r="R9" s="32"/>
    </row>
    <row r="10" spans="1:18">
      <c r="A10" s="6" t="s">
        <v>40</v>
      </c>
      <c r="B10" s="37">
        <f t="shared" si="0"/>
        <v>336.75299999999999</v>
      </c>
      <c r="C10" s="33"/>
      <c r="D10" s="37">
        <f>IF( ISERROR(IND_voed_gas_kWh/1000),0,IND_voed_gas_kWh/1000)*0.902</f>
        <v>0</v>
      </c>
      <c r="E10" s="33">
        <f>C32*'E Balans VL '!I20/100/3.6*1000000</f>
        <v>3.072394434297578</v>
      </c>
      <c r="F10" s="33">
        <f>C32*'E Balans VL '!L20/100/3.6*1000000+C32*'E Balans VL '!N20/100/3.6*1000000</f>
        <v>54.328791917426358</v>
      </c>
      <c r="G10" s="34"/>
      <c r="H10" s="33"/>
      <c r="I10" s="33"/>
      <c r="J10" s="40">
        <f>C32*'E Balans VL '!D20/100/3.6*1000000+C32*'E Balans VL '!E20/100/3.6*1000000</f>
        <v>1.3869696399539619</v>
      </c>
      <c r="K10" s="33"/>
      <c r="L10" s="33"/>
      <c r="M10" s="33"/>
      <c r="N10" s="33">
        <f>C32*'E Balans VL '!Y20/100/3.6*1000000</f>
        <v>4.9264308528069147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57.598999999999997</v>
      </c>
      <c r="C15" s="33"/>
      <c r="D15" s="37">
        <f>IF( ISERROR(IND_rest_gas_kWh/1000),0,IND_rest_gas_kWh/1000)*0.902</f>
        <v>289.73863600000004</v>
      </c>
      <c r="E15" s="33">
        <f>C37*'E Balans VL '!I15/100/3.6*1000000</f>
        <v>0.5198173529610961</v>
      </c>
      <c r="F15" s="33">
        <f>C37*'E Balans VL '!L15/100/3.6*1000000+C37*'E Balans VL '!N15/100/3.6*1000000</f>
        <v>11.514502611349283</v>
      </c>
      <c r="G15" s="34"/>
      <c r="H15" s="33"/>
      <c r="I15" s="33"/>
      <c r="J15" s="40">
        <f>C37*'E Balans VL '!D15/100/3.6*1000000+C37*'E Balans VL '!E15/100/3.6*1000000</f>
        <v>0.38783435468659894</v>
      </c>
      <c r="K15" s="33"/>
      <c r="L15" s="33"/>
      <c r="M15" s="33"/>
      <c r="N15" s="33">
        <f>C37*'E Balans VL '!Y15/100/3.6*1000000</f>
        <v>1.0365433630879008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1268.1579999999999</v>
      </c>
      <c r="C18" s="21">
        <f>C5+C16</f>
        <v>0</v>
      </c>
      <c r="D18" s="21">
        <f>MAX((D5+D16),0)</f>
        <v>676.76609000000008</v>
      </c>
      <c r="E18" s="21">
        <f>MAX((E5+E16),0)</f>
        <v>17.767954984927055</v>
      </c>
      <c r="F18" s="21">
        <f>MAX((F5+F16),0)</f>
        <v>714.48289331943931</v>
      </c>
      <c r="G18" s="21"/>
      <c r="H18" s="21"/>
      <c r="I18" s="21"/>
      <c r="J18" s="21">
        <f>MAX((J5+J16),0)</f>
        <v>2.9068411718632934</v>
      </c>
      <c r="K18" s="21"/>
      <c r="L18" s="21">
        <f>MAX((L5+L16),0)</f>
        <v>0</v>
      </c>
      <c r="M18" s="21"/>
      <c r="N18" s="21">
        <f>MAX((N5+N16),0)</f>
        <v>67.118111160755632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0.2104120604107387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266.83573770636156</v>
      </c>
      <c r="C22" s="23">
        <f ca="1">C18*C20</f>
        <v>0</v>
      </c>
      <c r="D22" s="23">
        <f>D18*D20</f>
        <v>136.70675018000003</v>
      </c>
      <c r="E22" s="23">
        <f>E18*E20</f>
        <v>4.0333257815784416</v>
      </c>
      <c r="F22" s="23">
        <f>F18*F20</f>
        <v>190.7669325162903</v>
      </c>
      <c r="G22" s="23"/>
      <c r="H22" s="23"/>
      <c r="I22" s="23"/>
      <c r="J22" s="23">
        <f>J18*J20</f>
        <v>1.0290217748396058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51.271999999999998</v>
      </c>
      <c r="C30" s="39">
        <f>IF(ISERROR(B30*3.6/1000000/'E Balans VL '!Z18*100),0,B30*3.6/1000000/'E Balans VL '!Z18*100)</f>
        <v>3.4132083493068643E-3</v>
      </c>
      <c r="D30" s="233" t="s">
        <v>676</v>
      </c>
    </row>
    <row r="31" spans="1:18">
      <c r="A31" s="6" t="s">
        <v>32</v>
      </c>
      <c r="B31" s="37">
        <f>IF( ISERROR(IND_ander_ele_kWh/1000),0,IND_ander_ele_kWh/1000)</f>
        <v>822.53399999999999</v>
      </c>
      <c r="C31" s="39">
        <f>IF(ISERROR(B31*3.6/1000000/'E Balans VL '!Z19*100),0,B31*3.6/1000000/'E Balans VL '!Z19*100)</f>
        <v>3.6459672561474213E-2</v>
      </c>
      <c r="D31" s="233" t="s">
        <v>676</v>
      </c>
    </row>
    <row r="32" spans="1:18">
      <c r="A32" s="168" t="s">
        <v>40</v>
      </c>
      <c r="B32" s="37">
        <f>IF( ISERROR(IND_voed_ele_kWh/1000),0,IND_voed_ele_kWh/1000)</f>
        <v>336.75299999999999</v>
      </c>
      <c r="C32" s="39">
        <f>IF(ISERROR(B32*3.6/1000000/'E Balans VL '!Z20*100),0,B32*3.6/1000000/'E Balans VL '!Z20*100)</f>
        <v>1.1248516219329664E-2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57.598999999999997</v>
      </c>
      <c r="C37" s="39">
        <f>IF(ISERROR(B37*3.6/1000000/'E Balans VL '!Z15*100),0,B37*3.6/1000000/'E Balans VL '!Z15*100)</f>
        <v>4.284427232022712E-4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900.14599999999996</v>
      </c>
      <c r="C5" s="17">
        <f>'Eigen informatie GS &amp; warmtenet'!B60</f>
        <v>0</v>
      </c>
      <c r="D5" s="30">
        <f>IF(ISERROR(SUM(LB_lb_gas_kWh,LB_rest_gas_kWh)/1000),0,SUM(LB_lb_gas_kWh,LB_rest_gas_kWh)/1000)*0.902</f>
        <v>296.50904800000001</v>
      </c>
      <c r="E5" s="17">
        <f>B17*'E Balans VL '!I25/3.6*1000000/100</f>
        <v>8.1114576446041529</v>
      </c>
      <c r="F5" s="17">
        <f>B17*('E Balans VL '!L25/3.6*1000000+'E Balans VL '!N25/3.6*1000000)/100</f>
        <v>3372.8745155439105</v>
      </c>
      <c r="G5" s="18"/>
      <c r="H5" s="17"/>
      <c r="I5" s="17"/>
      <c r="J5" s="17">
        <f>('E Balans VL '!D25+'E Balans VL '!E25)/3.6*1000000*landbouw!B17/100</f>
        <v>91.091052300099548</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900.14599999999996</v>
      </c>
      <c r="C8" s="21">
        <f>C5+C6</f>
        <v>0</v>
      </c>
      <c r="D8" s="21">
        <f>MAX((D5+D6),0)</f>
        <v>296.50904800000001</v>
      </c>
      <c r="E8" s="21">
        <f>MAX((E5+E6),0)</f>
        <v>8.1114576446041529</v>
      </c>
      <c r="F8" s="21">
        <f>MAX((F5+F6),0)</f>
        <v>3372.8745155439105</v>
      </c>
      <c r="G8" s="21"/>
      <c r="H8" s="21"/>
      <c r="I8" s="21"/>
      <c r="J8" s="21">
        <f>MAX((J5+J6),0)</f>
        <v>91.091052300099548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0.2104120604107387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189.40157453048479</v>
      </c>
      <c r="C12" s="23">
        <f ca="1">C8*C10</f>
        <v>0</v>
      </c>
      <c r="D12" s="23">
        <f>D8*D10</f>
        <v>59.894827696000007</v>
      </c>
      <c r="E12" s="23">
        <f>E8*E10</f>
        <v>1.8413008853251427</v>
      </c>
      <c r="F12" s="23">
        <f>F8*F10</f>
        <v>900.55749565022415</v>
      </c>
      <c r="G12" s="23"/>
      <c r="H12" s="23"/>
      <c r="I12" s="23"/>
      <c r="J12" s="23">
        <f>J8*J10</f>
        <v>32.246232514235238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0.13854984542886301</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114.60000424035809</v>
      </c>
      <c r="C26" s="243">
        <f>B26*'GWP N2O_CH4'!B5</f>
        <v>2406.6000890475198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42.229130771950381</v>
      </c>
      <c r="C27" s="243">
        <f>B27*'GWP N2O_CH4'!B5</f>
        <v>886.81174621095795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1.8282229534989858</v>
      </c>
      <c r="C28" s="243">
        <f>B28*'GWP N2O_CH4'!B4</f>
        <v>566.74911558468557</v>
      </c>
      <c r="D28" s="50"/>
    </row>
    <row r="29" spans="1:4">
      <c r="A29" s="41" t="s">
        <v>266</v>
      </c>
      <c r="B29" s="243">
        <f>B34*'ha_N2O bodem landbouw'!B4</f>
        <v>12.129589428986481</v>
      </c>
      <c r="C29" s="243">
        <f>B29*'GWP N2O_CH4'!B4</f>
        <v>3760.1727229858093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3.1492176023124002E-3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4.7441992872945717E-6</v>
      </c>
      <c r="C5" s="431" t="s">
        <v>204</v>
      </c>
      <c r="D5" s="416">
        <f>SUM(D6:D11)</f>
        <v>1.6045305739171298E-5</v>
      </c>
      <c r="E5" s="416">
        <f>SUM(E6:E11)</f>
        <v>1.744643439110558E-3</v>
      </c>
      <c r="F5" s="429" t="s">
        <v>204</v>
      </c>
      <c r="G5" s="416">
        <f>SUM(G6:G11)</f>
        <v>0.32536584554216513</v>
      </c>
      <c r="H5" s="416">
        <f>SUM(H6:H11)</f>
        <v>5.6004053046392159E-2</v>
      </c>
      <c r="I5" s="431" t="s">
        <v>204</v>
      </c>
      <c r="J5" s="431" t="s">
        <v>204</v>
      </c>
      <c r="K5" s="431" t="s">
        <v>204</v>
      </c>
      <c r="L5" s="431" t="s">
        <v>204</v>
      </c>
      <c r="M5" s="416">
        <f>SUM(M6:M11)</f>
        <v>1.6594082877241744E-2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2.3378264000215853E-6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7.3792949461842499E-6</v>
      </c>
      <c r="E6" s="419">
        <f>vkm_GW_PW*SUMIFS(TableVerdeelsleutelVkm[LPG],TableVerdeelsleutelVkm[Voertuigtype],"Lichte voertuigen")*SUMIFS(TableECFTransport[EnergieConsumptieFactor (PJ per km)],TableECFTransport[Index],CONCATENATE($A6,"_LPG_LPG"))</f>
        <v>7.6640222726634356E-4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0.10230127965841325</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2.5693672938029162E-2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5.5896081724461861E-3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1.2309132291277597E-7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5.5486556082902233E-2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1.6326560402054854E-6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2.3903899092272626E-3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8.2713197087436312E-7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4.4281715615079757E-6</v>
      </c>
      <c r="E8" s="419">
        <f>vkm_NGW_PW*SUMIFS(TableVerdeelsleutelVkm[LPG],TableVerdeelsleutelVkm[Voertuigtype],"Lichte voertuigen")*SUMIFS(TableECFTransport[EnergieConsumptieFactor (PJ per km)],TableECFTransport[Index],CONCATENATE($A8,"_LPG_LPG"))</f>
        <v>4.3285439712156338E-4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5.4963789972964514E-2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1.4561921850819327E-2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3.0380084124916637E-3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1.4349251040106711E-8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8.9595991668131106E-3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2.2972747545284113E-7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3.8598266626267382E-4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1.3589542141668779E-6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4.2378392314790751E-6</v>
      </c>
      <c r="E10" s="419">
        <f>vkm_SW_PW*SUMIFS(TableVerdeelsleutelVkm[LPG],TableVerdeelsleutelVkm[Voertuigtype],"Lichte voertuigen")*SUMIFS(TableECFTransport[EnergieConsumptieFactor (PJ per km)],TableECFTransport[Index],CONCATENATE($A10,"_LPG_LPG"))</f>
        <v>5.4538681472265091E-4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6.7619802152546135E-2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1.5745464854986999E-2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3.6376915995831763E-3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8.2846128278862332E-8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3.603481850852587E-2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1.1310190410154873E-6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1.5524021172307826E-3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1.3178331353596033</v>
      </c>
      <c r="C14" s="21"/>
      <c r="D14" s="21">
        <f t="shared" ref="D14:M14" si="0">((D5)*10^9/3600)+D12</f>
        <v>4.4570293719920269</v>
      </c>
      <c r="E14" s="21">
        <f t="shared" si="0"/>
        <v>484.62317753071056</v>
      </c>
      <c r="F14" s="21"/>
      <c r="G14" s="21">
        <f t="shared" si="0"/>
        <v>90379.401539490325</v>
      </c>
      <c r="H14" s="21">
        <f t="shared" si="0"/>
        <v>15556.681401775599</v>
      </c>
      <c r="I14" s="21"/>
      <c r="J14" s="21"/>
      <c r="K14" s="21"/>
      <c r="L14" s="21"/>
      <c r="M14" s="21">
        <f t="shared" si="0"/>
        <v>4609.4674659004841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0.2104120604107387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0.27728798528855808</v>
      </c>
      <c r="C18" s="23"/>
      <c r="D18" s="23">
        <f t="shared" ref="D18:M18" si="1">D14*D16</f>
        <v>0.90031993314238945</v>
      </c>
      <c r="E18" s="23">
        <f t="shared" si="1"/>
        <v>110.0094612994713</v>
      </c>
      <c r="F18" s="23"/>
      <c r="G18" s="23">
        <f t="shared" si="1"/>
        <v>24131.300211043919</v>
      </c>
      <c r="H18" s="23">
        <f t="shared" si="1"/>
        <v>3873.613669042124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3.993476277123852E-5</v>
      </c>
      <c r="C50" s="313">
        <f t="shared" ref="C50:P50" si="2">SUM(C51:C52)</f>
        <v>0</v>
      </c>
      <c r="D50" s="313">
        <f t="shared" si="2"/>
        <v>0</v>
      </c>
      <c r="E50" s="313">
        <f t="shared" si="2"/>
        <v>0</v>
      </c>
      <c r="F50" s="313">
        <f t="shared" si="2"/>
        <v>0</v>
      </c>
      <c r="G50" s="313">
        <f t="shared" si="2"/>
        <v>8.6634458438585617E-3</v>
      </c>
      <c r="H50" s="313">
        <f t="shared" si="2"/>
        <v>0</v>
      </c>
      <c r="I50" s="313">
        <f t="shared" si="2"/>
        <v>0</v>
      </c>
      <c r="J50" s="313">
        <f t="shared" si="2"/>
        <v>0</v>
      </c>
      <c r="K50" s="313">
        <f t="shared" si="2"/>
        <v>0</v>
      </c>
      <c r="L50" s="313">
        <f t="shared" si="2"/>
        <v>0</v>
      </c>
      <c r="M50" s="313">
        <f t="shared" si="2"/>
        <v>3.7093547258109906E-4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3.993476277123852E-5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8.6634458438585617E-3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3.7093547258109906E-4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11.092989658677368</v>
      </c>
      <c r="C54" s="21">
        <f t="shared" ref="C54:P54" si="3">(C50)*10^9/3600</f>
        <v>0</v>
      </c>
      <c r="D54" s="21">
        <f t="shared" si="3"/>
        <v>0</v>
      </c>
      <c r="E54" s="21">
        <f t="shared" si="3"/>
        <v>0</v>
      </c>
      <c r="F54" s="21">
        <f t="shared" si="3"/>
        <v>0</v>
      </c>
      <c r="G54" s="21">
        <f t="shared" si="3"/>
        <v>2406.5127344051562</v>
      </c>
      <c r="H54" s="21">
        <f t="shared" si="3"/>
        <v>0</v>
      </c>
      <c r="I54" s="21">
        <f t="shared" si="3"/>
        <v>0</v>
      </c>
      <c r="J54" s="21">
        <f t="shared" si="3"/>
        <v>0</v>
      </c>
      <c r="K54" s="21">
        <f t="shared" si="3"/>
        <v>0</v>
      </c>
      <c r="L54" s="21">
        <f t="shared" si="3"/>
        <v>0</v>
      </c>
      <c r="M54" s="21">
        <f t="shared" si="3"/>
        <v>103.03763127252752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0.2104120604107387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2.3340988101973221</v>
      </c>
      <c r="C58" s="23">
        <f t="shared" ref="C58:P58" ca="1" si="4">C54*C56</f>
        <v>0</v>
      </c>
      <c r="D58" s="23">
        <f t="shared" si="4"/>
        <v>0</v>
      </c>
      <c r="E58" s="23">
        <f t="shared" si="4"/>
        <v>0</v>
      </c>
      <c r="F58" s="23">
        <f t="shared" si="4"/>
        <v>0</v>
      </c>
      <c r="G58" s="23">
        <f t="shared" si="4"/>
        <v>642.53890008617668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1660.0538242555892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1660.0538242555892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9316.362724490893</v>
      </c>
      <c r="D10" s="635">
        <f ca="1">tertiair!C16</f>
        <v>0</v>
      </c>
      <c r="E10" s="635">
        <f ca="1">tertiair!D16</f>
        <v>3982.1712480000001</v>
      </c>
      <c r="F10" s="635">
        <f>tertiair!E16</f>
        <v>144.15644024007551</v>
      </c>
      <c r="G10" s="635">
        <f ca="1">tertiair!F16</f>
        <v>1585.7264673569464</v>
      </c>
      <c r="H10" s="635">
        <f>tertiair!G16</f>
        <v>0</v>
      </c>
      <c r="I10" s="635">
        <f>tertiair!H16</f>
        <v>0</v>
      </c>
      <c r="J10" s="635">
        <f>tertiair!I16</f>
        <v>0</v>
      </c>
      <c r="K10" s="635">
        <f>tertiair!J16</f>
        <v>0</v>
      </c>
      <c r="L10" s="635">
        <f>tertiair!K16</f>
        <v>0</v>
      </c>
      <c r="M10" s="635">
        <f ca="1">tertiair!L16</f>
        <v>0</v>
      </c>
      <c r="N10" s="635">
        <f>tertiair!M16</f>
        <v>0</v>
      </c>
      <c r="O10" s="635">
        <f ca="1">tertiair!N16</f>
        <v>218.55432397933507</v>
      </c>
      <c r="P10" s="635">
        <f>tertiair!O16</f>
        <v>1.5633333333333335</v>
      </c>
      <c r="Q10" s="636">
        <f>tertiair!P16</f>
        <v>0</v>
      </c>
      <c r="R10" s="638">
        <f ca="1">SUM(C10:Q10)</f>
        <v>15248.534537400585</v>
      </c>
      <c r="S10" s="67"/>
    </row>
    <row r="11" spans="1:19" s="441" customFormat="1">
      <c r="A11" s="749" t="s">
        <v>214</v>
      </c>
      <c r="B11" s="754"/>
      <c r="C11" s="635">
        <f>huishoudens!B8</f>
        <v>20713.503467011898</v>
      </c>
      <c r="D11" s="635">
        <f>huishoudens!C8</f>
        <v>0</v>
      </c>
      <c r="E11" s="635">
        <f>huishoudens!D8</f>
        <v>16144.09071</v>
      </c>
      <c r="F11" s="635">
        <f>huishoudens!E8</f>
        <v>1578.4706471826371</v>
      </c>
      <c r="G11" s="635">
        <f>huishoudens!F8</f>
        <v>53880.141579400079</v>
      </c>
      <c r="H11" s="635">
        <f>huishoudens!G8</f>
        <v>0</v>
      </c>
      <c r="I11" s="635">
        <f>huishoudens!H8</f>
        <v>0</v>
      </c>
      <c r="J11" s="635">
        <f>huishoudens!I8</f>
        <v>0</v>
      </c>
      <c r="K11" s="635">
        <f>huishoudens!J8</f>
        <v>1213.2441867357261</v>
      </c>
      <c r="L11" s="635">
        <f>huishoudens!K8</f>
        <v>0</v>
      </c>
      <c r="M11" s="635">
        <f>huishoudens!L8</f>
        <v>0</v>
      </c>
      <c r="N11" s="635">
        <f>huishoudens!M8</f>
        <v>0</v>
      </c>
      <c r="O11" s="635">
        <f>huishoudens!N8</f>
        <v>5592.3201303934457</v>
      </c>
      <c r="P11" s="635">
        <f>huishoudens!O8</f>
        <v>37.520000000000003</v>
      </c>
      <c r="Q11" s="636">
        <f>huishoudens!P8</f>
        <v>400.4</v>
      </c>
      <c r="R11" s="638">
        <f>SUM(C11:Q11)</f>
        <v>99559.690720723782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1268.1579999999999</v>
      </c>
      <c r="D13" s="635">
        <f>industrie!C18</f>
        <v>0</v>
      </c>
      <c r="E13" s="635">
        <f>industrie!D18</f>
        <v>676.76609000000008</v>
      </c>
      <c r="F13" s="635">
        <f>industrie!E18</f>
        <v>17.767954984927055</v>
      </c>
      <c r="G13" s="635">
        <f>industrie!F18</f>
        <v>714.48289331943931</v>
      </c>
      <c r="H13" s="635">
        <f>industrie!G18</f>
        <v>0</v>
      </c>
      <c r="I13" s="635">
        <f>industrie!H18</f>
        <v>0</v>
      </c>
      <c r="J13" s="635">
        <f>industrie!I18</f>
        <v>0</v>
      </c>
      <c r="K13" s="635">
        <f>industrie!J18</f>
        <v>2.9068411718632934</v>
      </c>
      <c r="L13" s="635">
        <f>industrie!K18</f>
        <v>0</v>
      </c>
      <c r="M13" s="635">
        <f>industrie!L18</f>
        <v>0</v>
      </c>
      <c r="N13" s="635">
        <f>industrie!M18</f>
        <v>0</v>
      </c>
      <c r="O13" s="635">
        <f>industrie!N18</f>
        <v>67.118111160755632</v>
      </c>
      <c r="P13" s="635">
        <f>industrie!O18</f>
        <v>0</v>
      </c>
      <c r="Q13" s="636">
        <f>industrie!P18</f>
        <v>0</v>
      </c>
      <c r="R13" s="638">
        <f>SUM(C13:Q13)</f>
        <v>2747.1998906369849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31298.024191502791</v>
      </c>
      <c r="D16" s="668">
        <f t="shared" ref="D16:R16" ca="1" si="0">SUM(D9:D15)</f>
        <v>0</v>
      </c>
      <c r="E16" s="668">
        <f t="shared" ca="1" si="0"/>
        <v>20803.028048</v>
      </c>
      <c r="F16" s="668">
        <f t="shared" si="0"/>
        <v>1740.3950424076395</v>
      </c>
      <c r="G16" s="668">
        <f t="shared" ca="1" si="0"/>
        <v>56180.35094007646</v>
      </c>
      <c r="H16" s="668">
        <f t="shared" si="0"/>
        <v>0</v>
      </c>
      <c r="I16" s="668">
        <f t="shared" si="0"/>
        <v>0</v>
      </c>
      <c r="J16" s="668">
        <f t="shared" si="0"/>
        <v>0</v>
      </c>
      <c r="K16" s="668">
        <f t="shared" si="0"/>
        <v>1216.1510279075894</v>
      </c>
      <c r="L16" s="668">
        <f t="shared" si="0"/>
        <v>0</v>
      </c>
      <c r="M16" s="668">
        <f t="shared" ca="1" si="0"/>
        <v>0</v>
      </c>
      <c r="N16" s="668">
        <f t="shared" si="0"/>
        <v>0</v>
      </c>
      <c r="O16" s="668">
        <f t="shared" ca="1" si="0"/>
        <v>5877.9925655335364</v>
      </c>
      <c r="P16" s="668">
        <f t="shared" si="0"/>
        <v>39.083333333333336</v>
      </c>
      <c r="Q16" s="668">
        <f t="shared" si="0"/>
        <v>400.4</v>
      </c>
      <c r="R16" s="668">
        <f t="shared" ca="1" si="0"/>
        <v>117555.42514876135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11.092989658677368</v>
      </c>
      <c r="D19" s="635">
        <f>transport!C54</f>
        <v>0</v>
      </c>
      <c r="E19" s="635">
        <f>transport!D54</f>
        <v>0</v>
      </c>
      <c r="F19" s="635">
        <f>transport!E54</f>
        <v>0</v>
      </c>
      <c r="G19" s="635">
        <f>transport!F54</f>
        <v>0</v>
      </c>
      <c r="H19" s="635">
        <f>transport!G54</f>
        <v>2406.5127344051562</v>
      </c>
      <c r="I19" s="635">
        <f>transport!H54</f>
        <v>0</v>
      </c>
      <c r="J19" s="635">
        <f>transport!I54</f>
        <v>0</v>
      </c>
      <c r="K19" s="635">
        <f>transport!J54</f>
        <v>0</v>
      </c>
      <c r="L19" s="635">
        <f>transport!K54</f>
        <v>0</v>
      </c>
      <c r="M19" s="635">
        <f>transport!L54</f>
        <v>0</v>
      </c>
      <c r="N19" s="635">
        <f>transport!M54</f>
        <v>103.03763127252752</v>
      </c>
      <c r="O19" s="635">
        <f>transport!N54</f>
        <v>0</v>
      </c>
      <c r="P19" s="635">
        <f>transport!O54</f>
        <v>0</v>
      </c>
      <c r="Q19" s="636">
        <f>transport!P54</f>
        <v>0</v>
      </c>
      <c r="R19" s="638">
        <f>SUM(C19:Q19)</f>
        <v>2520.6433553363609</v>
      </c>
      <c r="S19" s="67"/>
    </row>
    <row r="20" spans="1:19" s="441" customFormat="1">
      <c r="A20" s="749" t="s">
        <v>296</v>
      </c>
      <c r="B20" s="754"/>
      <c r="C20" s="635">
        <f>transport!B14</f>
        <v>1.3178331353596033</v>
      </c>
      <c r="D20" s="635">
        <f>transport!C14</f>
        <v>0</v>
      </c>
      <c r="E20" s="635">
        <f>transport!D14</f>
        <v>4.4570293719920269</v>
      </c>
      <c r="F20" s="635">
        <f>transport!E14</f>
        <v>484.62317753071056</v>
      </c>
      <c r="G20" s="635">
        <f>transport!F14</f>
        <v>0</v>
      </c>
      <c r="H20" s="635">
        <f>transport!G14</f>
        <v>90379.401539490325</v>
      </c>
      <c r="I20" s="635">
        <f>transport!H14</f>
        <v>15556.681401775599</v>
      </c>
      <c r="J20" s="635">
        <f>transport!I14</f>
        <v>0</v>
      </c>
      <c r="K20" s="635">
        <f>transport!J14</f>
        <v>0</v>
      </c>
      <c r="L20" s="635">
        <f>transport!K14</f>
        <v>0</v>
      </c>
      <c r="M20" s="635">
        <f>transport!L14</f>
        <v>0</v>
      </c>
      <c r="N20" s="635">
        <f>transport!M14</f>
        <v>4609.4674659004841</v>
      </c>
      <c r="O20" s="635">
        <f>transport!N14</f>
        <v>0</v>
      </c>
      <c r="P20" s="635">
        <f>transport!O14</f>
        <v>0</v>
      </c>
      <c r="Q20" s="636">
        <f>transport!P14</f>
        <v>0</v>
      </c>
      <c r="R20" s="638">
        <f>SUM(C20:Q20)</f>
        <v>111035.94844720447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12.410822794036971</v>
      </c>
      <c r="D22" s="752">
        <f t="shared" ref="D22:R22" si="1">SUM(D18:D21)</f>
        <v>0</v>
      </c>
      <c r="E22" s="752">
        <f t="shared" si="1"/>
        <v>4.4570293719920269</v>
      </c>
      <c r="F22" s="752">
        <f t="shared" si="1"/>
        <v>484.62317753071056</v>
      </c>
      <c r="G22" s="752">
        <f t="shared" si="1"/>
        <v>0</v>
      </c>
      <c r="H22" s="752">
        <f t="shared" si="1"/>
        <v>92785.914273895483</v>
      </c>
      <c r="I22" s="752">
        <f t="shared" si="1"/>
        <v>15556.681401775599</v>
      </c>
      <c r="J22" s="752">
        <f t="shared" si="1"/>
        <v>0</v>
      </c>
      <c r="K22" s="752">
        <f t="shared" si="1"/>
        <v>0</v>
      </c>
      <c r="L22" s="752">
        <f t="shared" si="1"/>
        <v>0</v>
      </c>
      <c r="M22" s="752">
        <f t="shared" si="1"/>
        <v>0</v>
      </c>
      <c r="N22" s="752">
        <f t="shared" si="1"/>
        <v>4712.5050971730116</v>
      </c>
      <c r="O22" s="752">
        <f t="shared" si="1"/>
        <v>0</v>
      </c>
      <c r="P22" s="752">
        <f t="shared" si="1"/>
        <v>0</v>
      </c>
      <c r="Q22" s="752">
        <f t="shared" si="1"/>
        <v>0</v>
      </c>
      <c r="R22" s="752">
        <f t="shared" si="1"/>
        <v>113556.59180254083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900.14599999999996</v>
      </c>
      <c r="D24" s="635">
        <f>+landbouw!C8</f>
        <v>0</v>
      </c>
      <c r="E24" s="635">
        <f>+landbouw!D8</f>
        <v>296.50904800000001</v>
      </c>
      <c r="F24" s="635">
        <f>+landbouw!E8</f>
        <v>8.1114576446041529</v>
      </c>
      <c r="G24" s="635">
        <f>+landbouw!F8</f>
        <v>3372.8745155439105</v>
      </c>
      <c r="H24" s="635">
        <f>+landbouw!G8</f>
        <v>0</v>
      </c>
      <c r="I24" s="635">
        <f>+landbouw!H8</f>
        <v>0</v>
      </c>
      <c r="J24" s="635">
        <f>+landbouw!I8</f>
        <v>0</v>
      </c>
      <c r="K24" s="635">
        <f>+landbouw!J8</f>
        <v>91.091052300099548</v>
      </c>
      <c r="L24" s="635">
        <f>+landbouw!K8</f>
        <v>0</v>
      </c>
      <c r="M24" s="635">
        <f>+landbouw!L8</f>
        <v>0</v>
      </c>
      <c r="N24" s="635">
        <f>+landbouw!M8</f>
        <v>0</v>
      </c>
      <c r="O24" s="635">
        <f>+landbouw!N8</f>
        <v>0</v>
      </c>
      <c r="P24" s="635">
        <f>+landbouw!O8</f>
        <v>0</v>
      </c>
      <c r="Q24" s="636">
        <f>+landbouw!P8</f>
        <v>0</v>
      </c>
      <c r="R24" s="638">
        <f>SUM(C24:Q24)</f>
        <v>4668.7320734886143</v>
      </c>
      <c r="S24" s="67"/>
    </row>
    <row r="25" spans="1:19" s="441" customFormat="1" ht="15" thickBot="1">
      <c r="A25" s="771" t="s">
        <v>864</v>
      </c>
      <c r="B25" s="923"/>
      <c r="C25" s="924">
        <f>IF(Onbekend_ele_kWh="---",0,Onbekend_ele_kWh)/1000+IF(REST_rest_ele_kWh="---",0,REST_rest_ele_kWh)/1000</f>
        <v>2439.3989999999999</v>
      </c>
      <c r="D25" s="924"/>
      <c r="E25" s="924">
        <f>IF(onbekend_gas_kWh="---",0,onbekend_gas_kWh)/1000+IF(REST_rest_gas_kWh="---",0,REST_rest_gas_kWh)/1000</f>
        <v>984.33600000000001</v>
      </c>
      <c r="F25" s="924"/>
      <c r="G25" s="924"/>
      <c r="H25" s="924"/>
      <c r="I25" s="924"/>
      <c r="J25" s="924"/>
      <c r="K25" s="924"/>
      <c r="L25" s="924"/>
      <c r="M25" s="924"/>
      <c r="N25" s="924"/>
      <c r="O25" s="924"/>
      <c r="P25" s="924"/>
      <c r="Q25" s="925"/>
      <c r="R25" s="638">
        <f>SUM(C25:Q25)</f>
        <v>3423.7349999999997</v>
      </c>
      <c r="S25" s="67"/>
    </row>
    <row r="26" spans="1:19" s="441" customFormat="1" ht="15.75" thickBot="1">
      <c r="A26" s="641" t="s">
        <v>865</v>
      </c>
      <c r="B26" s="757"/>
      <c r="C26" s="752">
        <f>SUM(C24:C25)</f>
        <v>3339.5450000000001</v>
      </c>
      <c r="D26" s="752">
        <f t="shared" ref="D26:R26" si="2">SUM(D24:D25)</f>
        <v>0</v>
      </c>
      <c r="E26" s="752">
        <f t="shared" si="2"/>
        <v>1280.8450480000001</v>
      </c>
      <c r="F26" s="752">
        <f t="shared" si="2"/>
        <v>8.1114576446041529</v>
      </c>
      <c r="G26" s="752">
        <f t="shared" si="2"/>
        <v>3372.8745155439105</v>
      </c>
      <c r="H26" s="752">
        <f t="shared" si="2"/>
        <v>0</v>
      </c>
      <c r="I26" s="752">
        <f t="shared" si="2"/>
        <v>0</v>
      </c>
      <c r="J26" s="752">
        <f t="shared" si="2"/>
        <v>0</v>
      </c>
      <c r="K26" s="752">
        <f t="shared" si="2"/>
        <v>91.091052300099548</v>
      </c>
      <c r="L26" s="752">
        <f t="shared" si="2"/>
        <v>0</v>
      </c>
      <c r="M26" s="752">
        <f t="shared" si="2"/>
        <v>0</v>
      </c>
      <c r="N26" s="752">
        <f t="shared" si="2"/>
        <v>0</v>
      </c>
      <c r="O26" s="752">
        <f t="shared" si="2"/>
        <v>0</v>
      </c>
      <c r="P26" s="752">
        <f t="shared" si="2"/>
        <v>0</v>
      </c>
      <c r="Q26" s="752">
        <f t="shared" si="2"/>
        <v>0</v>
      </c>
      <c r="R26" s="752">
        <f t="shared" si="2"/>
        <v>8092.467073488614</v>
      </c>
      <c r="S26" s="67"/>
    </row>
    <row r="27" spans="1:19" s="441" customFormat="1" ht="17.25" thickTop="1" thickBot="1">
      <c r="A27" s="642" t="s">
        <v>109</v>
      </c>
      <c r="B27" s="744"/>
      <c r="C27" s="643">
        <f ca="1">C22+C16+C26</f>
        <v>34649.980014296831</v>
      </c>
      <c r="D27" s="643">
        <f t="shared" ref="D27:R27" ca="1" si="3">D22+D16+D26</f>
        <v>0</v>
      </c>
      <c r="E27" s="643">
        <f t="shared" ca="1" si="3"/>
        <v>22088.330125371991</v>
      </c>
      <c r="F27" s="643">
        <f t="shared" si="3"/>
        <v>2233.1296775829542</v>
      </c>
      <c r="G27" s="643">
        <f t="shared" ca="1" si="3"/>
        <v>59553.22545562037</v>
      </c>
      <c r="H27" s="643">
        <f t="shared" si="3"/>
        <v>92785.914273895483</v>
      </c>
      <c r="I27" s="643">
        <f t="shared" si="3"/>
        <v>15556.681401775599</v>
      </c>
      <c r="J27" s="643">
        <f t="shared" si="3"/>
        <v>0</v>
      </c>
      <c r="K27" s="643">
        <f t="shared" si="3"/>
        <v>1307.242080207689</v>
      </c>
      <c r="L27" s="643">
        <f t="shared" si="3"/>
        <v>0</v>
      </c>
      <c r="M27" s="643">
        <f t="shared" ca="1" si="3"/>
        <v>0</v>
      </c>
      <c r="N27" s="643">
        <f t="shared" si="3"/>
        <v>4712.5050971730116</v>
      </c>
      <c r="O27" s="643">
        <f t="shared" ca="1" si="3"/>
        <v>5877.9925655335364</v>
      </c>
      <c r="P27" s="643">
        <f t="shared" si="3"/>
        <v>39.083333333333336</v>
      </c>
      <c r="Q27" s="643">
        <f t="shared" si="3"/>
        <v>400.4</v>
      </c>
      <c r="R27" s="643">
        <f t="shared" ca="1" si="3"/>
        <v>239204.48402479079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1960.2750763939321</v>
      </c>
      <c r="D40" s="635">
        <f ca="1">tertiair!C20</f>
        <v>0</v>
      </c>
      <c r="E40" s="635">
        <f ca="1">tertiair!D20</f>
        <v>804.39859209600002</v>
      </c>
      <c r="F40" s="635">
        <f>tertiair!E20</f>
        <v>32.723511934497139</v>
      </c>
      <c r="G40" s="635">
        <f ca="1">tertiair!F20</f>
        <v>423.38896678430473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3220.7861472087338</v>
      </c>
    </row>
    <row r="41" spans="1:18">
      <c r="A41" s="762" t="s">
        <v>214</v>
      </c>
      <c r="B41" s="769"/>
      <c r="C41" s="635">
        <f ca="1">huishoudens!B12</f>
        <v>4358.3709428189532</v>
      </c>
      <c r="D41" s="635">
        <f ca="1">huishoudens!C12</f>
        <v>0</v>
      </c>
      <c r="E41" s="635">
        <f>huishoudens!D12</f>
        <v>3261.1063234200001</v>
      </c>
      <c r="F41" s="635">
        <f>huishoudens!E12</f>
        <v>358.31283691045866</v>
      </c>
      <c r="G41" s="635">
        <f>huishoudens!F12</f>
        <v>14385.997801699821</v>
      </c>
      <c r="H41" s="635">
        <f>huishoudens!G12</f>
        <v>0</v>
      </c>
      <c r="I41" s="635">
        <f>huishoudens!H12</f>
        <v>0</v>
      </c>
      <c r="J41" s="635">
        <f>huishoudens!I12</f>
        <v>0</v>
      </c>
      <c r="K41" s="635">
        <f>huishoudens!J12</f>
        <v>429.48844210444702</v>
      </c>
      <c r="L41" s="635">
        <f>huishoudens!K12</f>
        <v>0</v>
      </c>
      <c r="M41" s="635">
        <f>huishoudens!L12</f>
        <v>0</v>
      </c>
      <c r="N41" s="635">
        <f>huishoudens!M12</f>
        <v>0</v>
      </c>
      <c r="O41" s="635">
        <f>huishoudens!N12</f>
        <v>0</v>
      </c>
      <c r="P41" s="635">
        <f>huishoudens!O12</f>
        <v>0</v>
      </c>
      <c r="Q41" s="710">
        <f>huishoudens!P12</f>
        <v>0</v>
      </c>
      <c r="R41" s="790">
        <f t="shared" ca="1" si="4"/>
        <v>22793.27634695368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266.83573770636156</v>
      </c>
      <c r="D43" s="635">
        <f ca="1">industrie!C22</f>
        <v>0</v>
      </c>
      <c r="E43" s="635">
        <f>industrie!D22</f>
        <v>136.70675018000003</v>
      </c>
      <c r="F43" s="635">
        <f>industrie!E22</f>
        <v>4.0333257815784416</v>
      </c>
      <c r="G43" s="635">
        <f>industrie!F22</f>
        <v>190.7669325162903</v>
      </c>
      <c r="H43" s="635">
        <f>industrie!G22</f>
        <v>0</v>
      </c>
      <c r="I43" s="635">
        <f>industrie!H22</f>
        <v>0</v>
      </c>
      <c r="J43" s="635">
        <f>industrie!I22</f>
        <v>0</v>
      </c>
      <c r="K43" s="635">
        <f>industrie!J22</f>
        <v>1.0290217748396058</v>
      </c>
      <c r="L43" s="635">
        <f>industrie!K22</f>
        <v>0</v>
      </c>
      <c r="M43" s="635">
        <f>industrie!L22</f>
        <v>0</v>
      </c>
      <c r="N43" s="635">
        <f>industrie!M22</f>
        <v>0</v>
      </c>
      <c r="O43" s="635">
        <f>industrie!N22</f>
        <v>0</v>
      </c>
      <c r="P43" s="635">
        <f>industrie!O22</f>
        <v>0</v>
      </c>
      <c r="Q43" s="710">
        <f>industrie!P22</f>
        <v>0</v>
      </c>
      <c r="R43" s="789">
        <f t="shared" ca="1" si="4"/>
        <v>599.37176795906998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6585.4817569192464</v>
      </c>
      <c r="D46" s="668">
        <f t="shared" ref="D46:Q46" ca="1" si="5">SUM(D39:D45)</f>
        <v>0</v>
      </c>
      <c r="E46" s="668">
        <f t="shared" ca="1" si="5"/>
        <v>4202.2116656959997</v>
      </c>
      <c r="F46" s="668">
        <f t="shared" si="5"/>
        <v>395.06967462653427</v>
      </c>
      <c r="G46" s="668">
        <f t="shared" ca="1" si="5"/>
        <v>15000.153701000416</v>
      </c>
      <c r="H46" s="668">
        <f t="shared" si="5"/>
        <v>0</v>
      </c>
      <c r="I46" s="668">
        <f t="shared" si="5"/>
        <v>0</v>
      </c>
      <c r="J46" s="668">
        <f t="shared" si="5"/>
        <v>0</v>
      </c>
      <c r="K46" s="668">
        <f t="shared" si="5"/>
        <v>430.51746387928659</v>
      </c>
      <c r="L46" s="668">
        <f t="shared" si="5"/>
        <v>0</v>
      </c>
      <c r="M46" s="668">
        <f t="shared" ca="1" si="5"/>
        <v>0</v>
      </c>
      <c r="N46" s="668">
        <f t="shared" si="5"/>
        <v>0</v>
      </c>
      <c r="O46" s="668">
        <f t="shared" ca="1" si="5"/>
        <v>0</v>
      </c>
      <c r="P46" s="668">
        <f t="shared" si="5"/>
        <v>0</v>
      </c>
      <c r="Q46" s="668">
        <f t="shared" si="5"/>
        <v>0</v>
      </c>
      <c r="R46" s="668">
        <f ca="1">SUM(R39:R45)</f>
        <v>26613.434262121486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2.3340988101973221</v>
      </c>
      <c r="D49" s="635">
        <f ca="1">transport!C58</f>
        <v>0</v>
      </c>
      <c r="E49" s="635">
        <f>transport!D58</f>
        <v>0</v>
      </c>
      <c r="F49" s="635">
        <f>transport!E58</f>
        <v>0</v>
      </c>
      <c r="G49" s="635">
        <f>transport!F58</f>
        <v>0</v>
      </c>
      <c r="H49" s="635">
        <f>transport!G58</f>
        <v>642.53890008617668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644.87299889637404</v>
      </c>
    </row>
    <row r="50" spans="1:18">
      <c r="A50" s="765" t="s">
        <v>296</v>
      </c>
      <c r="B50" s="775"/>
      <c r="C50" s="930">
        <f ca="1">transport!B18</f>
        <v>0.27728798528855808</v>
      </c>
      <c r="D50" s="930">
        <f>transport!C18</f>
        <v>0</v>
      </c>
      <c r="E50" s="930">
        <f>transport!D18</f>
        <v>0.90031993314238945</v>
      </c>
      <c r="F50" s="930">
        <f>transport!E18</f>
        <v>110.0094612994713</v>
      </c>
      <c r="G50" s="930">
        <f>transport!F18</f>
        <v>0</v>
      </c>
      <c r="H50" s="930">
        <f>transport!G18</f>
        <v>24131.300211043919</v>
      </c>
      <c r="I50" s="930">
        <f>transport!H18</f>
        <v>3873.613669042124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28116.100949303946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2.6113867954858803</v>
      </c>
      <c r="D52" s="668">
        <f t="shared" ref="D52:Q52" ca="1" si="6">SUM(D48:D51)</f>
        <v>0</v>
      </c>
      <c r="E52" s="668">
        <f t="shared" si="6"/>
        <v>0.90031993314238945</v>
      </c>
      <c r="F52" s="668">
        <f t="shared" si="6"/>
        <v>110.0094612994713</v>
      </c>
      <c r="G52" s="668">
        <f t="shared" si="6"/>
        <v>0</v>
      </c>
      <c r="H52" s="668">
        <f t="shared" si="6"/>
        <v>24773.839111130095</v>
      </c>
      <c r="I52" s="668">
        <f t="shared" si="6"/>
        <v>3873.613669042124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28760.973948200321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189.40157453048479</v>
      </c>
      <c r="D54" s="930">
        <f ca="1">+landbouw!C12</f>
        <v>0</v>
      </c>
      <c r="E54" s="930">
        <f>+landbouw!D12</f>
        <v>59.894827696000007</v>
      </c>
      <c r="F54" s="930">
        <f>+landbouw!E12</f>
        <v>1.8413008853251427</v>
      </c>
      <c r="G54" s="930">
        <f>+landbouw!F12</f>
        <v>900.55749565022415</v>
      </c>
      <c r="H54" s="930">
        <f>+landbouw!G12</f>
        <v>0</v>
      </c>
      <c r="I54" s="930">
        <f>+landbouw!H12</f>
        <v>0</v>
      </c>
      <c r="J54" s="930">
        <f>+landbouw!I12</f>
        <v>0</v>
      </c>
      <c r="K54" s="930">
        <f>+landbouw!J12</f>
        <v>32.246232514235238</v>
      </c>
      <c r="L54" s="930">
        <f>+landbouw!K12</f>
        <v>0</v>
      </c>
      <c r="M54" s="930">
        <f>+landbouw!L12</f>
        <v>0</v>
      </c>
      <c r="N54" s="930">
        <f>+landbouw!M12</f>
        <v>0</v>
      </c>
      <c r="O54" s="930">
        <f>+landbouw!N12</f>
        <v>0</v>
      </c>
      <c r="P54" s="930">
        <f>+landbouw!O12</f>
        <v>0</v>
      </c>
      <c r="Q54" s="931">
        <f>+landbouw!P12</f>
        <v>0</v>
      </c>
      <c r="R54" s="667">
        <f ca="1">SUM(C54:Q54)</f>
        <v>1183.9414312762694</v>
      </c>
    </row>
    <row r="55" spans="1:18" ht="15" thickBot="1">
      <c r="A55" s="765" t="s">
        <v>864</v>
      </c>
      <c r="B55" s="775"/>
      <c r="C55" s="930">
        <f ca="1">C25*'EF ele_warmte'!B12</f>
        <v>513.27896975389558</v>
      </c>
      <c r="D55" s="930"/>
      <c r="E55" s="930">
        <f>E25*EF_CO2_aardgas</f>
        <v>198.83587200000002</v>
      </c>
      <c r="F55" s="930"/>
      <c r="G55" s="930"/>
      <c r="H55" s="930"/>
      <c r="I55" s="930"/>
      <c r="J55" s="930"/>
      <c r="K55" s="930"/>
      <c r="L55" s="930"/>
      <c r="M55" s="930"/>
      <c r="N55" s="930"/>
      <c r="O55" s="930"/>
      <c r="P55" s="930"/>
      <c r="Q55" s="931"/>
      <c r="R55" s="667">
        <f ca="1">SUM(C55:Q55)</f>
        <v>712.11484175389558</v>
      </c>
    </row>
    <row r="56" spans="1:18" ht="15.75" thickBot="1">
      <c r="A56" s="763" t="s">
        <v>865</v>
      </c>
      <c r="B56" s="776"/>
      <c r="C56" s="668">
        <f ca="1">SUM(C54:C55)</f>
        <v>702.6805442843804</v>
      </c>
      <c r="D56" s="668">
        <f t="shared" ref="D56:Q56" ca="1" si="7">SUM(D54:D55)</f>
        <v>0</v>
      </c>
      <c r="E56" s="668">
        <f t="shared" si="7"/>
        <v>258.73069969600004</v>
      </c>
      <c r="F56" s="668">
        <f t="shared" si="7"/>
        <v>1.8413008853251427</v>
      </c>
      <c r="G56" s="668">
        <f t="shared" si="7"/>
        <v>900.55749565022415</v>
      </c>
      <c r="H56" s="668">
        <f t="shared" si="7"/>
        <v>0</v>
      </c>
      <c r="I56" s="668">
        <f t="shared" si="7"/>
        <v>0</v>
      </c>
      <c r="J56" s="668">
        <f t="shared" si="7"/>
        <v>0</v>
      </c>
      <c r="K56" s="668">
        <f t="shared" si="7"/>
        <v>32.246232514235238</v>
      </c>
      <c r="L56" s="668">
        <f t="shared" si="7"/>
        <v>0</v>
      </c>
      <c r="M56" s="668">
        <f t="shared" si="7"/>
        <v>0</v>
      </c>
      <c r="N56" s="668">
        <f t="shared" si="7"/>
        <v>0</v>
      </c>
      <c r="O56" s="668">
        <f t="shared" si="7"/>
        <v>0</v>
      </c>
      <c r="P56" s="668">
        <f t="shared" si="7"/>
        <v>0</v>
      </c>
      <c r="Q56" s="669">
        <f t="shared" si="7"/>
        <v>0</v>
      </c>
      <c r="R56" s="670">
        <f ca="1">SUM(R54:R55)</f>
        <v>1896.0562730301649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7290.7736879991126</v>
      </c>
      <c r="D61" s="676">
        <f t="shared" ref="D61:Q61" ca="1" si="8">D46+D52+D56</f>
        <v>0</v>
      </c>
      <c r="E61" s="676">
        <f t="shared" ca="1" si="8"/>
        <v>4461.8426853251422</v>
      </c>
      <c r="F61" s="676">
        <f t="shared" si="8"/>
        <v>506.92043681133072</v>
      </c>
      <c r="G61" s="676">
        <f t="shared" ca="1" si="8"/>
        <v>15900.71119665064</v>
      </c>
      <c r="H61" s="676">
        <f t="shared" si="8"/>
        <v>24773.839111130095</v>
      </c>
      <c r="I61" s="676">
        <f t="shared" si="8"/>
        <v>3873.613669042124</v>
      </c>
      <c r="J61" s="676">
        <f t="shared" si="8"/>
        <v>0</v>
      </c>
      <c r="K61" s="676">
        <f t="shared" si="8"/>
        <v>462.76369639352185</v>
      </c>
      <c r="L61" s="676">
        <f t="shared" si="8"/>
        <v>0</v>
      </c>
      <c r="M61" s="676">
        <f t="shared" ca="1" si="8"/>
        <v>0</v>
      </c>
      <c r="N61" s="676">
        <f t="shared" si="8"/>
        <v>0</v>
      </c>
      <c r="O61" s="676">
        <f t="shared" ca="1" si="8"/>
        <v>0</v>
      </c>
      <c r="P61" s="676">
        <f t="shared" si="8"/>
        <v>0</v>
      </c>
      <c r="Q61" s="676">
        <f t="shared" si="8"/>
        <v>0</v>
      </c>
      <c r="R61" s="676">
        <f ca="1">R46+R52+R56</f>
        <v>57270.464483351978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0.21041206041073868</v>
      </c>
      <c r="D63" s="720">
        <f t="shared" ca="1" si="9"/>
        <v>0</v>
      </c>
      <c r="E63" s="932">
        <f t="shared" ca="1" si="9"/>
        <v>0.20199999999999999</v>
      </c>
      <c r="F63" s="720">
        <f t="shared" si="9"/>
        <v>0.22700000000000006</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1660.0538242555892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1660.0538242555892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20713.503467011898</v>
      </c>
      <c r="C4" s="445">
        <f>huishoudens!C8</f>
        <v>0</v>
      </c>
      <c r="D4" s="445">
        <f>huishoudens!D8</f>
        <v>16144.09071</v>
      </c>
      <c r="E4" s="445">
        <f>huishoudens!E8</f>
        <v>1578.4706471826371</v>
      </c>
      <c r="F4" s="445">
        <f>huishoudens!F8</f>
        <v>53880.141579400079</v>
      </c>
      <c r="G4" s="445">
        <f>huishoudens!G8</f>
        <v>0</v>
      </c>
      <c r="H4" s="445">
        <f>huishoudens!H8</f>
        <v>0</v>
      </c>
      <c r="I4" s="445">
        <f>huishoudens!I8</f>
        <v>0</v>
      </c>
      <c r="J4" s="445">
        <f>huishoudens!J8</f>
        <v>1213.2441867357261</v>
      </c>
      <c r="K4" s="445">
        <f>huishoudens!K8</f>
        <v>0</v>
      </c>
      <c r="L4" s="445">
        <f>huishoudens!L8</f>
        <v>0</v>
      </c>
      <c r="M4" s="445">
        <f>huishoudens!M8</f>
        <v>0</v>
      </c>
      <c r="N4" s="445">
        <f>huishoudens!N8</f>
        <v>5592.3201303934457</v>
      </c>
      <c r="O4" s="445">
        <f>huishoudens!O8</f>
        <v>37.520000000000003</v>
      </c>
      <c r="P4" s="446">
        <f>huishoudens!P8</f>
        <v>400.4</v>
      </c>
      <c r="Q4" s="447">
        <f>SUM(B4:P4)</f>
        <v>99559.690720723782</v>
      </c>
    </row>
    <row r="5" spans="1:17">
      <c r="A5" s="444" t="s">
        <v>149</v>
      </c>
      <c r="B5" s="445">
        <f ca="1">tertiair!B16</f>
        <v>8680.710724490893</v>
      </c>
      <c r="C5" s="445">
        <f ca="1">tertiair!C16</f>
        <v>0</v>
      </c>
      <c r="D5" s="445">
        <f ca="1">tertiair!D16</f>
        <v>3982.1712480000001</v>
      </c>
      <c r="E5" s="445">
        <f>tertiair!E16</f>
        <v>144.15644024007551</v>
      </c>
      <c r="F5" s="445">
        <f ca="1">tertiair!F16</f>
        <v>1585.7264673569464</v>
      </c>
      <c r="G5" s="445">
        <f>tertiair!G16</f>
        <v>0</v>
      </c>
      <c r="H5" s="445">
        <f>tertiair!H16</f>
        <v>0</v>
      </c>
      <c r="I5" s="445">
        <f>tertiair!I16</f>
        <v>0</v>
      </c>
      <c r="J5" s="445">
        <f>tertiair!J16</f>
        <v>0</v>
      </c>
      <c r="K5" s="445">
        <f>tertiair!K16</f>
        <v>0</v>
      </c>
      <c r="L5" s="445">
        <f ca="1">tertiair!L16</f>
        <v>0</v>
      </c>
      <c r="M5" s="445">
        <f>tertiair!M16</f>
        <v>0</v>
      </c>
      <c r="N5" s="445">
        <f ca="1">tertiair!N16</f>
        <v>218.55432397933507</v>
      </c>
      <c r="O5" s="445">
        <f>tertiair!O16</f>
        <v>1.5633333333333335</v>
      </c>
      <c r="P5" s="446">
        <f>tertiair!P16</f>
        <v>0</v>
      </c>
      <c r="Q5" s="444">
        <f t="shared" ref="Q5:Q14" ca="1" si="0">SUM(B5:P5)</f>
        <v>14612.882537400585</v>
      </c>
    </row>
    <row r="6" spans="1:17">
      <c r="A6" s="444" t="s">
        <v>187</v>
      </c>
      <c r="B6" s="445">
        <f>'openbare verlichting'!B8</f>
        <v>635.65200000000004</v>
      </c>
      <c r="C6" s="445"/>
      <c r="D6" s="445"/>
      <c r="E6" s="445"/>
      <c r="F6" s="445"/>
      <c r="G6" s="445"/>
      <c r="H6" s="445"/>
      <c r="I6" s="445"/>
      <c r="J6" s="445"/>
      <c r="K6" s="445"/>
      <c r="L6" s="445"/>
      <c r="M6" s="445"/>
      <c r="N6" s="445"/>
      <c r="O6" s="445"/>
      <c r="P6" s="446"/>
      <c r="Q6" s="444">
        <f t="shared" si="0"/>
        <v>635.65200000000004</v>
      </c>
    </row>
    <row r="7" spans="1:17">
      <c r="A7" s="444" t="s">
        <v>105</v>
      </c>
      <c r="B7" s="445">
        <f>landbouw!B8</f>
        <v>900.14599999999996</v>
      </c>
      <c r="C7" s="445">
        <f>landbouw!C8</f>
        <v>0</v>
      </c>
      <c r="D7" s="445">
        <f>landbouw!D8</f>
        <v>296.50904800000001</v>
      </c>
      <c r="E7" s="445">
        <f>landbouw!E8</f>
        <v>8.1114576446041529</v>
      </c>
      <c r="F7" s="445">
        <f>landbouw!F8</f>
        <v>3372.8745155439105</v>
      </c>
      <c r="G7" s="445">
        <f>landbouw!G8</f>
        <v>0</v>
      </c>
      <c r="H7" s="445">
        <f>landbouw!H8</f>
        <v>0</v>
      </c>
      <c r="I7" s="445">
        <f>landbouw!I8</f>
        <v>0</v>
      </c>
      <c r="J7" s="445">
        <f>landbouw!J8</f>
        <v>91.091052300099548</v>
      </c>
      <c r="K7" s="445">
        <f>landbouw!K8</f>
        <v>0</v>
      </c>
      <c r="L7" s="445">
        <f>landbouw!L8</f>
        <v>0</v>
      </c>
      <c r="M7" s="445">
        <f>landbouw!M8</f>
        <v>0</v>
      </c>
      <c r="N7" s="445">
        <f>landbouw!N8</f>
        <v>0</v>
      </c>
      <c r="O7" s="445">
        <f>landbouw!O8</f>
        <v>0</v>
      </c>
      <c r="P7" s="446">
        <f>landbouw!P8</f>
        <v>0</v>
      </c>
      <c r="Q7" s="444">
        <f t="shared" si="0"/>
        <v>4668.7320734886143</v>
      </c>
    </row>
    <row r="8" spans="1:17">
      <c r="A8" s="444" t="s">
        <v>613</v>
      </c>
      <c r="B8" s="445">
        <f>industrie!B18</f>
        <v>1268.1579999999999</v>
      </c>
      <c r="C8" s="445">
        <f>industrie!C18</f>
        <v>0</v>
      </c>
      <c r="D8" s="445">
        <f>industrie!D18</f>
        <v>676.76609000000008</v>
      </c>
      <c r="E8" s="445">
        <f>industrie!E18</f>
        <v>17.767954984927055</v>
      </c>
      <c r="F8" s="445">
        <f>industrie!F18</f>
        <v>714.48289331943931</v>
      </c>
      <c r="G8" s="445">
        <f>industrie!G18</f>
        <v>0</v>
      </c>
      <c r="H8" s="445">
        <f>industrie!H18</f>
        <v>0</v>
      </c>
      <c r="I8" s="445">
        <f>industrie!I18</f>
        <v>0</v>
      </c>
      <c r="J8" s="445">
        <f>industrie!J18</f>
        <v>2.9068411718632934</v>
      </c>
      <c r="K8" s="445">
        <f>industrie!K18</f>
        <v>0</v>
      </c>
      <c r="L8" s="445">
        <f>industrie!L18</f>
        <v>0</v>
      </c>
      <c r="M8" s="445">
        <f>industrie!M18</f>
        <v>0</v>
      </c>
      <c r="N8" s="445">
        <f>industrie!N18</f>
        <v>67.118111160755632</v>
      </c>
      <c r="O8" s="445">
        <f>industrie!O18</f>
        <v>0</v>
      </c>
      <c r="P8" s="446">
        <f>industrie!P18</f>
        <v>0</v>
      </c>
      <c r="Q8" s="444">
        <f t="shared" si="0"/>
        <v>2747.1998906369849</v>
      </c>
    </row>
    <row r="9" spans="1:17" s="450" customFormat="1">
      <c r="A9" s="448" t="s">
        <v>555</v>
      </c>
      <c r="B9" s="449">
        <f>transport!B14</f>
        <v>1.3178331353596033</v>
      </c>
      <c r="C9" s="449">
        <f>transport!C14</f>
        <v>0</v>
      </c>
      <c r="D9" s="449">
        <f>transport!D14</f>
        <v>4.4570293719920269</v>
      </c>
      <c r="E9" s="449">
        <f>transport!E14</f>
        <v>484.62317753071056</v>
      </c>
      <c r="F9" s="449">
        <f>transport!F14</f>
        <v>0</v>
      </c>
      <c r="G9" s="449">
        <f>transport!G14</f>
        <v>90379.401539490325</v>
      </c>
      <c r="H9" s="449">
        <f>transport!H14</f>
        <v>15556.681401775599</v>
      </c>
      <c r="I9" s="449">
        <f>transport!I14</f>
        <v>0</v>
      </c>
      <c r="J9" s="449">
        <f>transport!J14</f>
        <v>0</v>
      </c>
      <c r="K9" s="449">
        <f>transport!K14</f>
        <v>0</v>
      </c>
      <c r="L9" s="449">
        <f>transport!L14</f>
        <v>0</v>
      </c>
      <c r="M9" s="449">
        <f>transport!M14</f>
        <v>4609.4674659004841</v>
      </c>
      <c r="N9" s="449">
        <f>transport!N14</f>
        <v>0</v>
      </c>
      <c r="O9" s="449">
        <f>transport!O14</f>
        <v>0</v>
      </c>
      <c r="P9" s="449">
        <f>transport!P14</f>
        <v>0</v>
      </c>
      <c r="Q9" s="448">
        <f>SUM(B9:P9)</f>
        <v>111035.94844720447</v>
      </c>
    </row>
    <row r="10" spans="1:17">
      <c r="A10" s="444" t="s">
        <v>545</v>
      </c>
      <c r="B10" s="445">
        <f>transport!B54</f>
        <v>11.092989658677368</v>
      </c>
      <c r="C10" s="445">
        <f>transport!C54</f>
        <v>0</v>
      </c>
      <c r="D10" s="445">
        <f>transport!D54</f>
        <v>0</v>
      </c>
      <c r="E10" s="445">
        <f>transport!E54</f>
        <v>0</v>
      </c>
      <c r="F10" s="445">
        <f>transport!F54</f>
        <v>0</v>
      </c>
      <c r="G10" s="445">
        <f>transport!G54</f>
        <v>2406.5127344051562</v>
      </c>
      <c r="H10" s="445">
        <f>transport!H54</f>
        <v>0</v>
      </c>
      <c r="I10" s="445">
        <f>transport!I54</f>
        <v>0</v>
      </c>
      <c r="J10" s="445">
        <f>transport!J54</f>
        <v>0</v>
      </c>
      <c r="K10" s="445">
        <f>transport!K54</f>
        <v>0</v>
      </c>
      <c r="L10" s="445">
        <f>transport!L54</f>
        <v>0</v>
      </c>
      <c r="M10" s="445">
        <f>transport!M54</f>
        <v>103.03763127252752</v>
      </c>
      <c r="N10" s="445">
        <f>transport!N54</f>
        <v>0</v>
      </c>
      <c r="O10" s="445">
        <f>transport!O54</f>
        <v>0</v>
      </c>
      <c r="P10" s="446">
        <f>transport!P54</f>
        <v>0</v>
      </c>
      <c r="Q10" s="444">
        <f t="shared" si="0"/>
        <v>2520.6433553363609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2439.3989999999999</v>
      </c>
      <c r="C14" s="452"/>
      <c r="D14" s="452">
        <f>'SEAP template'!E25</f>
        <v>984.33600000000001</v>
      </c>
      <c r="E14" s="452"/>
      <c r="F14" s="452"/>
      <c r="G14" s="452"/>
      <c r="H14" s="452"/>
      <c r="I14" s="452"/>
      <c r="J14" s="452"/>
      <c r="K14" s="452"/>
      <c r="L14" s="452"/>
      <c r="M14" s="452"/>
      <c r="N14" s="452"/>
      <c r="O14" s="452"/>
      <c r="P14" s="453"/>
      <c r="Q14" s="444">
        <f t="shared" si="0"/>
        <v>3423.7349999999997</v>
      </c>
    </row>
    <row r="15" spans="1:17" s="457" customFormat="1">
      <c r="A15" s="454" t="s">
        <v>549</v>
      </c>
      <c r="B15" s="455">
        <f ca="1">SUM(B4:B14)</f>
        <v>34649.980014296831</v>
      </c>
      <c r="C15" s="455">
        <f t="shared" ref="C15:Q15" ca="1" si="1">SUM(C4:C14)</f>
        <v>0</v>
      </c>
      <c r="D15" s="455">
        <f t="shared" ca="1" si="1"/>
        <v>22088.330125371991</v>
      </c>
      <c r="E15" s="455">
        <f t="shared" si="1"/>
        <v>2233.1296775829542</v>
      </c>
      <c r="F15" s="455">
        <f t="shared" ca="1" si="1"/>
        <v>59553.22545562037</v>
      </c>
      <c r="G15" s="455">
        <f t="shared" si="1"/>
        <v>92785.914273895483</v>
      </c>
      <c r="H15" s="455">
        <f t="shared" si="1"/>
        <v>15556.681401775599</v>
      </c>
      <c r="I15" s="455">
        <f t="shared" si="1"/>
        <v>0</v>
      </c>
      <c r="J15" s="455">
        <f t="shared" si="1"/>
        <v>1307.242080207689</v>
      </c>
      <c r="K15" s="455">
        <f t="shared" si="1"/>
        <v>0</v>
      </c>
      <c r="L15" s="455">
        <f t="shared" ca="1" si="1"/>
        <v>0</v>
      </c>
      <c r="M15" s="455">
        <f t="shared" si="1"/>
        <v>4712.5050971730116</v>
      </c>
      <c r="N15" s="455">
        <f t="shared" ca="1" si="1"/>
        <v>5877.9925655335364</v>
      </c>
      <c r="O15" s="455">
        <f t="shared" si="1"/>
        <v>39.083333333333336</v>
      </c>
      <c r="P15" s="455">
        <f t="shared" si="1"/>
        <v>400.4</v>
      </c>
      <c r="Q15" s="455">
        <f t="shared" ca="1" si="1"/>
        <v>239204.48402479079</v>
      </c>
    </row>
    <row r="17" spans="1:17">
      <c r="A17" s="458" t="s">
        <v>550</v>
      </c>
      <c r="B17" s="725">
        <f ca="1">huishoudens!B10</f>
        <v>0.2104120604107387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4358.3709428189532</v>
      </c>
      <c r="C22" s="445">
        <f t="shared" ref="C22:C32" ca="1" si="3">C4*$C$17</f>
        <v>0</v>
      </c>
      <c r="D22" s="445">
        <f t="shared" ref="D22:D32" si="4">D4*$D$17</f>
        <v>3261.1063234200001</v>
      </c>
      <c r="E22" s="445">
        <f t="shared" ref="E22:E32" si="5">E4*$E$17</f>
        <v>358.31283691045866</v>
      </c>
      <c r="F22" s="445">
        <f t="shared" ref="F22:F32" si="6">F4*$F$17</f>
        <v>14385.997801699821</v>
      </c>
      <c r="G22" s="445">
        <f t="shared" ref="G22:G32" si="7">G4*$G$17</f>
        <v>0</v>
      </c>
      <c r="H22" s="445">
        <f t="shared" ref="H22:H32" si="8">H4*$H$17</f>
        <v>0</v>
      </c>
      <c r="I22" s="445">
        <f t="shared" ref="I22:I32" si="9">I4*$I$17</f>
        <v>0</v>
      </c>
      <c r="J22" s="445">
        <f t="shared" ref="J22:J32" si="10">J4*$J$17</f>
        <v>429.48844210444702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22793.27634695368</v>
      </c>
    </row>
    <row r="23" spans="1:17">
      <c r="A23" s="444" t="s">
        <v>149</v>
      </c>
      <c r="B23" s="445">
        <f t="shared" ca="1" si="2"/>
        <v>1826.5262293697251</v>
      </c>
      <c r="C23" s="445">
        <f t="shared" ca="1" si="3"/>
        <v>0</v>
      </c>
      <c r="D23" s="445">
        <f t="shared" ca="1" si="4"/>
        <v>804.39859209600002</v>
      </c>
      <c r="E23" s="445">
        <f t="shared" si="5"/>
        <v>32.723511934497139</v>
      </c>
      <c r="F23" s="445">
        <f t="shared" ca="1" si="6"/>
        <v>423.38896678430473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3087.0373001845269</v>
      </c>
    </row>
    <row r="24" spans="1:17">
      <c r="A24" s="444" t="s">
        <v>187</v>
      </c>
      <c r="B24" s="445">
        <f t="shared" ca="1" si="2"/>
        <v>133.7488470242069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133.7488470242069</v>
      </c>
    </row>
    <row r="25" spans="1:17">
      <c r="A25" s="444" t="s">
        <v>105</v>
      </c>
      <c r="B25" s="445">
        <f t="shared" ca="1" si="2"/>
        <v>189.40157453048479</v>
      </c>
      <c r="C25" s="445">
        <f t="shared" ca="1" si="3"/>
        <v>0</v>
      </c>
      <c r="D25" s="445">
        <f t="shared" si="4"/>
        <v>59.894827696000007</v>
      </c>
      <c r="E25" s="445">
        <f t="shared" si="5"/>
        <v>1.8413008853251427</v>
      </c>
      <c r="F25" s="445">
        <f t="shared" si="6"/>
        <v>900.55749565022415</v>
      </c>
      <c r="G25" s="445">
        <f t="shared" si="7"/>
        <v>0</v>
      </c>
      <c r="H25" s="445">
        <f t="shared" si="8"/>
        <v>0</v>
      </c>
      <c r="I25" s="445">
        <f t="shared" si="9"/>
        <v>0</v>
      </c>
      <c r="J25" s="445">
        <f t="shared" si="10"/>
        <v>32.246232514235238</v>
      </c>
      <c r="K25" s="445">
        <f t="shared" si="11"/>
        <v>0</v>
      </c>
      <c r="L25" s="445">
        <f t="shared" si="12"/>
        <v>0</v>
      </c>
      <c r="M25" s="445">
        <f t="shared" si="13"/>
        <v>0</v>
      </c>
      <c r="N25" s="445">
        <f t="shared" si="14"/>
        <v>0</v>
      </c>
      <c r="O25" s="445">
        <f t="shared" si="15"/>
        <v>0</v>
      </c>
      <c r="P25" s="446">
        <f t="shared" si="16"/>
        <v>0</v>
      </c>
      <c r="Q25" s="444">
        <f t="shared" ca="1" si="17"/>
        <v>1183.9414312762694</v>
      </c>
    </row>
    <row r="26" spans="1:17">
      <c r="A26" s="444" t="s">
        <v>613</v>
      </c>
      <c r="B26" s="445">
        <f t="shared" ca="1" si="2"/>
        <v>266.83573770636156</v>
      </c>
      <c r="C26" s="445">
        <f t="shared" ca="1" si="3"/>
        <v>0</v>
      </c>
      <c r="D26" s="445">
        <f t="shared" si="4"/>
        <v>136.70675018000003</v>
      </c>
      <c r="E26" s="445">
        <f t="shared" si="5"/>
        <v>4.0333257815784416</v>
      </c>
      <c r="F26" s="445">
        <f t="shared" si="6"/>
        <v>190.7669325162903</v>
      </c>
      <c r="G26" s="445">
        <f t="shared" si="7"/>
        <v>0</v>
      </c>
      <c r="H26" s="445">
        <f t="shared" si="8"/>
        <v>0</v>
      </c>
      <c r="I26" s="445">
        <f t="shared" si="9"/>
        <v>0</v>
      </c>
      <c r="J26" s="445">
        <f t="shared" si="10"/>
        <v>1.0290217748396058</v>
      </c>
      <c r="K26" s="445">
        <f t="shared" si="11"/>
        <v>0</v>
      </c>
      <c r="L26" s="445">
        <f t="shared" si="12"/>
        <v>0</v>
      </c>
      <c r="M26" s="445">
        <f t="shared" si="13"/>
        <v>0</v>
      </c>
      <c r="N26" s="445">
        <f t="shared" si="14"/>
        <v>0</v>
      </c>
      <c r="O26" s="445">
        <f t="shared" si="15"/>
        <v>0</v>
      </c>
      <c r="P26" s="446">
        <f t="shared" si="16"/>
        <v>0</v>
      </c>
      <c r="Q26" s="444">
        <f t="shared" ca="1" si="17"/>
        <v>599.37176795906998</v>
      </c>
    </row>
    <row r="27" spans="1:17" s="450" customFormat="1">
      <c r="A27" s="448" t="s">
        <v>555</v>
      </c>
      <c r="B27" s="719">
        <f t="shared" ca="1" si="2"/>
        <v>0.27728798528855808</v>
      </c>
      <c r="C27" s="449">
        <f t="shared" ca="1" si="3"/>
        <v>0</v>
      </c>
      <c r="D27" s="449">
        <f t="shared" si="4"/>
        <v>0.90031993314238945</v>
      </c>
      <c r="E27" s="449">
        <f t="shared" si="5"/>
        <v>110.0094612994713</v>
      </c>
      <c r="F27" s="449">
        <f t="shared" si="6"/>
        <v>0</v>
      </c>
      <c r="G27" s="449">
        <f t="shared" si="7"/>
        <v>24131.300211043919</v>
      </c>
      <c r="H27" s="449">
        <f t="shared" si="8"/>
        <v>3873.613669042124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28116.100949303946</v>
      </c>
    </row>
    <row r="28" spans="1:17">
      <c r="A28" s="444" t="s">
        <v>545</v>
      </c>
      <c r="B28" s="445">
        <f t="shared" ca="1" si="2"/>
        <v>2.3340988101973221</v>
      </c>
      <c r="C28" s="445">
        <f t="shared" ca="1" si="3"/>
        <v>0</v>
      </c>
      <c r="D28" s="445">
        <f t="shared" si="4"/>
        <v>0</v>
      </c>
      <c r="E28" s="445">
        <f t="shared" si="5"/>
        <v>0</v>
      </c>
      <c r="F28" s="445">
        <f t="shared" si="6"/>
        <v>0</v>
      </c>
      <c r="G28" s="445">
        <f t="shared" si="7"/>
        <v>642.53890008617668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644.87299889637404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513.27896975389558</v>
      </c>
      <c r="C32" s="445">
        <f t="shared" ca="1" si="3"/>
        <v>0</v>
      </c>
      <c r="D32" s="445">
        <f t="shared" si="4"/>
        <v>198.83587200000002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712.11484175389558</v>
      </c>
    </row>
    <row r="33" spans="1:17" s="457" customFormat="1">
      <c r="A33" s="454" t="s">
        <v>549</v>
      </c>
      <c r="B33" s="455">
        <f ca="1">SUM(B22:B32)</f>
        <v>7290.7736879991126</v>
      </c>
      <c r="C33" s="455">
        <f t="shared" ref="C33:Q33" ca="1" si="19">SUM(C22:C32)</f>
        <v>0</v>
      </c>
      <c r="D33" s="455">
        <f t="shared" ca="1" si="19"/>
        <v>4461.8426853251431</v>
      </c>
      <c r="E33" s="455">
        <f t="shared" si="19"/>
        <v>506.92043681133072</v>
      </c>
      <c r="F33" s="455">
        <f t="shared" ca="1" si="19"/>
        <v>15900.71119665064</v>
      </c>
      <c r="G33" s="455">
        <f t="shared" si="19"/>
        <v>24773.839111130095</v>
      </c>
      <c r="H33" s="455">
        <f t="shared" si="19"/>
        <v>3873.613669042124</v>
      </c>
      <c r="I33" s="455">
        <f t="shared" si="19"/>
        <v>0</v>
      </c>
      <c r="J33" s="455">
        <f t="shared" si="19"/>
        <v>462.76369639352185</v>
      </c>
      <c r="K33" s="455">
        <f t="shared" si="19"/>
        <v>0</v>
      </c>
      <c r="L33" s="455">
        <f t="shared" ca="1" si="19"/>
        <v>0</v>
      </c>
      <c r="M33" s="455">
        <f t="shared" si="19"/>
        <v>0</v>
      </c>
      <c r="N33" s="455">
        <f t="shared" ca="1" si="19"/>
        <v>0</v>
      </c>
      <c r="O33" s="455">
        <f t="shared" si="19"/>
        <v>0</v>
      </c>
      <c r="P33" s="455">
        <f t="shared" si="19"/>
        <v>0</v>
      </c>
      <c r="Q33" s="455">
        <f t="shared" ca="1" si="19"/>
        <v>57270.464483351971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1660.0538242555892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1660.0538242555892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0.2104120604107387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0.2104120604107387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2022-07-26T12:53:43Z</dcterms:modified>
</cp:coreProperties>
</file>