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BACA04F4-D22E-46B7-B1C3-4030F769914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<sst xmlns="http://schemas.openxmlformats.org/spreadsheetml/2006/main" count="2523" uniqueCount="968">
  <si>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</si>
  <si>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</si>
  <si>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</si>
  <si>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</si>
  <si>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</si>
  <si>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</si>
  <si>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</si>
  <si>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</si>
  <si>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</si>
  <si>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</si>
  <si>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</si>
  <si>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</si>
  <si>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</si>
  <si>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</si>
  <si>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</si>
  <si>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</si>
  <si>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</si>
  <si>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</si>
  <si>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</si>
  <si>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</si>
  <si>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</si>
  <si>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</si>
  <si>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</si>
  <si>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</si>
  <si>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</si>
  <si>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</si>
  <si>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</si>
  <si>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</si>
  <si>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</si>
  <si>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</si>
  <si>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</si>
  <si>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</si>
  <si>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</si>
  <si>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</si>
  <si>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</si>
  <si>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</si>
  <si>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</si>
  <si>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</si>
  <si>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</si>
  <si>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</si>
  <si>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</si>
  <si>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</si>
  <si>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</si>
  <si>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</si>
  <si>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</si>
  <si>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</si>
  <si>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</si>
  <si>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</si>
  <si>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</si>
  <si>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</si>
  <si>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</si>
  <si>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</si>
  <si>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</si>
  <si>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</si>
  <si>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</si>
  <si>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</si>
  <si>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</si>
  <si>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</si>
  <si>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</si>
  <si>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</si>
  <si>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</si>
  <si>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</si>
  <si>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</si>
  <si>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</si>
  <si>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</si>
  <si>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</si>
  <si>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</si>
  <si>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</si>
  <si>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</si>
  <si>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</si>
  <si>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</si>
  <si>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</si>
  <si>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</si>
  <si>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</si>
  <si>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</si>
  <si>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</si>
  <si>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</si>
  <si>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</si>
  <si>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</si>
  <si>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</si>
  <si>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</si>
  <si>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</si>
  <si>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</si>
  <si>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</si>
  <si>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</si>
  <si>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</si>
  <si>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</si>
  <si>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</si>
  <si>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</si>
  <si>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</si>
  <si>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</si>
  <si>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</si>
  <si>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</si>
  <si>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</si>
  <si>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</si>
  <si>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</si>
  <si>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</si>
  <si>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</si>
  <si>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</si>
  <si>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</si>
  <si>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</si>
  <si>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</si>
  <si>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</si>
  <si>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</si>
  <si>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</si>
  <si>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</si>
  <si>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</si>
  <si>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</si>
  <si>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</si>
  <si>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</si>
  <si>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</si>
  <si>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</si>
  <si>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</si>
  <si>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</si>
  <si>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</si>
  <si>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</si>
  <si>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</si>
  <si>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</si>
  <si>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</si>
  <si>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</si>
  <si>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</si>
  <si>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</si>
  <si>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</si>
  <si>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</si>
  <si>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</si>
  <si>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</si>
  <si>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</si>
  <si>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</si>
  <si>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</si>
  <si>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</si>
  <si>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</si>
  <si>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</si>
  <si>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</si>
  <si>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</si>
  <si>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</si>
  <si>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</si>
  <si>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</si>
  <si>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</si>
  <si>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</si>
  <si>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</si>
  <si>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</si>
  <si>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</si>
  <si>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</si>
  <si>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</si>
  <si>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</si>
  <si>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</si>
  <si>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</si>
  <si>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</si>
  <si>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</si>
  <si>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</si>
  <si>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</si>
  <si>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</si>
  <si>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</si>
  <si>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</si>
  <si>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</si>
  <si>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</si>
  <si>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</si>
  <si>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</si>
  <si>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</si>
  <si>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</si>
  <si>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</si>
  <si>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</si>
  <si>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</si>
  <si>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</si>
  <si>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</si>
  <si>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</si>
  <si>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</si>
  <si>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</si>
  <si>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</si>
  <si>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</si>
  <si>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</si>
  <si>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</si>
  <si>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</si>
  <si>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</si>
  <si>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</si>
  <si>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</si>
  <si>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</si>
  <si>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</si>
  <si>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</si>
  <si>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</si>
  <si>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</si>
  <si>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</si>
  <si>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</si>
  <si>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</si>
  <si>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</si>
  <si>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</si>
  <si>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</si>
  <si>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</si>
  <si>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</si>
  <si>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</si>
  <si>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</si>
  <si>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</si>
  <si>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</si>
  <si>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</si>
  <si>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</si>
  <si>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</si>
  <si>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</si>
  <si>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</si>
  <si>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</si>
  <si>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</si>
  <si>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</si>
  <si>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</si>
  <si>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</si>
  <si>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</si>
  <si>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</si>
  <si>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</si>
  <si>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</si>
  <si>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</si>
  <si>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</si>
  <si>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</si>
  <si>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</si>
  <si>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</si>
  <si>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</si>
  <si>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</si>
  <si>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</si>
  <si>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</si>
  <si>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</si>
  <si>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</si>
  <si>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</si>
  <si>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</si>
  <si>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</si>
  <si>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</si>
  <si>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</si>
  <si>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</si>
  <si>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</si>
  <si>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</si>
  <si>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</si>
  <si>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</si>
  <si>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</si>
  <si>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</si>
  <si>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</si>
  <si>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</si>
  <si>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</si>
  <si>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</si>
  <si>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</si>
  <si>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</si>
  <si>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</si>
  <si>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</si>
  <si>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</si>
  <si>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</si>
  <si>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</si>
  <si>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</si>
  <si>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</si>
  <si>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</si>
  <si>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</si>
  <si>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</si>
  <si>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</si>
  <si>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</si>
  <si>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</si>
  <si>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</si>
  <si>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</si>
  <si>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</si>
  <si>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</si>
  <si>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</si>
  <si>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</si>
  <si>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</si>
  <si>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</si>
  <si>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</si>
  <si>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</si>
  <si>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</si>
  <si>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</si>
  <si>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</si>
  <si>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</si>
  <si>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</si>
  <si>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</si>
  <si>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</si>
  <si>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</si>
  <si>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</si>
  <si>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</si>
  <si>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</si>
  <si>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</si>
  <si>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</si>
  <si>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</si>
  <si>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</si>
  <si>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</si>
  <si>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</si>
  <si>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</si>
  <si>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</si>
  <si>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</si>
  <si>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</si>
  <si>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</si>
  <si>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</si>
  <si>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</si>
  <si>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</si>
  <si>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</si>
  <si>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</si>
  <si>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</si>
  <si>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</si>
  <si>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</si>
  <si>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</si>
  <si>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</si>
  <si>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</si>
  <si>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</si>
  <si>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</si>
  <si>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</si>
  <si>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</si>
  <si>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</si>
  <si>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</si>
  <si>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</si>
  <si>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</si>
  <si>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</si>
  <si>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</si>
  <si>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</si>
  <si>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</si>
  <si>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</si>
  <si>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</si>
  <si>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</si>
  <si>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</si>
  <si>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</si>
  <si>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</si>
  <si>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</si>
  <si>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</si>
  <si>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</si>
  <si>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</si>
  <si>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</si>
  <si>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</si>
  <si>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</si>
  <si>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</si>
  <si>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</si>
  <si>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</si>
  <si>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</si>
  <si>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</si>
  <si>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</si>
  <si>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</si>
  <si>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</si>
  <si>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</si>
  <si>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</si>
  <si>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</si>
  <si>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</si>
  <si>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</si>
  <si>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</si>
  <si>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</si>
  <si>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</si>
  <si>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</si>
  <si>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</si>
  <si>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</si>
  <si>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</si>
  <si>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</si>
  <si>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</si>
  <si>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</si>
  <si>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</si>
  <si>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</si>
  <si>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</si>
  <si>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</si>
  <si>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</si>
  <si>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</si>
  <si>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</si>
  <si>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</si>
  <si>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</si>
  <si>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</si>
  <si>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</si>
  <si>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</si>
  <si>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</si>
  <si>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</si>
  <si>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</si>
  <si>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</si>
  <si>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</si>
  <si>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</si>
  <si>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</si>
  <si>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</si>
  <si>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</si>
  <si>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</si>
  <si>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</si>
  <si>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</si>
  <si>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</si>
  <si>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</si>
  <si>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</si>
  <si>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</si>
  <si>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</si>
  <si>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</si>
  <si>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</si>
  <si>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</si>
  <si>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</si>
  <si>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</si>
  <si>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</si>
  <si>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</si>
  <si>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</si>
  <si>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</si>
  <si>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</si>
  <si>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</si>
  <si>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</si>
  <si>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</si>
  <si>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</si>
  <si>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</si>
  <si>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</si>
  <si>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</si>
  <si>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</si>
  <si>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</si>
  <si>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</si>
  <si>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</si>
  <si>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</si>
  <si>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</si>
  <si>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</si>
  <si>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</si>
  <si>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</si>
  <si>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</si>
  <si>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</si>
  <si>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</si>
  <si>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</si>
  <si>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</si>
  <si>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</si>
  <si>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</si>
  <si>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</si>
  <si>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</si>
  <si>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</si>
  <si>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</si>
  <si>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</si>
  <si>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</si>
  <si>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</si>
  <si>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</si>
  <si>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</si>
  <si>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</si>
  <si>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</si>
  <si>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</si>
  <si>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</si>
  <si>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</si>
  <si>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</si>
  <si>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</si>
  <si>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</si>
  <si>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</si>
  <si>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</si>
  <si>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</si>
  <si>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</si>
  <si>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</si>
  <si>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</si>
  <si>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</si>
  <si>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</si>
  <si>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</si>
  <si>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</si>
  <si>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</si>
  <si>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</si>
  <si>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</si>
  <si>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</si>
  <si>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</si>
  <si>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</si>
  <si>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</si>
  <si>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</si>
  <si>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</si>
  <si>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</si>
  <si>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</si>
  <si>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</si>
  <si>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</si>
  <si>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</si>
  <si>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</si>
  <si>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</si>
  <si>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</si>
  <si>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</si>
  <si>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</si>
  <si>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</si>
  <si>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</si>
  <si>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</si>
  <si>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</si>
  <si>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</si>
  <si>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</si>
  <si>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</si>
  <si>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</si>
  <si>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</si>
  <si>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</si>
  <si>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</si>
  <si>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</si>
  <si>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</si>
  <si>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</si>
  <si>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</si>
  <si>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</si>
  <si>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</si>
  <si>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</si>
  <si>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</si>
  <si>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</si>
  <si>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</si>
  <si>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</si>
  <si>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</si>
  <si>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</si>
  <si>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</si>
  <si>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</si>
  <si>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</si>
  <si>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</si>
  <si>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</si>
  <si>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</si>
  <si>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</si>
  <si>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</si>
  <si>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</si>
  <si>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</si>
  <si>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</si>
  <si>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</si>
  <si>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</si>
  <si>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</si>
  <si>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</si>
  <si>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</si>
  <si>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</si>
  <si>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</si>
  <si>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</si>
  <si>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</si>
  <si>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</si>
  <si>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</si>
  <si>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</si>
  <si>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</si>
  <si>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</si>
  <si>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</si>
  <si>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</si>
  <si>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</si>
  <si>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</si>
  <si>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</si>
  <si>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</si>
  <si>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</si>
  <si>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</si>
  <si>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</si>
  <si>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</si>
  <si>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</si>
  <si>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</si>
  <si>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</si>
  <si>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</si>
  <si>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</si>
  <si>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</si>
  <si>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</si>
  <si>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</si>
  <si>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</si>
  <si>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</si>
  <si>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</si>
  <si>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</si>
  <si>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</si>
  <si>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</si>
  <si>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</si>
  <si>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</si>
  <si>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</si>
  <si>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</si>
  <si>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</si>
  <si>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</si>
  <si>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</si>
  <si>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</si>
  <si>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</si>
  <si>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</si>
  <si>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</si>
  <si>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</si>
  <si>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</si>
  <si>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</si>
  <si>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</si>
  <si>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</si>
  <si>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</si>
  <si>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</si>
  <si>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</si>
  <si>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</si>
  <si>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</si>
  <si>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</si>
  <si>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</si>
  <si>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</si>
  <si>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</si>
  <si>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</si>
  <si>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</si>
  <si>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</si>
  <si>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</si>
  <si>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</si>
  <si>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</si>
  <si>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</si>
  <si>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</si>
  <si>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</si>
  <si>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</si>
  <si>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</si>
  <si>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</si>
  <si>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</si>
  <si>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</si>
  <si>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</si>
  <si>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</si>
  <si>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</si>
  <si>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</si>
  <si>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</si>
  <si>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</si>
  <si>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</si>
  <si>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</si>
  <si>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</si>
  <si>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</si>
  <si>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</si>
  <si>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</si>
  <si>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</si>
  <si>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</si>
  <si>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</si>
  <si>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</si>
  <si>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</si>
  <si>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</si>
  <si>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</si>
  <si>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</si>
  <si>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</si>
  <si>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</si>
  <si>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</si>
  <si>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</si>
  <si>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</si>
  <si>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</si>
  <si>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</si>
  <si>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</si>
  <si>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</si>
  <si>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</si>
  <si>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</si>
  <si>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</si>
  <si>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</si>
  <si>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</si>
  <si>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</si>
  <si>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</si>
  <si>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</si>
  <si>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</si>
  <si>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</si>
  <si>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</si>
  <si>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</si>
  <si>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</si>
  <si>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</si>
  <si>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</si>
  <si>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</si>
  <si>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</si>
  <si>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</si>
  <si>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</si>
  <si>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</si>
  <si>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</si>
  <si>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</si>
  <si>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</si>
  <si>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</si>
  <si>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</si>
  <si>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</si>
  <si>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</si>
  <si>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</si>
  <si>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</si>
  <si>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</si>
  <si>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</si>
  <si>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</si>
  <si>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</si>
  <si>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</si>
  <si>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</si>
  <si>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</si>
  <si>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</si>
  <si>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</si>
  <si>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</si>
  <si>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</si>
  <si>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</si>
  <si>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</si>
  <si>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</si>
  <si>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</si>
  <si>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</si>
  <si>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</si>
  <si>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</si>
  <si>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</si>
  <si>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</si>
  <si>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</si>
  <si>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</si>
  <si>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</si>
  <si>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</si>
  <si>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</si>
  <si>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</si>
  <si>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</si>
  <si>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</si>
  <si>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</si>
  <si>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</si>
  <si>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</si>
  <si>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</si>
  <si>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</si>
  <si>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</si>
  <si>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</si>
  <si>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</si>
  <si>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</si>
  <si>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</si>
  <si>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</si>
  <si>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</si>
  <si>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</si>
  <si>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</si>
  <si>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</si>
  <si>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</si>
  <si>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</si>
  <si>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</si>
  <si>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</si>
  <si>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</si>
  <si>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</si>
  <si>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</si>
  <si>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</si>
  <si>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</si>
  <si>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</si>
  <si>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</si>
  <si>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</si>
  <si>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</si>
  <si>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</si>
  <si>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</si>
  <si>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</si>
  <si>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</si>
  <si>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</si>
  <si>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</si>
  <si>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</si>
  <si>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</si>
  <si>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</si>
  <si>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</si>
  <si>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</si>
  <si>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</si>
  <si>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</si>
  <si>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</si>
  <si>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</si>
  <si>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</si>
  <si>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</si>
  <si>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</si>
  <si>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</si>
  <si>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</si>
  <si>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</si>
  <si>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</si>
  <si>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</si>
  <si>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</si>
  <si>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</si>
  <si>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</si>
  <si>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</si>
  <si>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</si>
  <si>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</si>
  <si>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</si>
  <si>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</si>
  <si>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</si>
  <si>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</si>
  <si>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</si>
  <si>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</si>
  <si>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</si>
  <si>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</si>
  <si>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</si>
  <si>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</si>
  <si>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</si>
  <si>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</si>
  <si>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</si>
  <si>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</si>
  <si>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</si>
  <si>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</si>
  <si>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</si>
  <si>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</si>
  <si>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</si>
  <si>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</si>
  <si>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</si>
  <si>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</si>
  <si>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</si>
  <si>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</si>
  <si>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</si>
  <si>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</si>
  <si>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</si>
  <si>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</si>
  <si>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</si>
  <si>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</si>
  <si>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</si>
  <si>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</si>
  <si>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</si>
  <si>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</si>
  <si>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</si>
  <si>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</si>
  <si>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</si>
  <si>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</si>
  <si>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</si>
  <si>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</si>
  <si>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</si>
  <si>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</si>
  <si>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</si>
  <si>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</si>
  <si>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</si>
  <si>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</si>
  <si>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</si>
  <si>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</si>
  <si>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</si>
  <si>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</si>
  <si>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</si>
  <si>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</si>
  <si>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</si>
  <si>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</si>
  <si>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</si>
  <si>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</si>
  <si>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</si>
  <si>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</si>
  <si>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</si>
  <si>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</si>
  <si>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</si>
  <si>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</si>
  <si>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</si>
  <si>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</si>
  <si>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</si>
  <si>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</si>
  <si>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</si>
  <si>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</si>
  <si>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</si>
  <si>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</si>
  <si>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</si>
  <si>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</si>
  <si>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</si>
  <si>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</si>
  <si>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</si>
  <si>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</si>
  <si>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</si>
  <si>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</si>
  <si>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</si>
  <si>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</si>
  <si>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</si>
  <si>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</si>
  <si>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</si>
  <si>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</si>
  <si>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</si>
  <si>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</si>
  <si>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</si>
  <si>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</si>
  <si>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</si>
  <si>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</si>
  <si>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</si>
  <si>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</si>
  <si>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</si>
  <si>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</si>
  <si>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</si>
  <si>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</si>
  <si>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</si>
  <si>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</si>
  <si>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</si>
  <si>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</si>
  <si>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</si>
  <si>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</si>
  <si>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</si>
  <si>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</si>
  <si>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</si>
  <si>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</si>
  <si>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</si>
  <si>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</si>
  <si>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</si>
  <si>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</si>
  <si>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</si>
  <si>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</si>
  <si>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</si>
  <si>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</si>
  <si>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</si>
  <si>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</si>
  <si>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</si>
  <si>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</si>
  <si>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</si>
  <si>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</si>
  <si>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</si>
  <si>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</si>
  <si>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</si>
  <si>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</si>
  <si>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</si>
  <si>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</si>
  <si>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</si>
  <si>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</si>
  <si>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</si>
  <si>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</si>
  <si>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</si>
  <si>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</si>
  <si>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</si>
  <si>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</si>
  <si>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</si>
  <si>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</si>
  <si>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</si>
  <si>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</si>
  <si>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</si>
  <si>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</si>
  <si>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</si>
  <si>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</si>
  <si>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</si>
  <si>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</si>
  <si>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</si>
  <si>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</si>
  <si>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</si>
  <si>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</si>
  <si>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</si>
  <si>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</si>
  <si>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</si>
  <si>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</si>
  <si>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</si>
  <si>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</si>
  <si>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</si>
  <si>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</si>
  <si>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</si>
  <si>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</si>
  <si>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</si>
  <si>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</si>
  <si>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</si>
  <si>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</si>
  <si>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</si>
  <si>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</si>
  <si>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</si>
  <si>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</si>
  <si>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</si>
  <si>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</si>
  <si>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</si>
  <si>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</si>
  <si>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</si>
  <si>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</si>
  <si>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</si>
  <si>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</si>
  <si>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</si>
  <si>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</si>
  <si>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</si>
  <si>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</si>
  <si>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</si>
  <si>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</si>
  <si>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</si>
  <si>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</si>
  <si>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</si>
  <si>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</si>
  <si>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</si>
  <si>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</si>
  <si>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</si>
  <si>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</si>
  <si>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</si>
  <si>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</si>
  <si>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</si>
  <si>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</si>
  <si>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</si>
  <si>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</si>
  <si>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</si>
  <si>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</si>
  <si>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</si>
  <si>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</si>
  <si>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</si>
  <si>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</si>
  <si>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</si>
  <si>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</si>
  <si>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</si>
  <si>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</si>
  <si>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</si>
  <si>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</si>
  <si>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</si>
  <si>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</si>
  <si>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</si>
  <si>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</si>
  <si>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</si>
  <si>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</si>
  <si>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</si>
  <si>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</si>
  <si>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</si>
  <si>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</si>
  <si>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</si>
  <si>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</si>
  <si>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</si>
  <si>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</si>
  <si>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</si>
  <si>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</si>
  <si>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</si>
  <si>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</si>
  <si>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</si>
  <si>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</si>
  <si>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</si>
  <si>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</si>
  <si>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</si>
  <si>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</si>
  <si>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</si>
  <si>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</si>
  <si>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</si>
  <si>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</si>
  <si>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</si>
  <si>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</si>
  <si>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</si>
  <si>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</si>
  <si>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</si>
  <si>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</si>
  <si>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</si>
  <si>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</si>
  <si>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</si>
  <si>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</si>
  <si>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</si>
  <si>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</si>
  <si>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</si>
  <si>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</si>
  <si>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</si>
  <si>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</si>
  <si>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</si>
  <si>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</si>
  <si>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</si>
  <si>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</si>
  <si>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24094</t>
  </si>
  <si>
    <t>ROTSELAAR</t>
  </si>
  <si>
    <t>Paarden&amp;pony's 200 - 600 kg</t>
  </si>
  <si>
    <t>Paarden&amp;pony's &lt; 200 kg</t>
  </si>
  <si>
    <t>vloeibaar gas (MWh)</t>
  </si>
  <si>
    <t>interne verbrandingsmotor</t>
  </si>
  <si>
    <t>WKK interne verbrandinsgmotor (gas)</t>
  </si>
  <si>
    <t>IVERLEK</t>
  </si>
  <si>
    <t>biomassa uit land- of bosbouw</t>
  </si>
  <si>
    <t>niet WKK interne verbrandingsmotor (andere biomassa)</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</si>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</sst>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E9D094C3-B1B5-497D-88D4-28DC5998C049}"/>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24094</v>
      </c>
      <c r="B6" s="382"/>
      <c r="C6" s="383"/>
    </row>
    <row r="7" spans="1:7" s="380" customFormat="1" ht="15.75" customHeight="1">
      <c r="A7" s="384" t="str">
        <f>txtMunicipality</f>
        <v>ROTSELAAR</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0.2156464211931996</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0.2156464211931996</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6189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915</v>
      </c>
      <c r="C14" s="324"/>
      <c r="D14" s="324"/>
      <c r="E14" s="324"/>
      <c r="F14" s="324"/>
    </row>
    <row r="15" spans="1:6">
      <c r="A15" s="1235" t="s">
        <v>177</v>
      </c>
      <c r="B15" s="1236">
        <v>1</v>
      </c>
      <c r="C15" s="324"/>
      <c r="D15" s="324"/>
      <c r="E15" s="324"/>
      <c r="F15" s="324"/>
    </row>
    <row r="16" spans="1:6">
      <c r="A16" s="1235" t="s">
        <v>6</v>
      </c>
      <c r="B16" s="1236">
        <v>0</v>
      </c>
      <c r="C16" s="324"/>
      <c r="D16" s="324"/>
      <c r="E16" s="324"/>
      <c r="F16" s="324"/>
    </row>
    <row r="17" spans="1:6">
      <c r="A17" s="1235" t="s">
        <v>7</v>
      </c>
      <c r="B17" s="1236">
        <v>59</v>
      </c>
      <c r="C17" s="324"/>
      <c r="D17" s="324"/>
      <c r="E17" s="324"/>
      <c r="F17" s="324"/>
    </row>
    <row r="18" spans="1:6">
      <c r="A18" s="1235" t="s">
        <v>8</v>
      </c>
      <c r="B18" s="1236">
        <v>97</v>
      </c>
      <c r="C18" s="324"/>
      <c r="D18" s="324"/>
      <c r="E18" s="324"/>
      <c r="F18" s="324"/>
    </row>
    <row r="19" spans="1:6">
      <c r="A19" s="1235" t="s">
        <v>9</v>
      </c>
      <c r="B19" s="1236">
        <v>54</v>
      </c>
      <c r="C19" s="324"/>
      <c r="D19" s="324"/>
      <c r="E19" s="324"/>
      <c r="F19" s="324"/>
    </row>
    <row r="20" spans="1:6">
      <c r="A20" s="1235" t="s">
        <v>10</v>
      </c>
      <c r="B20" s="1236">
        <v>69</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187</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20</v>
      </c>
      <c r="C29" s="324"/>
      <c r="D29" s="324"/>
      <c r="E29" s="324"/>
      <c r="F29" s="324"/>
    </row>
    <row r="30" spans="1:6">
      <c r="A30" s="1230" t="s">
        <v>960</v>
      </c>
      <c r="B30" s="1238">
        <v>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206454.01437647999</v>
      </c>
    </row>
    <row r="39" spans="1:6">
      <c r="A39" s="1235" t="s">
        <v>29</v>
      </c>
      <c r="B39" s="1235" t="s">
        <v>30</v>
      </c>
      <c r="C39" s="1236">
        <v>2243</v>
      </c>
      <c r="D39" s="1236">
        <v>37618541.865193799</v>
      </c>
      <c r="E39" s="1236">
        <v>6075</v>
      </c>
      <c r="F39" s="1236">
        <v>29212142.9795275</v>
      </c>
    </row>
    <row r="40" spans="1:6">
      <c r="A40" s="1235" t="s">
        <v>29</v>
      </c>
      <c r="B40" s="1235" t="s">
        <v>28</v>
      </c>
      <c r="C40" s="1236">
        <v>0</v>
      </c>
      <c r="D40" s="1236">
        <v>0</v>
      </c>
      <c r="E40" s="1236">
        <v>0</v>
      </c>
      <c r="F40" s="1236">
        <v>0</v>
      </c>
    </row>
    <row r="41" spans="1:6">
      <c r="A41" s="1235" t="s">
        <v>31</v>
      </c>
      <c r="B41" s="1235" t="s">
        <v>32</v>
      </c>
      <c r="C41" s="1236">
        <v>9</v>
      </c>
      <c r="D41" s="1236">
        <v>271195.80112879298</v>
      </c>
      <c r="E41" s="1236">
        <v>60</v>
      </c>
      <c r="F41" s="1236">
        <v>1261257.0947459301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3</v>
      </c>
      <c r="F44" s="1236">
        <v>33373.168515322199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19452.849486634201</v>
      </c>
    </row>
    <row r="48" spans="1:6">
      <c r="A48" s="1235" t="s">
        <v>31</v>
      </c>
      <c r="B48" s="1235" t="s">
        <v>28</v>
      </c>
      <c r="C48" s="1236">
        <v>40</v>
      </c>
      <c r="D48" s="1236">
        <v>41827640.5112729</v>
      </c>
      <c r="E48" s="1236">
        <v>68</v>
      </c>
      <c r="F48" s="1236">
        <v>52194678.709422998</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20</v>
      </c>
      <c r="F51" s="1236">
        <v>622191.85120248795</v>
      </c>
    </row>
    <row r="52" spans="1:6">
      <c r="A52" s="1235" t="s">
        <v>41</v>
      </c>
      <c r="B52" s="1235" t="s">
        <v>28</v>
      </c>
      <c r="C52" s="1236">
        <v>2</v>
      </c>
      <c r="D52" s="1236">
        <v>60204.239351290104</v>
      </c>
      <c r="E52" s="1236">
        <v>15</v>
      </c>
      <c r="F52" s="1236">
        <v>102350.54598143</v>
      </c>
    </row>
    <row r="53" spans="1:6">
      <c r="A53" s="1235" t="s">
        <v>43</v>
      </c>
      <c r="B53" s="1235" t="s">
        <v>44</v>
      </c>
      <c r="C53" s="1236">
        <v>110</v>
      </c>
      <c r="D53" s="1236">
        <v>2187841.7063841298</v>
      </c>
      <c r="E53" s="1236">
        <v>269</v>
      </c>
      <c r="F53" s="1236">
        <v>1582877.6555188601</v>
      </c>
    </row>
    <row r="54" spans="1:6">
      <c r="A54" s="1235" t="s">
        <v>45</v>
      </c>
      <c r="B54" s="1235" t="s">
        <v>46</v>
      </c>
      <c r="C54" s="1236">
        <v>0</v>
      </c>
      <c r="D54" s="1236">
        <v>0</v>
      </c>
      <c r="E54" s="1236">
        <v>1</v>
      </c>
      <c r="F54" s="1236">
        <v>885206</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9</v>
      </c>
      <c r="D57" s="1236">
        <v>177810.68044077299</v>
      </c>
      <c r="E57" s="1236">
        <v>62</v>
      </c>
      <c r="F57" s="1236">
        <v>1398201.7313352099</v>
      </c>
    </row>
    <row r="58" spans="1:6">
      <c r="A58" s="1235" t="s">
        <v>48</v>
      </c>
      <c r="B58" s="1235" t="s">
        <v>50</v>
      </c>
      <c r="C58" s="1236">
        <v>7</v>
      </c>
      <c r="D58" s="1236">
        <v>100947.120447789</v>
      </c>
      <c r="E58" s="1236">
        <v>17</v>
      </c>
      <c r="F58" s="1236">
        <v>168796.79450169799</v>
      </c>
    </row>
    <row r="59" spans="1:6">
      <c r="A59" s="1235" t="s">
        <v>48</v>
      </c>
      <c r="B59" s="1235" t="s">
        <v>51</v>
      </c>
      <c r="C59" s="1236">
        <v>6</v>
      </c>
      <c r="D59" s="1236">
        <v>319224.43949275702</v>
      </c>
      <c r="E59" s="1236">
        <v>45</v>
      </c>
      <c r="F59" s="1236">
        <v>1734525.5079107201</v>
      </c>
    </row>
    <row r="60" spans="1:6">
      <c r="A60" s="1235" t="s">
        <v>48</v>
      </c>
      <c r="B60" s="1235" t="s">
        <v>52</v>
      </c>
      <c r="C60" s="1236">
        <v>22</v>
      </c>
      <c r="D60" s="1236">
        <v>972573.25238552003</v>
      </c>
      <c r="E60" s="1236">
        <v>40</v>
      </c>
      <c r="F60" s="1236">
        <v>1724346.72607028</v>
      </c>
    </row>
    <row r="61" spans="1:6">
      <c r="A61" s="1235" t="s">
        <v>48</v>
      </c>
      <c r="B61" s="1235" t="s">
        <v>53</v>
      </c>
      <c r="C61" s="1236">
        <v>32</v>
      </c>
      <c r="D61" s="1236">
        <v>2142109.1056379899</v>
      </c>
      <c r="E61" s="1236">
        <v>220</v>
      </c>
      <c r="F61" s="1236">
        <v>2946660.33669736</v>
      </c>
    </row>
    <row r="62" spans="1:6">
      <c r="A62" s="1235" t="s">
        <v>48</v>
      </c>
      <c r="B62" s="1235" t="s">
        <v>54</v>
      </c>
      <c r="C62" s="1236">
        <v>0</v>
      </c>
      <c r="D62" s="1236">
        <v>0</v>
      </c>
      <c r="E62" s="1236">
        <v>4</v>
      </c>
      <c r="F62" s="1236">
        <v>34268.048970362499</v>
      </c>
    </row>
    <row r="63" spans="1:6">
      <c r="A63" s="1235" t="s">
        <v>48</v>
      </c>
      <c r="B63" s="1235" t="s">
        <v>28</v>
      </c>
      <c r="C63" s="1236">
        <v>131</v>
      </c>
      <c r="D63" s="1236">
        <v>6771137.8562215604</v>
      </c>
      <c r="E63" s="1236">
        <v>215</v>
      </c>
      <c r="F63" s="1236">
        <v>4543572.6980951903</v>
      </c>
    </row>
    <row r="64" spans="1:6">
      <c r="A64" s="1235" t="s">
        <v>55</v>
      </c>
      <c r="B64" s="1235" t="s">
        <v>56</v>
      </c>
      <c r="C64" s="1236">
        <v>0</v>
      </c>
      <c r="D64" s="1236">
        <v>0</v>
      </c>
      <c r="E64" s="1236">
        <v>0</v>
      </c>
      <c r="F64" s="1236">
        <v>0</v>
      </c>
    </row>
    <row r="65" spans="1:6">
      <c r="A65" s="1235" t="s">
        <v>55</v>
      </c>
      <c r="B65" s="1235" t="s">
        <v>28</v>
      </c>
      <c r="C65" s="1236">
        <v>2</v>
      </c>
      <c r="D65" s="1236">
        <v>57406.461791576003</v>
      </c>
      <c r="E65" s="1236">
        <v>6</v>
      </c>
      <c r="F65" s="1236">
        <v>324519.06498190499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81542466</v>
      </c>
      <c r="E73" s="443"/>
      <c r="F73" s="324"/>
    </row>
    <row r="74" spans="1:6">
      <c r="A74" s="1235" t="s">
        <v>63</v>
      </c>
      <c r="B74" s="1235" t="s">
        <v>730</v>
      </c>
      <c r="C74" s="1248" t="s">
        <v>731</v>
      </c>
      <c r="D74" s="1236">
        <v>5073408.5208147615</v>
      </c>
      <c r="E74" s="443"/>
      <c r="F74" s="324"/>
    </row>
    <row r="75" spans="1:6">
      <c r="A75" s="1235" t="s">
        <v>64</v>
      </c>
      <c r="B75" s="1235" t="s">
        <v>728</v>
      </c>
      <c r="C75" s="1248" t="s">
        <v>732</v>
      </c>
      <c r="D75" s="1236">
        <v>22808665</v>
      </c>
      <c r="E75" s="443"/>
      <c r="F75" s="324"/>
    </row>
    <row r="76" spans="1:6">
      <c r="A76" s="1235" t="s">
        <v>64</v>
      </c>
      <c r="B76" s="1235" t="s">
        <v>730</v>
      </c>
      <c r="C76" s="1248" t="s">
        <v>733</v>
      </c>
      <c r="D76" s="1236">
        <v>196272.52081476175</v>
      </c>
      <c r="E76" s="443"/>
      <c r="F76" s="324"/>
    </row>
    <row r="77" spans="1:6">
      <c r="A77" s="1235" t="s">
        <v>65</v>
      </c>
      <c r="B77" s="1235" t="s">
        <v>728</v>
      </c>
      <c r="C77" s="1248" t="s">
        <v>734</v>
      </c>
      <c r="D77" s="1236">
        <v>86943899</v>
      </c>
      <c r="E77" s="443"/>
      <c r="F77" s="324"/>
    </row>
    <row r="78" spans="1:6">
      <c r="A78" s="1230" t="s">
        <v>65</v>
      </c>
      <c r="B78" s="1230" t="s">
        <v>730</v>
      </c>
      <c r="C78" s="1230" t="s">
        <v>735</v>
      </c>
      <c r="D78" s="1238">
        <v>9336504</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501950.9583704765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309</v>
      </c>
      <c r="C89" s="324"/>
      <c r="D89" s="324"/>
      <c r="E89" s="324"/>
      <c r="F89" s="324"/>
    </row>
    <row r="90" spans="1:6">
      <c r="A90" s="1235" t="s">
        <v>543</v>
      </c>
      <c r="B90" s="1236">
        <v>0</v>
      </c>
      <c r="C90" s="324"/>
      <c r="D90" s="324"/>
      <c r="E90" s="324"/>
      <c r="F90" s="324"/>
    </row>
    <row r="91" spans="1:6">
      <c r="A91" s="1235" t="s">
        <v>67</v>
      </c>
      <c r="B91" s="1236">
        <v>1660.8342265485876</v>
      </c>
      <c r="C91" s="324"/>
      <c r="D91" s="324"/>
      <c r="E91" s="324"/>
      <c r="F91" s="324"/>
    </row>
    <row r="92" spans="1:6">
      <c r="A92" s="1230" t="s">
        <v>68</v>
      </c>
      <c r="B92" s="1231">
        <v>416.44647408257322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1003</v>
      </c>
      <c r="C97" s="324"/>
      <c r="D97" s="324"/>
      <c r="E97" s="324"/>
      <c r="F97" s="324"/>
    </row>
    <row r="98" spans="1:6">
      <c r="A98" s="1235" t="s">
        <v>71</v>
      </c>
      <c r="B98" s="1236">
        <v>4</v>
      </c>
      <c r="C98" s="324"/>
      <c r="D98" s="324"/>
      <c r="E98" s="324"/>
      <c r="F98" s="324"/>
    </row>
    <row r="99" spans="1:6">
      <c r="A99" s="1235" t="s">
        <v>72</v>
      </c>
      <c r="B99" s="1236">
        <v>252</v>
      </c>
      <c r="C99" s="324"/>
      <c r="D99" s="324"/>
      <c r="E99" s="324"/>
      <c r="F99" s="324"/>
    </row>
    <row r="100" spans="1:6">
      <c r="A100" s="1235" t="s">
        <v>73</v>
      </c>
      <c r="B100" s="1236">
        <v>479</v>
      </c>
      <c r="C100" s="324"/>
      <c r="D100" s="324"/>
      <c r="E100" s="324"/>
      <c r="F100" s="324"/>
    </row>
    <row r="101" spans="1:6">
      <c r="A101" s="1235" t="s">
        <v>74</v>
      </c>
      <c r="B101" s="1236">
        <v>73</v>
      </c>
      <c r="C101" s="324"/>
      <c r="D101" s="324"/>
      <c r="E101" s="324"/>
      <c r="F101" s="324"/>
    </row>
    <row r="102" spans="1:6">
      <c r="A102" s="1235" t="s">
        <v>75</v>
      </c>
      <c r="B102" s="1236">
        <v>50</v>
      </c>
      <c r="C102" s="324"/>
      <c r="D102" s="324"/>
      <c r="E102" s="324"/>
      <c r="F102" s="324"/>
    </row>
    <row r="103" spans="1:6">
      <c r="A103" s="1235" t="s">
        <v>76</v>
      </c>
      <c r="B103" s="1236">
        <v>111</v>
      </c>
      <c r="C103" s="324"/>
      <c r="D103" s="324"/>
      <c r="E103" s="324"/>
      <c r="F103" s="324"/>
    </row>
    <row r="104" spans="1:6">
      <c r="A104" s="1235" t="s">
        <v>77</v>
      </c>
      <c r="B104" s="1236">
        <v>3569</v>
      </c>
      <c r="C104" s="324"/>
      <c r="D104" s="324"/>
      <c r="E104" s="324"/>
      <c r="F104" s="324"/>
    </row>
    <row r="105" spans="1:6">
      <c r="A105" s="1230" t="s">
        <v>78</v>
      </c>
      <c r="B105" s="1238">
        <v>16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14</v>
      </c>
      <c r="C123" s="1236">
        <v>8</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80</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10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100225.27668983932</v>
      </c>
      <c r="C3" s="43" t="s">
        <v>163</v>
      </c>
      <c r="D3" s="43"/>
      <c r="E3" s="155"/>
      <c r="F3" s="43"/>
      <c r="G3" s="43"/>
      <c r="H3" s="43"/>
      <c r="I3" s="43"/>
      <c r="J3" s="43"/>
      <c r="K3" s="96"/>
    </row>
    <row r="4" spans="1:11">
      <c r="A4" s="350" t="s">
        <v>164</v>
      </c>
      <c r="B4" s="49">
        <f>IF(ISERROR('SEAP template'!B78+'SEAP template'!C78),0,'SEAP template'!B78+'SEAP template'!C78)</f>
        <v>2476.2807006311609</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10.694117647058825</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0.2156464211931996</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15.277310924369752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64.285714285714292</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885.20600000000002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885.20600000000002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0.2156464211931996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190.89150591874744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29212.1429795275</v>
      </c>
      <c r="C5" s="17">
        <f>IF(ISERROR('Eigen informatie GS &amp; warmtenet'!B57),0,'Eigen informatie GS &amp; warmtenet'!B57)</f>
        <v>0</v>
      </c>
      <c r="D5" s="30">
        <f>(SUM(HH_hh_gas_kWh,HH_rest_gas_kWh)/1000)*0.902</f>
        <v>33931.924762404808</v>
      </c>
      <c r="E5" s="17">
        <f>B32*B41</f>
        <v>1947.2164886954424</v>
      </c>
      <c r="F5" s="17">
        <f>B36*B45</f>
        <v>66467.058024749815</v>
      </c>
      <c r="G5" s="18"/>
      <c r="H5" s="17"/>
      <c r="I5" s="17"/>
      <c r="J5" s="17">
        <f>B35*B44+C35*C44</f>
        <v>1496.6696336370651</v>
      </c>
      <c r="K5" s="17"/>
      <c r="L5" s="17"/>
      <c r="M5" s="17"/>
      <c r="N5" s="17">
        <f>B34*B43+C34*C43</f>
        <v>7981.9773112641687</v>
      </c>
      <c r="O5" s="17">
        <f>B52*B53*B54</f>
        <v>137.57333333333335</v>
      </c>
      <c r="P5" s="17">
        <f>B60*B61*B62/1000-B60*B61*B62/1000/B63</f>
        <v>457.6</v>
      </c>
    </row>
    <row r="6" spans="1:16">
      <c r="A6" s="16" t="s">
        <v>591</v>
      </c>
      <c r="B6" s="727">
        <f>kWh_PV_kleiner_dan_10kW</f>
        <v>1660.8342265485876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30872.977206076088</v>
      </c>
      <c r="C8" s="21">
        <f>C5</f>
        <v>0</v>
      </c>
      <c r="D8" s="21">
        <f>D5</f>
        <v>33931.924762404808</v>
      </c>
      <c r="E8" s="21">
        <f>E5</f>
        <v>1947.2164886954424</v>
      </c>
      <c r="F8" s="21">
        <f>F5</f>
        <v>66467.058024749815</v>
      </c>
      <c r="G8" s="21"/>
      <c r="H8" s="21"/>
      <c r="I8" s="21"/>
      <c r="J8" s="21">
        <f>J5</f>
        <v>1496.6696336370651</v>
      </c>
      <c r="K8" s="21"/>
      <c r="L8" s="21">
        <f>L5</f>
        <v>0</v>
      </c>
      <c r="M8" s="21">
        <f>M5</f>
        <v>0</v>
      </c>
      <c r="N8" s="21">
        <f>N5</f>
        <v>7981.9773112641687</v>
      </c>
      <c r="O8" s="21">
        <f>O5</f>
        <v>137.57333333333335</v>
      </c>
      <c r="P8" s="21">
        <f>P5</f>
        <v>457.6</v>
      </c>
    </row>
    <row r="9" spans="1:16">
      <c r="B9" s="19"/>
      <c r="C9" s="19"/>
      <c r="D9" s="255"/>
      <c r="E9" s="19"/>
      <c r="F9" s="19"/>
      <c r="G9" s="19"/>
      <c r="H9" s="19"/>
      <c r="I9" s="19"/>
      <c r="J9" s="19"/>
      <c r="K9" s="19"/>
      <c r="L9" s="19"/>
      <c r="M9" s="19"/>
      <c r="N9" s="19"/>
      <c r="O9" s="19"/>
      <c r="P9" s="19"/>
    </row>
    <row r="10" spans="1:16">
      <c r="A10" s="24" t="s">
        <v>207</v>
      </c>
      <c r="B10" s="25">
        <f ca="1">'EF ele_warmte'!B12</f>
        <v>0.2156464211931996</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6657.6470460695346</v>
      </c>
      <c r="C12" s="23">
        <f ca="1">C10*C8</f>
        <v>0</v>
      </c>
      <c r="D12" s="23">
        <f>D8*D10</f>
        <v>6854.2488020057717</v>
      </c>
      <c r="E12" s="23">
        <f>E10*E8</f>
        <v>442.01814293386542</v>
      </c>
      <c r="F12" s="23">
        <f>F10*F8</f>
        <v>17746.704492608202</v>
      </c>
      <c r="G12" s="23"/>
      <c r="H12" s="23"/>
      <c r="I12" s="23"/>
      <c r="J12" s="23">
        <f>J10*J8</f>
        <v>529.82105030752098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6189</v>
      </c>
      <c r="C26" s="36"/>
      <c r="D26" s="225"/>
    </row>
    <row r="27" spans="1:5" s="15" customFormat="1">
      <c r="A27" s="227" t="s">
        <v>671</v>
      </c>
      <c r="B27" s="37">
        <f>SUM(HH_hh_gas_aantal,HH_rest_gas_aantal)</f>
        <v>2243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2130.85</v>
      </c>
      <c r="C31" s="34" t="s">
        <v>104</v>
      </c>
      <c r="D31" s="171"/>
    </row>
    <row r="32" spans="1:5">
      <c r="A32" s="168" t="s">
        <v>72</v>
      </c>
      <c r="B32" s="33">
        <f>IF((B21*($B$26-($B$27-0.05*$B$27)-$B$60))&lt;0,0,B21*($B$26-($B$27-0.05*$B$27)-$B$60))</f>
        <v>28.600383374713964</v>
      </c>
      <c r="C32" s="34" t="s">
        <v>104</v>
      </c>
      <c r="D32" s="171"/>
    </row>
    <row r="33" spans="1:6">
      <c r="A33" s="168" t="s">
        <v>73</v>
      </c>
      <c r="B33" s="33">
        <f>IF((B22*($B$26-($B$27-0.05*$B$27)-$B$60))&lt;0,0,B22*($B$26-($B$27-0.05*$B$27)-$B$60))</f>
        <v>819.68309631067996</v>
      </c>
      <c r="C33" s="34" t="s">
        <v>104</v>
      </c>
      <c r="D33" s="171"/>
    </row>
    <row r="34" spans="1:6">
      <c r="A34" s="168" t="s">
        <v>74</v>
      </c>
      <c r="B34" s="33">
        <f>IF((B24*($B$26-($B$27-0.05*$B$27)-$B$60))&lt;0,0,B24*($B$26-($B$27-0.05*$B$27)-$B$60))</f>
        <v>163.45347207687558</v>
      </c>
      <c r="C34" s="33">
        <f>B26*C24</f>
        <v>1265.5119575639653</v>
      </c>
      <c r="D34" s="230"/>
    </row>
    <row r="35" spans="1:6">
      <c r="A35" s="168" t="s">
        <v>76</v>
      </c>
      <c r="B35" s="33">
        <f>IF((B19*($B$26-($B$27-0.05*$B$27)-$B$60))&lt;0,0,B19*($B$26-($B$27-0.05*$B$27)-$B$60))</f>
        <v>85.120188615220144</v>
      </c>
      <c r="C35" s="33">
        <f>B35/2</f>
        <v>42.560094307610072</v>
      </c>
      <c r="D35" s="230"/>
    </row>
    <row r="36" spans="1:6">
      <c r="A36" s="168" t="s">
        <v>77</v>
      </c>
      <c r="B36" s="33">
        <f>IF((B18*($B$26-($B$27-0.05*$B$27)-$B$60))&lt;0,0,B18*($B$26-($B$27-0.05*$B$27)-$B$60))</f>
        <v>2937.2928596225106</v>
      </c>
      <c r="C36" s="34" t="s">
        <v>104</v>
      </c>
      <c r="D36" s="171"/>
    </row>
    <row r="37" spans="1:6">
      <c r="A37" s="168" t="s">
        <v>78</v>
      </c>
      <c r="B37" s="33">
        <f>B60</f>
        <v>24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88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12550.37184358082</v>
      </c>
      <c r="C5" s="17">
        <f>IF(ISERROR('Eigen informatie GS &amp; warmtenet'!B58),0,'Eigen informatie GS &amp; warmtenet'!B58)</f>
        <v>0</v>
      </c>
      <c r="D5" s="30">
        <f>SUM(D6:D12)</f>
        <v>9456.3898140730053</v>
      </c>
      <c r="E5" s="17">
        <f>SUM(E6:E12)</f>
        <v>311.17155653078891</v>
      </c>
      <c r="F5" s="17">
        <f>SUM(F6:F12)</f>
        <v>2350.8870181465991</v>
      </c>
      <c r="G5" s="18"/>
      <c r="H5" s="17"/>
      <c r="I5" s="17"/>
      <c r="J5" s="17">
        <f>SUM(J6:J12)</f>
        <v>0</v>
      </c>
      <c r="K5" s="17"/>
      <c r="L5" s="17"/>
      <c r="M5" s="17"/>
      <c r="N5" s="17">
        <f>SUM(N6:N12)</f>
        <v>471.17803445822983</v>
      </c>
      <c r="O5" s="17">
        <f>B38*B39*B40</f>
        <v>0</v>
      </c>
      <c r="P5" s="17">
        <f>B46*B47*B48/1000-B46*B47*B48/1000/B49</f>
        <v>0</v>
      </c>
      <c r="R5" s="32"/>
    </row>
    <row r="6" spans="1:18">
      <c r="A6" s="32" t="s">
        <v>53</v>
      </c>
      <c r="B6" s="37">
        <f>B26</f>
        <v>2946.66033669736</v>
      </c>
      <c r="C6" s="33"/>
      <c r="D6" s="37">
        <f>IF(ISERROR(TER_kantoor_gas_kWh/1000),0,TER_kantoor_gas_kWh/1000)*0.902</f>
        <v>1932.1824132854672</v>
      </c>
      <c r="E6" s="33">
        <f>$C$26*'E Balans VL '!I12/100/3.6*1000000</f>
        <v>101.93090662905365</v>
      </c>
      <c r="F6" s="33">
        <f>$C$26*('E Balans VL '!L12+'E Balans VL '!N12)/100/3.6*1000000</f>
        <v>449.83898939055956</v>
      </c>
      <c r="G6" s="34"/>
      <c r="H6" s="33"/>
      <c r="I6" s="33"/>
      <c r="J6" s="33">
        <f>$C$26*('E Balans VL '!D12+'E Balans VL '!E12)/100/3.6*1000000</f>
        <v>0</v>
      </c>
      <c r="K6" s="33"/>
      <c r="L6" s="33"/>
      <c r="M6" s="33"/>
      <c r="N6" s="33">
        <f>$C$26*'E Balans VL '!Y12/100/3.6*1000000</f>
        <v>45.424169835108778</v>
      </c>
      <c r="O6" s="33"/>
      <c r="P6" s="33"/>
      <c r="R6" s="32"/>
    </row>
    <row r="7" spans="1:18">
      <c r="A7" s="32" t="s">
        <v>52</v>
      </c>
      <c r="B7" s="37">
        <f t="shared" ref="B7:B12" si="0">B27</f>
        <v>1724.3467260702801</v>
      </c>
      <c r="C7" s="33"/>
      <c r="D7" s="37">
        <f>IF(ISERROR(TER_horeca_gas_kWh/1000),0,TER_horeca_gas_kWh/1000)*0.902</f>
        <v>877.26107365173914</v>
      </c>
      <c r="E7" s="33">
        <f>$C$27*'E Balans VL '!I9/100/3.6*1000000</f>
        <v>94.499679929832695</v>
      </c>
      <c r="F7" s="33">
        <f>$C$27*('E Balans VL '!L9+'E Balans VL '!N9)/100/3.6*1000000</f>
        <v>291.81714518942528</v>
      </c>
      <c r="G7" s="34"/>
      <c r="H7" s="33"/>
      <c r="I7" s="33"/>
      <c r="J7" s="33">
        <f>$C$27*('E Balans VL '!D9+'E Balans VL '!E9)/100/3.6*1000000</f>
        <v>0</v>
      </c>
      <c r="K7" s="33"/>
      <c r="L7" s="33"/>
      <c r="M7" s="33"/>
      <c r="N7" s="33">
        <f>$C$27*'E Balans VL '!Y9/100/3.6*1000000</f>
        <v>0</v>
      </c>
      <c r="O7" s="33"/>
      <c r="P7" s="33"/>
      <c r="R7" s="32"/>
    </row>
    <row r="8" spans="1:18">
      <c r="A8" s="6" t="s">
        <v>51</v>
      </c>
      <c r="B8" s="37">
        <f t="shared" si="0"/>
        <v>1734.5255079107201</v>
      </c>
      <c r="C8" s="33"/>
      <c r="D8" s="37">
        <f>IF(ISERROR(TER_handel_gas_kWh/1000),0,TER_handel_gas_kWh/1000)*0.902</f>
        <v>287.94044442246684</v>
      </c>
      <c r="E8" s="33">
        <f>$C$28*'E Balans VL '!I13/100/3.6*1000000</f>
        <v>8.7752607137868299</v>
      </c>
      <c r="F8" s="33">
        <f>$C$28*('E Balans VL '!L13+'E Balans VL '!N13)/100/3.6*1000000</f>
        <v>263.54758481896505</v>
      </c>
      <c r="G8" s="34"/>
      <c r="H8" s="33"/>
      <c r="I8" s="33"/>
      <c r="J8" s="33">
        <f>$C$28*('E Balans VL '!D13+'E Balans VL '!E13)/100/3.6*1000000</f>
        <v>0</v>
      </c>
      <c r="K8" s="33"/>
      <c r="L8" s="33"/>
      <c r="M8" s="33"/>
      <c r="N8" s="33">
        <f>$C$28*'E Balans VL '!Y13/100/3.6*1000000</f>
        <v>0.81111055950191235</v>
      </c>
      <c r="O8" s="33"/>
      <c r="P8" s="33"/>
      <c r="R8" s="32"/>
    </row>
    <row r="9" spans="1:18">
      <c r="A9" s="32" t="s">
        <v>50</v>
      </c>
      <c r="B9" s="37">
        <f t="shared" si="0"/>
        <v>168.796794501698</v>
      </c>
      <c r="C9" s="33"/>
      <c r="D9" s="37">
        <f>IF(ISERROR(TER_gezond_gas_kWh/1000),0,TER_gezond_gas_kWh/1000)*0.902</f>
        <v>91.054302643905686</v>
      </c>
      <c r="E9" s="33">
        <f>$C$29*'E Balans VL '!I10/100/3.6*1000000</f>
        <v>6.1382221616399897E-2</v>
      </c>
      <c r="F9" s="33">
        <f>$C$29*('E Balans VL '!L10+'E Balans VL '!N10)/100/3.6*1000000</f>
        <v>36.472426038455247</v>
      </c>
      <c r="G9" s="34"/>
      <c r="H9" s="33"/>
      <c r="I9" s="33"/>
      <c r="J9" s="33">
        <f>$C$29*('E Balans VL '!D10+'E Balans VL '!E10)/100/3.6*1000000</f>
        <v>0</v>
      </c>
      <c r="K9" s="33"/>
      <c r="L9" s="33"/>
      <c r="M9" s="33"/>
      <c r="N9" s="33">
        <f>$C$29*'E Balans VL '!Y10/100/3.6*1000000</f>
        <v>1.2798635423538747</v>
      </c>
      <c r="O9" s="33"/>
      <c r="P9" s="33"/>
      <c r="R9" s="32"/>
    </row>
    <row r="10" spans="1:18">
      <c r="A10" s="32" t="s">
        <v>49</v>
      </c>
      <c r="B10" s="37">
        <f t="shared" si="0"/>
        <v>1398.2017313352098</v>
      </c>
      <c r="C10" s="33"/>
      <c r="D10" s="37">
        <f>IF(ISERROR(TER_ander_gas_kWh/1000),0,TER_ander_gas_kWh/1000)*0.902</f>
        <v>160.38523375757723</v>
      </c>
      <c r="E10" s="33">
        <f>$C$30*'E Balans VL '!I14/100/3.6*1000000</f>
        <v>8.5117609815479849</v>
      </c>
      <c r="F10" s="33">
        <f>$C$30*('E Balans VL '!L14+'E Balans VL '!N14)/100/3.6*1000000</f>
        <v>370.17310727328515</v>
      </c>
      <c r="G10" s="34"/>
      <c r="H10" s="33"/>
      <c r="I10" s="33"/>
      <c r="J10" s="33">
        <f>$C$30*('E Balans VL '!D14+'E Balans VL '!E14)/100/3.6*1000000</f>
        <v>0</v>
      </c>
      <c r="K10" s="33"/>
      <c r="L10" s="33"/>
      <c r="M10" s="33"/>
      <c r="N10" s="33">
        <f>$C$30*'E Balans VL '!Y14/100/3.6*1000000</f>
        <v>291.2091600387796</v>
      </c>
      <c r="O10" s="33"/>
      <c r="P10" s="33"/>
      <c r="R10" s="32"/>
    </row>
    <row r="11" spans="1:18">
      <c r="A11" s="32" t="s">
        <v>54</v>
      </c>
      <c r="B11" s="37">
        <f t="shared" si="0"/>
        <v>34.2680489703625</v>
      </c>
      <c r="C11" s="33"/>
      <c r="D11" s="37">
        <f>IF(ISERROR(TER_onderwijs_gas_kWh/1000),0,TER_onderwijs_gas_kWh/1000)*0.902</f>
        <v>0</v>
      </c>
      <c r="E11" s="33">
        <f>$C$31*'E Balans VL '!I11/100/3.6*1000000</f>
        <v>4.2529615698869087E-2</v>
      </c>
      <c r="F11" s="33">
        <f>$C$31*('E Balans VL '!L11+'E Balans VL '!N11)/100/3.6*1000000</f>
        <v>40.386689871994996</v>
      </c>
      <c r="G11" s="34"/>
      <c r="H11" s="33"/>
      <c r="I11" s="33"/>
      <c r="J11" s="33">
        <f>$C$31*('E Balans VL '!D11+'E Balans VL '!E11)/100/3.6*1000000</f>
        <v>0</v>
      </c>
      <c r="K11" s="33"/>
      <c r="L11" s="33"/>
      <c r="M11" s="33"/>
      <c r="N11" s="33">
        <f>$C$31*'E Balans VL '!Y11/100/3.6*1000000</f>
        <v>0.1644834345335788</v>
      </c>
      <c r="O11" s="33"/>
      <c r="P11" s="33"/>
      <c r="R11" s="32"/>
    </row>
    <row r="12" spans="1:18">
      <c r="A12" s="32" t="s">
        <v>249</v>
      </c>
      <c r="B12" s="37">
        <f t="shared" si="0"/>
        <v>4543.5726980951904</v>
      </c>
      <c r="C12" s="33"/>
      <c r="D12" s="37">
        <f>IF(ISERROR(TER_rest_gas_kWh/1000),0,TER_rest_gas_kWh/1000)*0.902</f>
        <v>6107.5663463118481</v>
      </c>
      <c r="E12" s="33">
        <f>$C$32*'E Balans VL '!I8/100/3.6*1000000</f>
        <v>97.350036439252477</v>
      </c>
      <c r="F12" s="33">
        <f>$C$32*('E Balans VL '!L8+'E Balans VL '!N8)/100/3.6*1000000</f>
        <v>898.65107556391331</v>
      </c>
      <c r="G12" s="34"/>
      <c r="H12" s="33"/>
      <c r="I12" s="33"/>
      <c r="J12" s="33">
        <f>$C$32*('E Balans VL '!D8+'E Balans VL '!E8)/100/3.6*1000000</f>
        <v>0</v>
      </c>
      <c r="K12" s="33"/>
      <c r="L12" s="33"/>
      <c r="M12" s="33"/>
      <c r="N12" s="33">
        <f>$C$32*'E Balans VL '!Y8/100/3.6*1000000</f>
        <v>132.2892470479521</v>
      </c>
      <c r="O12" s="33"/>
      <c r="P12" s="33"/>
      <c r="R12" s="32"/>
    </row>
    <row r="13" spans="1:18">
      <c r="A13" s="16" t="s">
        <v>483</v>
      </c>
      <c r="B13" s="243">
        <f ca="1">'lokale energieproductie'!N38+'lokale energieproductie'!N31</f>
        <v>90</v>
      </c>
      <c r="C13" s="243">
        <f ca="1">'lokale energieproductie'!O38+'lokale energieproductie'!O31</f>
        <v>64.285714285714292</v>
      </c>
      <c r="D13" s="302">
        <f ca="1">('lokale energieproductie'!P31+'lokale energieproductie'!P38)*(-1)</f>
        <v>-128.57142857142858</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-112.5</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12640.37184358082</v>
      </c>
      <c r="C16" s="21">
        <f ca="1">C5+C13+C14</f>
        <v>64.285714285714292</v>
      </c>
      <c r="D16" s="21">
        <f t="shared" ref="D16:N16" ca="1" si="1">MAX((D5+D13+D14),0)</f>
        <v>9327.8183855015759</v>
      </c>
      <c r="E16" s="21">
        <f t="shared" si="1"/>
        <v>311.17155653078891</v>
      </c>
      <c r="F16" s="21">
        <f t="shared" ca="1" si="1"/>
        <v>2350.8870181465991</v>
      </c>
      <c r="G16" s="21">
        <f t="shared" si="1"/>
        <v>0</v>
      </c>
      <c r="H16" s="21">
        <f t="shared" si="1"/>
        <v>0</v>
      </c>
      <c r="I16" s="21">
        <f t="shared" si="1"/>
        <v>0</v>
      </c>
      <c r="J16" s="21">
        <f t="shared" si="1"/>
        <v>0</v>
      </c>
      <c r="K16" s="21">
        <f t="shared" si="1"/>
        <v>0</v>
      </c>
      <c r="L16" s="21">
        <f t="shared" ca="1" si="1"/>
        <v>0</v>
      </c>
      <c r="M16" s="21">
        <f t="shared" si="1"/>
        <v>0</v>
      </c>
      <c r="N16" s="21">
        <f t="shared" ca="1" si="1"/>
        <v>358.67803445822983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0.2156464211931996</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2725.8509506194905</v>
      </c>
      <c r="C20" s="23">
        <f t="shared" ref="C20:P20" ca="1" si="2">C16*C18</f>
        <v>15.277310924369752</v>
      </c>
      <c r="D20" s="23">
        <f t="shared" ca="1" si="2"/>
        <v>1884.2193138713185</v>
      </c>
      <c r="E20" s="23">
        <f t="shared" si="2"/>
        <v>70.635943332489077</v>
      </c>
      <c r="F20" s="23">
        <f t="shared" ca="1" si="2"/>
        <v>627.68683384514202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2946.66033669736</v>
      </c>
      <c r="C26" s="39">
        <f>IF(ISERROR(B26*3.6/1000000/'E Balans VL '!Z12*100),0,B26*3.6/1000000/'E Balans VL '!Z12*100)</f>
        <v>6.1277881104720121E-2</v>
      </c>
      <c r="D26" s="233" t="s">
        <v>676</v>
      </c>
      <c r="F26" s="6"/>
    </row>
    <row r="27" spans="1:18">
      <c r="A27" s="228" t="s">
        <v>52</v>
      </c>
      <c r="B27" s="33">
        <f>IF(ISERROR(TER_horeca_ele_kWh/1000),0,TER_horeca_ele_kWh/1000)</f>
        <v>1724.3467260702801</v>
      </c>
      <c r="C27" s="39">
        <f>IF(ISERROR(B27*3.6/1000000/'E Balans VL '!Z9*100),0,B27*3.6/1000000/'E Balans VL '!Z9*100)</f>
        <v>0.14182874190175873</v>
      </c>
      <c r="D27" s="233" t="s">
        <v>676</v>
      </c>
      <c r="F27" s="6"/>
    </row>
    <row r="28" spans="1:18">
      <c r="A28" s="168" t="s">
        <v>51</v>
      </c>
      <c r="B28" s="33">
        <f>IF(ISERROR(TER_handel_ele_kWh/1000),0,TER_handel_ele_kWh/1000)</f>
        <v>1734.5255079107201</v>
      </c>
      <c r="C28" s="39">
        <f>IF(ISERROR(B28*3.6/1000000/'E Balans VL '!Z13*100),0,B28*3.6/1000000/'E Balans VL '!Z13*100)</f>
        <v>4.8011326968324088E-2</v>
      </c>
      <c r="D28" s="233" t="s">
        <v>676</v>
      </c>
      <c r="F28" s="6"/>
    </row>
    <row r="29" spans="1:18">
      <c r="A29" s="228" t="s">
        <v>50</v>
      </c>
      <c r="B29" s="33">
        <f>IF(ISERROR(TER_gezond_ele_kWh/1000),0,TER_gezond_ele_kWh/1000)</f>
        <v>168.796794501698</v>
      </c>
      <c r="C29" s="39">
        <f>IF(ISERROR(B29*3.6/1000000/'E Balans VL '!Z10*100),0,B29*3.6/1000000/'E Balans VL '!Z10*100)</f>
        <v>1.9250049222685316E-2</v>
      </c>
      <c r="D29" s="233" t="s">
        <v>676</v>
      </c>
      <c r="F29" s="6"/>
    </row>
    <row r="30" spans="1:18">
      <c r="A30" s="228" t="s">
        <v>49</v>
      </c>
      <c r="B30" s="33">
        <f>IF(ISERROR(TER_ander_ele_kWh/1000),0,TER_ander_ele_kWh/1000)</f>
        <v>1398.2017313352098</v>
      </c>
      <c r="C30" s="39">
        <f>IF(ISERROR(B30*3.6/1000000/'E Balans VL '!Z14*100),0,B30*3.6/1000000/'E Balans VL '!Z14*100)</f>
        <v>0.10822460666336665</v>
      </c>
      <c r="D30" s="233" t="s">
        <v>676</v>
      </c>
      <c r="F30" s="6"/>
    </row>
    <row r="31" spans="1:18">
      <c r="A31" s="228" t="s">
        <v>54</v>
      </c>
      <c r="B31" s="33">
        <f>IF(ISERROR(TER_onderwijs_ele_kWh/1000),0,TER_onderwijs_ele_kWh/1000)</f>
        <v>34.2680489703625</v>
      </c>
      <c r="C31" s="39">
        <f>IF(ISERROR(B31*3.6/1000000/'E Balans VL '!Z11*100),0,B31*3.6/1000000/'E Balans VL '!Z11*100)</f>
        <v>1.0677275854175839E-2</v>
      </c>
      <c r="D31" s="233" t="s">
        <v>676</v>
      </c>
    </row>
    <row r="32" spans="1:18">
      <c r="A32" s="228" t="s">
        <v>249</v>
      </c>
      <c r="B32" s="33">
        <f>IF(ISERROR(TER_rest_ele_kWh/1000),0,TER_rest_ele_kWh/1000)</f>
        <v>4543.5726980951904</v>
      </c>
      <c r="C32" s="39">
        <f>IF(ISERROR(B32*3.6/1000000/'E Balans VL '!Z8*100),0,B32*3.6/1000000/'E Balans VL '!Z8*100)</f>
        <v>3.7466662592770837E-2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53508.761822170884</v>
      </c>
      <c r="C5" s="17">
        <f>IF(ISERROR('Eigen informatie GS &amp; warmtenet'!B59),0,'Eigen informatie GS &amp; warmtenet'!B59)</f>
        <v>0</v>
      </c>
      <c r="D5" s="30">
        <f>SUM(D6:D15)</f>
        <v>37973.150353786325</v>
      </c>
      <c r="E5" s="17">
        <f>SUM(E6:E15)</f>
        <v>493.06200872245398</v>
      </c>
      <c r="F5" s="17">
        <f>SUM(F6:F15)</f>
        <v>11427.909048737554</v>
      </c>
      <c r="G5" s="18"/>
      <c r="H5" s="17"/>
      <c r="I5" s="17"/>
      <c r="J5" s="17">
        <f>SUM(J6:J15)</f>
        <v>352.24747056651529</v>
      </c>
      <c r="K5" s="17"/>
      <c r="L5" s="17"/>
      <c r="M5" s="17"/>
      <c r="N5" s="17">
        <f>SUM(N6:N15)</f>
        <v>1032.8924412083086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33.373168515322199</v>
      </c>
      <c r="C8" s="33"/>
      <c r="D8" s="37">
        <f>IF( ISERROR(IND_metaal_Gas_kWH/1000),0,IND_metaal_Gas_kWH/1000)*0.902</f>
        <v>0</v>
      </c>
      <c r="E8" s="33">
        <f>C30*'E Balans VL '!I18/100/3.6*1000000</f>
        <v>0.23450589170154448</v>
      </c>
      <c r="F8" s="33">
        <f>C30*'E Balans VL '!L18/100/3.6*1000000+C30*'E Balans VL '!N18/100/3.6*1000000</f>
        <v>3.6641786507281688</v>
      </c>
      <c r="G8" s="34"/>
      <c r="H8" s="33"/>
      <c r="I8" s="33"/>
      <c r="J8" s="40">
        <f>C30*'E Balans VL '!D18/100/3.6*1000000+C30*'E Balans VL '!E18/100/3.6*1000000</f>
        <v>0.68856039872393415</v>
      </c>
      <c r="K8" s="33"/>
      <c r="L8" s="33"/>
      <c r="M8" s="33"/>
      <c r="N8" s="33">
        <f>C30*'E Balans VL '!Y18/100/3.6*1000000</f>
        <v>0.12508503912844601</v>
      </c>
      <c r="O8" s="33"/>
      <c r="P8" s="33"/>
      <c r="R8" s="32"/>
    </row>
    <row r="9" spans="1:18">
      <c r="A9" s="6" t="s">
        <v>32</v>
      </c>
      <c r="B9" s="37">
        <f t="shared" si="0"/>
        <v>1261.2570947459301</v>
      </c>
      <c r="C9" s="33"/>
      <c r="D9" s="37">
        <f>IF( ISERROR(IND_andere_gas_kWh/1000),0,IND_andere_gas_kWh/1000)*0.902</f>
        <v>244.61861261817128</v>
      </c>
      <c r="E9" s="33">
        <f>C31*'E Balans VL '!I19/100/3.6*1000000</f>
        <v>21.184357995530917</v>
      </c>
      <c r="F9" s="33">
        <f>C31*'E Balans VL '!L19/100/3.6*1000000+C31*'E Balans VL '!N19/100/3.6*1000000</f>
        <v>985.97896083205956</v>
      </c>
      <c r="G9" s="34"/>
      <c r="H9" s="33"/>
      <c r="I9" s="33"/>
      <c r="J9" s="40">
        <f>C31*'E Balans VL '!D19/100/3.6*1000000+C31*'E Balans VL '!E19/100/3.6*1000000</f>
        <v>0.11375425634423242</v>
      </c>
      <c r="K9" s="33"/>
      <c r="L9" s="33"/>
      <c r="M9" s="33"/>
      <c r="N9" s="33">
        <f>C31*'E Balans VL '!Y19/100/3.6*1000000</f>
        <v>93.479385809316724</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19.4528494866342</v>
      </c>
      <c r="C13" s="33"/>
      <c r="D13" s="37">
        <f>IF( ISERROR(IND_papier_gas_kWh/1000),0,IND_papier_gas_kWh/1000)*0.902</f>
        <v>0</v>
      </c>
      <c r="E13" s="33">
        <f>C35*'E Balans VL '!I23/100/3.6*1000000</f>
        <v>0.59851341128804736</v>
      </c>
      <c r="F13" s="33">
        <f>C35*'E Balans VL '!L23/100/3.6*1000000+C35*'E Balans VL '!N23/100/3.6*1000000</f>
        <v>4.1305197829356093</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52194.678709422995</v>
      </c>
      <c r="C15" s="33"/>
      <c r="D15" s="37">
        <f>IF( ISERROR(IND_rest_gas_kWh/1000),0,IND_rest_gas_kWh/1000)*0.902</f>
        <v>37728.531741168154</v>
      </c>
      <c r="E15" s="33">
        <f>C37*'E Balans VL '!I15/100/3.6*1000000</f>
        <v>471.04463142393348</v>
      </c>
      <c r="F15" s="33">
        <f>C37*'E Balans VL '!L15/100/3.6*1000000+C37*'E Balans VL '!N15/100/3.6*1000000</f>
        <v>10434.13538947183</v>
      </c>
      <c r="G15" s="34"/>
      <c r="H15" s="33"/>
      <c r="I15" s="33"/>
      <c r="J15" s="40">
        <f>C37*'E Balans VL '!D15/100/3.6*1000000+C37*'E Balans VL '!E15/100/3.6*1000000</f>
        <v>351.4451559114471</v>
      </c>
      <c r="K15" s="33"/>
      <c r="L15" s="33"/>
      <c r="M15" s="33"/>
      <c r="N15" s="33">
        <f>C37*'E Balans VL '!Y15/100/3.6*1000000</f>
        <v>939.28797035986338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53508.761822170884</v>
      </c>
      <c r="C18" s="21">
        <f>C5+C16</f>
        <v>0</v>
      </c>
      <c r="D18" s="21">
        <f>MAX((D5+D16),0)</f>
        <v>37973.150353786325</v>
      </c>
      <c r="E18" s="21">
        <f>MAX((E5+E16),0)</f>
        <v>493.06200872245398</v>
      </c>
      <c r="F18" s="21">
        <f>MAX((F5+F16),0)</f>
        <v>11427.909048737554</v>
      </c>
      <c r="G18" s="21"/>
      <c r="H18" s="21"/>
      <c r="I18" s="21"/>
      <c r="J18" s="21">
        <f>MAX((J5+J16),0)</f>
        <v>352.24747056651529</v>
      </c>
      <c r="K18" s="21"/>
      <c r="L18" s="21">
        <f>MAX((L5+L16),0)</f>
        <v>0</v>
      </c>
      <c r="M18" s="21"/>
      <c r="N18" s="21">
        <f>MAX((N5+N16),0)</f>
        <v>1032.8924412083086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0.2156464211931996</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11538.97298943046</v>
      </c>
      <c r="C22" s="23">
        <f ca="1">C18*C20</f>
        <v>0</v>
      </c>
      <c r="D22" s="23">
        <f>D18*D20</f>
        <v>7670.5763714648383</v>
      </c>
      <c r="E22" s="23">
        <f>E18*E20</f>
        <v>111.92507597999706</v>
      </c>
      <c r="F22" s="23">
        <f>F18*F20</f>
        <v>3051.2517160129273</v>
      </c>
      <c r="G22" s="23"/>
      <c r="H22" s="23"/>
      <c r="I22" s="23"/>
      <c r="J22" s="23">
        <f>J18*J20</f>
        <v>124.6956045805464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33.373168515322199</v>
      </c>
      <c r="C30" s="39">
        <f>IF(ISERROR(B30*3.6/1000000/'E Balans VL '!Z18*100),0,B30*3.6/1000000/'E Balans VL '!Z18*100)</f>
        <v>2.2216722074294491E-3</v>
      </c>
      <c r="D30" s="233" t="s">
        <v>676</v>
      </c>
    </row>
    <row r="31" spans="1:18">
      <c r="A31" s="6" t="s">
        <v>32</v>
      </c>
      <c r="B31" s="37">
        <f>IF( ISERROR(IND_ander_ele_kWh/1000),0,IND_ander_ele_kWh/1000)</f>
        <v>1261.2570947459301</v>
      </c>
      <c r="C31" s="39">
        <f>IF(ISERROR(B31*3.6/1000000/'E Balans VL '!Z19*100),0,B31*3.6/1000000/'E Balans VL '!Z19*100)</f>
        <v>5.5906528715254165E-2</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19.4528494866342</v>
      </c>
      <c r="C35" s="39">
        <f>IF(ISERROR(B35*3.6/1000000/'E Balans VL '!Z22*100),0,B35*3.6/1000000/'E Balans VL '!Z22*100)</f>
        <v>3.7833655477448993E-3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52194.678709422995</v>
      </c>
      <c r="C37" s="39">
        <f>IF(ISERROR(B37*3.6/1000000/'E Balans VL '!Z15*100),0,B37*3.6/1000000/'E Balans VL '!Z15*100)</f>
        <v>0.38824337719288177</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724.54239718391796</v>
      </c>
      <c r="C5" s="17">
        <f>'Eigen informatie GS &amp; warmtenet'!B60</f>
        <v>0</v>
      </c>
      <c r="D5" s="30">
        <f>IF(ISERROR(SUM(LB_lb_gas_kWh,LB_rest_gas_kWh)/1000),0,SUM(LB_lb_gas_kWh,LB_rest_gas_kWh)/1000)*0.902</f>
        <v>54.304223894863675</v>
      </c>
      <c r="E5" s="17">
        <f>B17*'E Balans VL '!I25/3.6*1000000/100</f>
        <v>6.5290463618983026</v>
      </c>
      <c r="F5" s="17">
        <f>B17*('E Balans VL '!L25/3.6*1000000+'E Balans VL '!N25/3.6*1000000)/100</f>
        <v>2714.8824600595131</v>
      </c>
      <c r="G5" s="18"/>
      <c r="H5" s="17"/>
      <c r="I5" s="17"/>
      <c r="J5" s="17">
        <f>('E Balans VL '!D25+'E Balans VL '!E25)/3.6*1000000*landbouw!B17/100</f>
        <v>73.32069397133327</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724.54239718391796</v>
      </c>
      <c r="C8" s="21">
        <f>C5+C6</f>
        <v>0</v>
      </c>
      <c r="D8" s="21">
        <f>MAX((D5+D6),0)</f>
        <v>54.304223894863675</v>
      </c>
      <c r="E8" s="21">
        <f>MAX((E5+E6),0)</f>
        <v>6.5290463618983026</v>
      </c>
      <c r="F8" s="21">
        <f>MAX((F5+F6),0)</f>
        <v>2714.8824600595131</v>
      </c>
      <c r="G8" s="21"/>
      <c r="H8" s="21"/>
      <c r="I8" s="21"/>
      <c r="J8" s="21">
        <f>MAX((J5+J6),0)</f>
        <v>73.32069397133327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0.2156464211931996</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156.2449749554537</v>
      </c>
      <c r="C12" s="23">
        <f ca="1">C8*C10</f>
        <v>0</v>
      </c>
      <c r="D12" s="23">
        <f>D8*D10</f>
        <v>10.969453226762463</v>
      </c>
      <c r="E12" s="23">
        <f>E8*E10</f>
        <v>1.4820935241509148</v>
      </c>
      <c r="F12" s="23">
        <f>F8*F10</f>
        <v>724.87361683589006</v>
      </c>
      <c r="G12" s="23"/>
      <c r="H12" s="23"/>
      <c r="I12" s="23"/>
      <c r="J12" s="23">
        <f>J8*J10</f>
        <v>25.955525665851976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0.1115210611795083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14.476606167149207</v>
      </c>
      <c r="C26" s="243">
        <f>B26*'GWP N2O_CH4'!B5</f>
        <v>304.00872951013332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0.78788940310480216</v>
      </c>
      <c r="C27" s="243">
        <f>B27*'GWP N2O_CH4'!B5</f>
        <v>16.545677465200846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0.25849910879774934</v>
      </c>
      <c r="C28" s="243">
        <f>B28*'GWP N2O_CH4'!B4</f>
        <v>80.134723727302301</v>
      </c>
      <c r="D28" s="50"/>
    </row>
    <row r="29" spans="1:4">
      <c r="A29" s="41" t="s">
        <v>266</v>
      </c>
      <c r="B29" s="243">
        <f>B34*'ha_N2O bodem landbouw'!B4</f>
        <v>5.2401200790947264</v>
      </c>
      <c r="C29" s="243">
        <f>B29*'GWP N2O_CH4'!B4</f>
        <v>1624.4372245193651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1.3604976893842522E-3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7.5732417841610808E-6</v>
      </c>
      <c r="C5" s="431" t="s">
        <v>204</v>
      </c>
      <c r="D5" s="416">
        <f>SUM(D6:D11)</f>
        <v>2.4724807728721164E-5</v>
      </c>
      <c r="E5" s="416">
        <f>SUM(E6:E11)</f>
        <v>2.7954313241511418E-3</v>
      </c>
      <c r="F5" s="429" t="s">
        <v>204</v>
      </c>
      <c r="G5" s="416">
        <f>SUM(G6:G11)</f>
        <v>0.49215643714745716</v>
      </c>
      <c r="H5" s="416">
        <f>SUM(H6:H11)</f>
        <v>8.7601781720112126E-2</v>
      </c>
      <c r="I5" s="431" t="s">
        <v>204</v>
      </c>
      <c r="J5" s="431" t="s">
        <v>204</v>
      </c>
      <c r="K5" s="431" t="s">
        <v>204</v>
      </c>
      <c r="L5" s="431" t="s">
        <v>204</v>
      </c>
      <c r="M5" s="416">
        <f>SUM(M6:M11)</f>
        <v>2.5233571846277159E-2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3.0987359700605035E-6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9.7810884004114637E-6</v>
      </c>
      <c r="E6" s="419">
        <f>vkm_GW_PW*SUMIFS(TableVerdeelsleutelVkm[LPG],TableVerdeelsleutelVkm[Voertuigtype],"Lichte voertuigen")*SUMIFS(TableECFTransport[EnergieConsumptieFactor (PJ per km)],TableECFTransport[Index],CONCATENATE($A6,"_LPG_LPG"))</f>
        <v>1.01584880260689E-3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0.13559803031474751</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3.4056381831989738E-2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7.4088990963329113E-3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1.0550438010553467E-7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4.7558792652393982E-2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1.3993867266297622E-6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2.0488577067471871E-3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8.6676346855342903E-7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4.6403445606690317E-6</v>
      </c>
      <c r="E8" s="419">
        <f>vkm_NGW_PW*SUMIFS(TableVerdeelsleutelVkm[LPG],TableVerdeelsleutelVkm[Voertuigtype],"Lichte voertuigen")*SUMIFS(TableECFTransport[EnergieConsumptieFactor (PJ per km)],TableECFTransport[Index],CONCATENATE($A8,"_LPG_LPG"))</f>
        <v>4.5359433783110031E-4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5.7597344703588113E-2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1.5259646993064065E-2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3.183572636325703E-3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4.0815973236443734E-9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2.5485285523249718E-3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6.5345225779039802E-8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1.0979150153464267E-4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3.3039985227894313E-6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1.0303374767640667E-5</v>
      </c>
      <c r="E10" s="419">
        <f>vkm_SW_PW*SUMIFS(TableVerdeelsleutelVkm[LPG],TableVerdeelsleutelVkm[Voertuigtype],"Lichte voertuigen")*SUMIFS(TableECFTransport[EnergieConsumptieFactor (PJ per km)],TableECFTransport[Index],CONCATENATE($A10,"_LPG_LPG"))</f>
        <v>1.3259881837131516E-3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0.16440268854848319</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3.828163751153546E-2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8.8442476914166492E-3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1.9415784532853912E-7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8.4451052375919447E-2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2.6506515704626627E-6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3.6382032139200653E-3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2.1036782733780779</v>
      </c>
      <c r="C14" s="21"/>
      <c r="D14" s="21">
        <f t="shared" ref="D14:M14" si="0">((D5)*10^9/3600)+D12</f>
        <v>6.8680021468669903</v>
      </c>
      <c r="E14" s="21">
        <f t="shared" si="0"/>
        <v>776.50870115309499</v>
      </c>
      <c r="F14" s="21"/>
      <c r="G14" s="21">
        <f t="shared" si="0"/>
        <v>136710.12142984921</v>
      </c>
      <c r="H14" s="21">
        <f t="shared" si="0"/>
        <v>24333.828255586704</v>
      </c>
      <c r="I14" s="21"/>
      <c r="J14" s="21"/>
      <c r="K14" s="21"/>
      <c r="L14" s="21"/>
      <c r="M14" s="21">
        <f t="shared" si="0"/>
        <v>7009.3255128547662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0.2156464211931996</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0.45365069099587185</v>
      </c>
      <c r="C18" s="23"/>
      <c r="D18" s="23">
        <f t="shared" ref="D18:M18" si="1">D14*D16</f>
        <v>1.3873364336671321</v>
      </c>
      <c r="E18" s="23">
        <f t="shared" si="1"/>
        <v>176.26747516175257</v>
      </c>
      <c r="F18" s="23"/>
      <c r="G18" s="23">
        <f t="shared" si="1"/>
        <v>36501.602421769741</v>
      </c>
      <c r="H18" s="23">
        <f t="shared" si="1"/>
        <v>6059.1232356410892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3.0369913327350202E-5</v>
      </c>
      <c r="C50" s="313">
        <f t="shared" ref="C50:P50" si="2">SUM(C51:C52)</f>
        <v>0</v>
      </c>
      <c r="D50" s="313">
        <f t="shared" si="2"/>
        <v>0</v>
      </c>
      <c r="E50" s="313">
        <f t="shared" si="2"/>
        <v>0</v>
      </c>
      <c r="F50" s="313">
        <f t="shared" si="2"/>
        <v>0</v>
      </c>
      <c r="G50" s="313">
        <f t="shared" si="2"/>
        <v>6.5884477867405866E-3</v>
      </c>
      <c r="H50" s="313">
        <f t="shared" si="2"/>
        <v>0</v>
      </c>
      <c r="I50" s="313">
        <f t="shared" si="2"/>
        <v>0</v>
      </c>
      <c r="J50" s="313">
        <f t="shared" si="2"/>
        <v>0</v>
      </c>
      <c r="K50" s="313">
        <f t="shared" si="2"/>
        <v>0</v>
      </c>
      <c r="L50" s="313">
        <f t="shared" si="2"/>
        <v>0</v>
      </c>
      <c r="M50" s="313">
        <f t="shared" si="2"/>
        <v>2.8209202635957686E-4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3.0369913327350202E-5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6.5884477867405866E-3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2.8209202635957686E-4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8.4360870353750563</v>
      </c>
      <c r="C54" s="21">
        <f t="shared" ref="C54:P54" si="3">(C50)*10^9/3600</f>
        <v>0</v>
      </c>
      <c r="D54" s="21">
        <f t="shared" si="3"/>
        <v>0</v>
      </c>
      <c r="E54" s="21">
        <f t="shared" si="3"/>
        <v>0</v>
      </c>
      <c r="F54" s="21">
        <f t="shared" si="3"/>
        <v>0</v>
      </c>
      <c r="G54" s="21">
        <f t="shared" si="3"/>
        <v>1830.1243852057185</v>
      </c>
      <c r="H54" s="21">
        <f t="shared" si="3"/>
        <v>0</v>
      </c>
      <c r="I54" s="21">
        <f t="shared" si="3"/>
        <v>0</v>
      </c>
      <c r="J54" s="21">
        <f t="shared" si="3"/>
        <v>0</v>
      </c>
      <c r="K54" s="21">
        <f t="shared" si="3"/>
        <v>0</v>
      </c>
      <c r="L54" s="21">
        <f t="shared" si="3"/>
        <v>0</v>
      </c>
      <c r="M54" s="21">
        <f t="shared" si="3"/>
        <v>78.358896210993564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0.2156464211931996</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1.8192119780529799</v>
      </c>
      <c r="C58" s="23">
        <f t="shared" ref="C58:P58" ca="1" si="4">C54*C56</f>
        <v>0</v>
      </c>
      <c r="D58" s="23">
        <f t="shared" si="4"/>
        <v>0</v>
      </c>
      <c r="E58" s="23">
        <f t="shared" si="4"/>
        <v>0</v>
      </c>
      <c r="F58" s="23">
        <f t="shared" si="4"/>
        <v>0</v>
      </c>
      <c r="G58" s="23">
        <f t="shared" si="4"/>
        <v>488.64321084992685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309</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2077.2807006311609</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45</v>
      </c>
      <c r="C8" s="542">
        <f>B48</f>
        <v>52.941176470588239</v>
      </c>
      <c r="D8" s="920"/>
      <c r="E8" s="920">
        <f>E48</f>
        <v>0</v>
      </c>
      <c r="F8" s="921"/>
      <c r="G8" s="543"/>
      <c r="H8" s="920">
        <f>I48</f>
        <v>0</v>
      </c>
      <c r="I8" s="920">
        <f>G48+F48</f>
        <v>0</v>
      </c>
      <c r="J8" s="920">
        <f>H48+D48+C48</f>
        <v>0</v>
      </c>
      <c r="K8" s="920"/>
      <c r="L8" s="920"/>
      <c r="M8" s="920"/>
      <c r="N8" s="544"/>
      <c r="O8" s="545">
        <f>C8*$C$12+D8*$D$12+E8*$E$12+F8*$F$12+G8*$G$12+H8*$H$12+I8*$I$12+J8*$J$12</f>
        <v>10.694117647058825</v>
      </c>
      <c r="P8" s="1181"/>
      <c r="Q8" s="1182"/>
      <c r="S8" s="953"/>
      <c r="T8" s="1169"/>
      <c r="U8" s="1169"/>
    </row>
    <row r="9" spans="1:21" s="530" customFormat="1" ht="17.45" customHeight="1" thickBot="1">
      <c r="A9" s="546" t="s">
        <v>237</v>
      </c>
      <c r="B9" s="957">
        <f>N36+'Eigen informatie GS &amp; warmtenet'!B12</f>
        <v>45</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112.5</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2476.2807006311609</v>
      </c>
      <c r="C10" s="554">
        <f t="shared" ref="C10:L10" si="0">SUM(C8:C9)</f>
        <v>52.941176470588239</v>
      </c>
      <c r="D10" s="554">
        <f t="shared" si="0"/>
        <v>0</v>
      </c>
      <c r="E10" s="554">
        <f t="shared" si="0"/>
        <v>0</v>
      </c>
      <c r="F10" s="554">
        <f t="shared" si="0"/>
        <v>0</v>
      </c>
      <c r="G10" s="554">
        <f t="shared" si="0"/>
        <v>0</v>
      </c>
      <c r="H10" s="554">
        <f t="shared" si="0"/>
        <v>0</v>
      </c>
      <c r="I10" s="554">
        <f t="shared" si="0"/>
        <v>0</v>
      </c>
      <c r="J10" s="554">
        <f t="shared" si="0"/>
        <v>112.5</v>
      </c>
      <c r="K10" s="554">
        <f t="shared" si="0"/>
        <v>0</v>
      </c>
      <c r="L10" s="554">
        <f t="shared" si="0"/>
        <v>0</v>
      </c>
      <c r="M10" s="915"/>
      <c r="N10" s="915"/>
      <c r="O10" s="555">
        <f>SUM(O4:O9)</f>
        <v>10.694117647058825</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64.285714285714292</v>
      </c>
      <c r="C17" s="566">
        <f>B49</f>
        <v>75.630252100840352</v>
      </c>
      <c r="D17" s="567"/>
      <c r="E17" s="567">
        <f>E49</f>
        <v>0</v>
      </c>
      <c r="F17" s="568"/>
      <c r="G17" s="569"/>
      <c r="H17" s="566">
        <f>I49</f>
        <v>0</v>
      </c>
      <c r="I17" s="567">
        <f>G49+F49</f>
        <v>0</v>
      </c>
      <c r="J17" s="567">
        <f>H49+D49+C49</f>
        <v>0</v>
      </c>
      <c r="K17" s="567"/>
      <c r="L17" s="567"/>
      <c r="M17" s="567"/>
      <c r="N17" s="916"/>
      <c r="O17" s="570">
        <f>C17*$C$22+E17*$E$22+H17*$H$22+I17*$I$22+J17*$J$22+D17*$D$22+F17*$F$22+G17*$G$22+K17*$K$22+L17*$L$22</f>
        <v>15.277310924369752</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64.285714285714292</v>
      </c>
      <c r="C20" s="553">
        <f>SUM(C17:C19)</f>
        <v>75.630252100840352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15.277310924369752</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24094</v>
      </c>
      <c r="C28" s="736">
        <v>3118</v>
      </c>
      <c r="D28" s="626"/>
      <c r="E28" s="625"/>
      <c r="F28" s="625"/>
      <c r="G28" s="625" t="s">
        <v>962</v>
      </c>
      <c r="H28" s="625" t="s">
        <v>963</v>
      </c>
      <c r="I28" s="625"/>
      <c r="J28" s="735"/>
      <c r="K28" s="735"/>
      <c r="L28" s="625" t="s">
        <v>964</v>
      </c>
      <c r="M28" s="625">
        <v>10</v>
      </c>
      <c r="N28" s="625">
        <v>45</v>
      </c>
      <c r="O28" s="625">
        <v>64.285714285714292</v>
      </c>
      <c r="P28" s="625">
        <v>128.57142857142858</v>
      </c>
      <c r="Q28" s="625">
        <v>0</v>
      </c>
      <c r="R28" s="625">
        <v>0</v>
      </c>
      <c r="S28" s="625">
        <v>0</v>
      </c>
      <c r="T28" s="625">
        <v>0</v>
      </c>
      <c r="U28" s="625">
        <v>0</v>
      </c>
      <c r="V28" s="625">
        <v>0</v>
      </c>
      <c r="W28" s="625">
        <v>0</v>
      </c>
      <c r="X28" s="625"/>
      <c r="Y28" s="625">
        <v>1600</v>
      </c>
      <c r="Z28" s="625" t="s">
        <v>49</v>
      </c>
      <c r="AA28" s="627" t="s">
        <v>149</v>
      </c>
    </row>
    <row r="29" spans="1:27" s="561" customFormat="1" hidden="1">
      <c r="A29" s="581" t="s">
        <v>269</v>
      </c>
      <c r="B29" s="582"/>
      <c r="C29" s="582"/>
      <c r="D29" s="582"/>
      <c r="E29" s="582"/>
      <c r="F29" s="582"/>
      <c r="G29" s="582"/>
      <c r="H29" s="582"/>
      <c r="I29" s="582"/>
      <c r="J29" s="582"/>
      <c r="K29" s="582"/>
      <c r="L29" s="583"/>
      <c r="M29" s="583">
        <f>SUM(M28:M28)</f>
        <v>10</v>
      </c>
      <c r="N29" s="583">
        <f>SUM(N28:N28)</f>
        <v>45</v>
      </c>
      <c r="O29" s="583">
        <f>SUM(O28:O28)</f>
        <v>64.285714285714292</v>
      </c>
      <c r="P29" s="583">
        <f>SUM(P28:P28)</f>
        <v>128.57142857142858</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10</v>
      </c>
      <c r="N31" s="583">
        <f ca="1">SUMIF($AA$28:AE28,"tertiair",N28:N28)</f>
        <v>45</v>
      </c>
      <c r="O31" s="583">
        <f ca="1">SUMIF($AA$28:AF28,"tertiair",O28:O28)</f>
        <v>64.285714285714292</v>
      </c>
      <c r="P31" s="583">
        <f ca="1">SUMIF($AA$28:AG28,"tertiair",P28:P28)</f>
        <v>128.57142857142858</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63.75" hidden="1">
      <c r="A35" s="580"/>
      <c r="B35" s="736">
        <v>24094</v>
      </c>
      <c r="C35" s="736">
        <v>3118</v>
      </c>
      <c r="D35" s="628"/>
      <c r="E35" s="628"/>
      <c r="F35" s="628"/>
      <c r="G35" s="628" t="s">
        <v>965</v>
      </c>
      <c r="H35" s="628" t="s">
        <v>966</v>
      </c>
      <c r="I35" s="628"/>
      <c r="J35" s="735"/>
      <c r="K35" s="735"/>
      <c r="L35" s="628" t="s">
        <v>967</v>
      </c>
      <c r="M35" s="628">
        <v>10</v>
      </c>
      <c r="N35" s="628">
        <v>45</v>
      </c>
      <c r="O35" s="628">
        <v>0</v>
      </c>
      <c r="P35" s="628">
        <v>0</v>
      </c>
      <c r="Q35" s="628">
        <v>0</v>
      </c>
      <c r="R35" s="628">
        <v>0</v>
      </c>
      <c r="S35" s="628">
        <v>0</v>
      </c>
      <c r="T35" s="628">
        <v>0</v>
      </c>
      <c r="U35" s="628">
        <v>0</v>
      </c>
      <c r="V35" s="628">
        <v>112.5</v>
      </c>
      <c r="W35" s="628">
        <v>0</v>
      </c>
      <c r="X35" s="628"/>
      <c r="Y35" s="628">
        <v>1600</v>
      </c>
      <c r="Z35" s="628" t="s">
        <v>49</v>
      </c>
      <c r="AA35" s="629" t="s">
        <v>149</v>
      </c>
    </row>
    <row r="36" spans="1:28" s="561" customFormat="1" hidden="1">
      <c r="A36" s="581" t="s">
        <v>269</v>
      </c>
      <c r="B36" s="582"/>
      <c r="C36" s="582"/>
      <c r="D36" s="582"/>
      <c r="E36" s="582"/>
      <c r="F36" s="582"/>
      <c r="G36" s="582"/>
      <c r="H36" s="582"/>
      <c r="I36" s="582"/>
      <c r="J36" s="582"/>
      <c r="K36" s="582"/>
      <c r="L36" s="583"/>
      <c r="M36" s="583">
        <f>SUM(M35:M35)</f>
        <v>10</v>
      </c>
      <c r="N36" s="583">
        <f>SUM(N35:N35)</f>
        <v>45</v>
      </c>
      <c r="O36" s="583">
        <f>SUM(O35:O35)</f>
        <v>0</v>
      </c>
      <c r="P36" s="583">
        <f>SUM(P35:P35)</f>
        <v>0</v>
      </c>
      <c r="Q36" s="583">
        <f>SUM(Q35:Q35)</f>
        <v>0</v>
      </c>
      <c r="R36" s="583">
        <f>SUM(R35:R35)</f>
        <v>0</v>
      </c>
      <c r="S36" s="583">
        <f>SUM(S35:S35)</f>
        <v>0</v>
      </c>
      <c r="T36" s="583">
        <f>SUM(T35:T35)</f>
        <v>0</v>
      </c>
      <c r="U36" s="583">
        <f>SUM(U35:U35)</f>
        <v>0</v>
      </c>
      <c r="V36" s="583">
        <f>SUM(V35:V35)</f>
        <v>112.5</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10</v>
      </c>
      <c r="N38" s="583">
        <f>SUMIF($AA$35:$AA$36,"tertiair",N35:N36)</f>
        <v>45</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112.5</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52.941176470588239</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75.630252100840352</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13525.577843580821</v>
      </c>
      <c r="D10" s="635">
        <f ca="1">tertiair!C16</f>
        <v>64.285714285714292</v>
      </c>
      <c r="E10" s="635">
        <f ca="1">tertiair!D16</f>
        <v>9327.8183855015759</v>
      </c>
      <c r="F10" s="635">
        <f>tertiair!E16</f>
        <v>311.17155653078891</v>
      </c>
      <c r="G10" s="635">
        <f ca="1">tertiair!F16</f>
        <v>2350.8870181465991</v>
      </c>
      <c r="H10" s="635">
        <f>tertiair!G16</f>
        <v>0</v>
      </c>
      <c r="I10" s="635">
        <f>tertiair!H16</f>
        <v>0</v>
      </c>
      <c r="J10" s="635">
        <f>tertiair!I16</f>
        <v>0</v>
      </c>
      <c r="K10" s="635">
        <f>tertiair!J16</f>
        <v>0</v>
      </c>
      <c r="L10" s="635">
        <f>tertiair!K16</f>
        <v>0</v>
      </c>
      <c r="M10" s="635">
        <f ca="1">tertiair!L16</f>
        <v>0</v>
      </c>
      <c r="N10" s="635">
        <f>tertiair!M16</f>
        <v>0</v>
      </c>
      <c r="O10" s="635">
        <f ca="1">tertiair!N16</f>
        <v>358.67803445822983</v>
      </c>
      <c r="P10" s="635">
        <f>tertiair!O16</f>
        <v>0</v>
      </c>
      <c r="Q10" s="636">
        <f>tertiair!P16</f>
        <v>0</v>
      </c>
      <c r="R10" s="638">
        <f ca="1">SUM(C10:Q10)</f>
        <v>25938.418552503725</v>
      </c>
      <c r="S10" s="67"/>
    </row>
    <row r="11" spans="1:19" s="441" customFormat="1">
      <c r="A11" s="749" t="s">
        <v>214</v>
      </c>
      <c r="B11" s="754"/>
      <c r="C11" s="635">
        <f>huishoudens!B8</f>
        <v>30872.977206076088</v>
      </c>
      <c r="D11" s="635">
        <f>huishoudens!C8</f>
        <v>0</v>
      </c>
      <c r="E11" s="635">
        <f>huishoudens!D8</f>
        <v>33931.924762404808</v>
      </c>
      <c r="F11" s="635">
        <f>huishoudens!E8</f>
        <v>1947.2164886954424</v>
      </c>
      <c r="G11" s="635">
        <f>huishoudens!F8</f>
        <v>66467.058024749815</v>
      </c>
      <c r="H11" s="635">
        <f>huishoudens!G8</f>
        <v>0</v>
      </c>
      <c r="I11" s="635">
        <f>huishoudens!H8</f>
        <v>0</v>
      </c>
      <c r="J11" s="635">
        <f>huishoudens!I8</f>
        <v>0</v>
      </c>
      <c r="K11" s="635">
        <f>huishoudens!J8</f>
        <v>1496.6696336370651</v>
      </c>
      <c r="L11" s="635">
        <f>huishoudens!K8</f>
        <v>0</v>
      </c>
      <c r="M11" s="635">
        <f>huishoudens!L8</f>
        <v>0</v>
      </c>
      <c r="N11" s="635">
        <f>huishoudens!M8</f>
        <v>0</v>
      </c>
      <c r="O11" s="635">
        <f>huishoudens!N8</f>
        <v>7981.9773112641687</v>
      </c>
      <c r="P11" s="635">
        <f>huishoudens!O8</f>
        <v>137.57333333333335</v>
      </c>
      <c r="Q11" s="636">
        <f>huishoudens!P8</f>
        <v>457.6</v>
      </c>
      <c r="R11" s="638">
        <f>SUM(C11:Q11)</f>
        <v>143292.99676016075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53508.761822170884</v>
      </c>
      <c r="D13" s="635">
        <f>industrie!C18</f>
        <v>0</v>
      </c>
      <c r="E13" s="635">
        <f>industrie!D18</f>
        <v>37973.150353786325</v>
      </c>
      <c r="F13" s="635">
        <f>industrie!E18</f>
        <v>493.06200872245398</v>
      </c>
      <c r="G13" s="635">
        <f>industrie!F18</f>
        <v>11427.909048737554</v>
      </c>
      <c r="H13" s="635">
        <f>industrie!G18</f>
        <v>0</v>
      </c>
      <c r="I13" s="635">
        <f>industrie!H18</f>
        <v>0</v>
      </c>
      <c r="J13" s="635">
        <f>industrie!I18</f>
        <v>0</v>
      </c>
      <c r="K13" s="635">
        <f>industrie!J18</f>
        <v>352.24747056651529</v>
      </c>
      <c r="L13" s="635">
        <f>industrie!K18</f>
        <v>0</v>
      </c>
      <c r="M13" s="635">
        <f>industrie!L18</f>
        <v>0</v>
      </c>
      <c r="N13" s="635">
        <f>industrie!M18</f>
        <v>0</v>
      </c>
      <c r="O13" s="635">
        <f>industrie!N18</f>
        <v>1032.8924412083086</v>
      </c>
      <c r="P13" s="635">
        <f>industrie!O18</f>
        <v>0</v>
      </c>
      <c r="Q13" s="636">
        <f>industrie!P18</f>
        <v>0</v>
      </c>
      <c r="R13" s="638">
        <f>SUM(C13:Q13)</f>
        <v>104788.02314519203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97907.316871827788</v>
      </c>
      <c r="D16" s="668">
        <f t="shared" ref="D16:R16" ca="1" si="0">SUM(D9:D15)</f>
        <v>64.285714285714292</v>
      </c>
      <c r="E16" s="668">
        <f t="shared" ca="1" si="0"/>
        <v>81232.893501692713</v>
      </c>
      <c r="F16" s="668">
        <f t="shared" si="0"/>
        <v>2751.4500539486853</v>
      </c>
      <c r="G16" s="668">
        <f t="shared" ca="1" si="0"/>
        <v>80245.85409163397</v>
      </c>
      <c r="H16" s="668">
        <f t="shared" si="0"/>
        <v>0</v>
      </c>
      <c r="I16" s="668">
        <f t="shared" si="0"/>
        <v>0</v>
      </c>
      <c r="J16" s="668">
        <f t="shared" si="0"/>
        <v>0</v>
      </c>
      <c r="K16" s="668">
        <f t="shared" si="0"/>
        <v>1848.9171042035805</v>
      </c>
      <c r="L16" s="668">
        <f t="shared" si="0"/>
        <v>0</v>
      </c>
      <c r="M16" s="668">
        <f t="shared" ca="1" si="0"/>
        <v>0</v>
      </c>
      <c r="N16" s="668">
        <f t="shared" si="0"/>
        <v>0</v>
      </c>
      <c r="O16" s="668">
        <f t="shared" ca="1" si="0"/>
        <v>9373.5477869307069</v>
      </c>
      <c r="P16" s="668">
        <f t="shared" si="0"/>
        <v>137.57333333333335</v>
      </c>
      <c r="Q16" s="668">
        <f t="shared" si="0"/>
        <v>457.6</v>
      </c>
      <c r="R16" s="668">
        <f t="shared" ca="1" si="0"/>
        <v>274019.43845785648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8.4360870353750563</v>
      </c>
      <c r="D19" s="635">
        <f>transport!C54</f>
        <v>0</v>
      </c>
      <c r="E19" s="635">
        <f>transport!D54</f>
        <v>0</v>
      </c>
      <c r="F19" s="635">
        <f>transport!E54</f>
        <v>0</v>
      </c>
      <c r="G19" s="635">
        <f>transport!F54</f>
        <v>0</v>
      </c>
      <c r="H19" s="635">
        <f>transport!G54</f>
        <v>1830.1243852057185</v>
      </c>
      <c r="I19" s="635">
        <f>transport!H54</f>
        <v>0</v>
      </c>
      <c r="J19" s="635">
        <f>transport!I54</f>
        <v>0</v>
      </c>
      <c r="K19" s="635">
        <f>transport!J54</f>
        <v>0</v>
      </c>
      <c r="L19" s="635">
        <f>transport!K54</f>
        <v>0</v>
      </c>
      <c r="M19" s="635">
        <f>transport!L54</f>
        <v>0</v>
      </c>
      <c r="N19" s="635">
        <f>transport!M54</f>
        <v>78.358896210993564</v>
      </c>
      <c r="O19" s="635">
        <f>transport!N54</f>
        <v>0</v>
      </c>
      <c r="P19" s="635">
        <f>transport!O54</f>
        <v>0</v>
      </c>
      <c r="Q19" s="636">
        <f>transport!P54</f>
        <v>0</v>
      </c>
      <c r="R19" s="638">
        <f>SUM(C19:Q19)</f>
        <v>1916.9193684520872</v>
      </c>
      <c r="S19" s="67"/>
    </row>
    <row r="20" spans="1:19" s="441" customFormat="1">
      <c r="A20" s="749" t="s">
        <v>296</v>
      </c>
      <c r="B20" s="754"/>
      <c r="C20" s="635">
        <f>transport!B14</f>
        <v>2.1036782733780779</v>
      </c>
      <c r="D20" s="635">
        <f>transport!C14</f>
        <v>0</v>
      </c>
      <c r="E20" s="635">
        <f>transport!D14</f>
        <v>6.8680021468669903</v>
      </c>
      <c r="F20" s="635">
        <f>transport!E14</f>
        <v>776.50870115309499</v>
      </c>
      <c r="G20" s="635">
        <f>transport!F14</f>
        <v>0</v>
      </c>
      <c r="H20" s="635">
        <f>transport!G14</f>
        <v>136710.12142984921</v>
      </c>
      <c r="I20" s="635">
        <f>transport!H14</f>
        <v>24333.828255586704</v>
      </c>
      <c r="J20" s="635">
        <f>transport!I14</f>
        <v>0</v>
      </c>
      <c r="K20" s="635">
        <f>transport!J14</f>
        <v>0</v>
      </c>
      <c r="L20" s="635">
        <f>transport!K14</f>
        <v>0</v>
      </c>
      <c r="M20" s="635">
        <f>transport!L14</f>
        <v>0</v>
      </c>
      <c r="N20" s="635">
        <f>transport!M14</f>
        <v>7009.3255128547662</v>
      </c>
      <c r="O20" s="635">
        <f>transport!N14</f>
        <v>0</v>
      </c>
      <c r="P20" s="635">
        <f>transport!O14</f>
        <v>0</v>
      </c>
      <c r="Q20" s="636">
        <f>transport!P14</f>
        <v>0</v>
      </c>
      <c r="R20" s="638">
        <f>SUM(C20:Q20)</f>
        <v>168838.75557986402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10.539765308753134</v>
      </c>
      <c r="D22" s="752">
        <f t="shared" ref="D22:R22" si="1">SUM(D18:D21)</f>
        <v>0</v>
      </c>
      <c r="E22" s="752">
        <f t="shared" si="1"/>
        <v>6.8680021468669903</v>
      </c>
      <c r="F22" s="752">
        <f t="shared" si="1"/>
        <v>776.50870115309499</v>
      </c>
      <c r="G22" s="752">
        <f t="shared" si="1"/>
        <v>0</v>
      </c>
      <c r="H22" s="752">
        <f t="shared" si="1"/>
        <v>138540.24581505492</v>
      </c>
      <c r="I22" s="752">
        <f t="shared" si="1"/>
        <v>24333.828255586704</v>
      </c>
      <c r="J22" s="752">
        <f t="shared" si="1"/>
        <v>0</v>
      </c>
      <c r="K22" s="752">
        <f t="shared" si="1"/>
        <v>0</v>
      </c>
      <c r="L22" s="752">
        <f t="shared" si="1"/>
        <v>0</v>
      </c>
      <c r="M22" s="752">
        <f t="shared" si="1"/>
        <v>0</v>
      </c>
      <c r="N22" s="752">
        <f t="shared" si="1"/>
        <v>7087.6844090657596</v>
      </c>
      <c r="O22" s="752">
        <f t="shared" si="1"/>
        <v>0</v>
      </c>
      <c r="P22" s="752">
        <f t="shared" si="1"/>
        <v>0</v>
      </c>
      <c r="Q22" s="752">
        <f t="shared" si="1"/>
        <v>0</v>
      </c>
      <c r="R22" s="752">
        <f t="shared" si="1"/>
        <v>170755.67494831613</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724.54239718391796</v>
      </c>
      <c r="D24" s="635">
        <f>+landbouw!C8</f>
        <v>0</v>
      </c>
      <c r="E24" s="635">
        <f>+landbouw!D8</f>
        <v>54.304223894863675</v>
      </c>
      <c r="F24" s="635">
        <f>+landbouw!E8</f>
        <v>6.5290463618983026</v>
      </c>
      <c r="G24" s="635">
        <f>+landbouw!F8</f>
        <v>2714.8824600595131</v>
      </c>
      <c r="H24" s="635">
        <f>+landbouw!G8</f>
        <v>0</v>
      </c>
      <c r="I24" s="635">
        <f>+landbouw!H8</f>
        <v>0</v>
      </c>
      <c r="J24" s="635">
        <f>+landbouw!I8</f>
        <v>0</v>
      </c>
      <c r="K24" s="635">
        <f>+landbouw!J8</f>
        <v>73.32069397133327</v>
      </c>
      <c r="L24" s="635">
        <f>+landbouw!K8</f>
        <v>0</v>
      </c>
      <c r="M24" s="635">
        <f>+landbouw!L8</f>
        <v>0</v>
      </c>
      <c r="N24" s="635">
        <f>+landbouw!M8</f>
        <v>0</v>
      </c>
      <c r="O24" s="635">
        <f>+landbouw!N8</f>
        <v>0</v>
      </c>
      <c r="P24" s="635">
        <f>+landbouw!O8</f>
        <v>0</v>
      </c>
      <c r="Q24" s="636">
        <f>+landbouw!P8</f>
        <v>0</v>
      </c>
      <c r="R24" s="638">
        <f>SUM(C24:Q24)</f>
        <v>3573.5788214715262</v>
      </c>
      <c r="S24" s="67"/>
    </row>
    <row r="25" spans="1:19" s="441" customFormat="1" ht="15" thickBot="1">
      <c r="A25" s="771" t="s">
        <v>864</v>
      </c>
      <c r="B25" s="923"/>
      <c r="C25" s="924">
        <f>IF(Onbekend_ele_kWh="---",0,Onbekend_ele_kWh)/1000+IF(REST_rest_ele_kWh="---",0,REST_rest_ele_kWh)/1000</f>
        <v>1582.8776555188601</v>
      </c>
      <c r="D25" s="924"/>
      <c r="E25" s="924">
        <f>IF(onbekend_gas_kWh="---",0,onbekend_gas_kWh)/1000+IF(REST_rest_gas_kWh="---",0,REST_rest_gas_kWh)/1000</f>
        <v>2187.8417063841298</v>
      </c>
      <c r="F25" s="924"/>
      <c r="G25" s="924"/>
      <c r="H25" s="924"/>
      <c r="I25" s="924"/>
      <c r="J25" s="924"/>
      <c r="K25" s="924"/>
      <c r="L25" s="924"/>
      <c r="M25" s="924"/>
      <c r="N25" s="924"/>
      <c r="O25" s="924"/>
      <c r="P25" s="924"/>
      <c r="Q25" s="925"/>
      <c r="R25" s="638">
        <f>SUM(C25:Q25)</f>
        <v>3770.7193619029899</v>
      </c>
      <c r="S25" s="67"/>
    </row>
    <row r="26" spans="1:19" s="441" customFormat="1" ht="15.75" thickBot="1">
      <c r="A26" s="641" t="s">
        <v>865</v>
      </c>
      <c r="B26" s="757"/>
      <c r="C26" s="752">
        <f>SUM(C24:C25)</f>
        <v>2307.4200527027779</v>
      </c>
      <c r="D26" s="752">
        <f t="shared" ref="D26:R26" si="2">SUM(D24:D25)</f>
        <v>0</v>
      </c>
      <c r="E26" s="752">
        <f t="shared" si="2"/>
        <v>2242.1459302789935</v>
      </c>
      <c r="F26" s="752">
        <f t="shared" si="2"/>
        <v>6.5290463618983026</v>
      </c>
      <c r="G26" s="752">
        <f t="shared" si="2"/>
        <v>2714.8824600595131</v>
      </c>
      <c r="H26" s="752">
        <f t="shared" si="2"/>
        <v>0</v>
      </c>
      <c r="I26" s="752">
        <f t="shared" si="2"/>
        <v>0</v>
      </c>
      <c r="J26" s="752">
        <f t="shared" si="2"/>
        <v>0</v>
      </c>
      <c r="K26" s="752">
        <f t="shared" si="2"/>
        <v>73.32069397133327</v>
      </c>
      <c r="L26" s="752">
        <f t="shared" si="2"/>
        <v>0</v>
      </c>
      <c r="M26" s="752">
        <f t="shared" si="2"/>
        <v>0</v>
      </c>
      <c r="N26" s="752">
        <f t="shared" si="2"/>
        <v>0</v>
      </c>
      <c r="O26" s="752">
        <f t="shared" si="2"/>
        <v>0</v>
      </c>
      <c r="P26" s="752">
        <f t="shared" si="2"/>
        <v>0</v>
      </c>
      <c r="Q26" s="752">
        <f t="shared" si="2"/>
        <v>0</v>
      </c>
      <c r="R26" s="752">
        <f t="shared" si="2"/>
        <v>7344.2981833745162</v>
      </c>
      <c r="S26" s="67"/>
    </row>
    <row r="27" spans="1:19" s="441" customFormat="1" ht="17.25" thickTop="1" thickBot="1">
      <c r="A27" s="642" t="s">
        <v>109</v>
      </c>
      <c r="B27" s="744"/>
      <c r="C27" s="643">
        <f ca="1">C22+C16+C26</f>
        <v>100225.27668983932</v>
      </c>
      <c r="D27" s="643">
        <f t="shared" ref="D27:R27" ca="1" si="3">D22+D16+D26</f>
        <v>64.285714285714292</v>
      </c>
      <c r="E27" s="643">
        <f t="shared" ca="1" si="3"/>
        <v>83481.907434118562</v>
      </c>
      <c r="F27" s="643">
        <f t="shared" si="3"/>
        <v>3534.4878014636788</v>
      </c>
      <c r="G27" s="643">
        <f t="shared" ca="1" si="3"/>
        <v>82960.736551693481</v>
      </c>
      <c r="H27" s="643">
        <f t="shared" si="3"/>
        <v>138540.24581505492</v>
      </c>
      <c r="I27" s="643">
        <f t="shared" si="3"/>
        <v>24333.828255586704</v>
      </c>
      <c r="J27" s="643">
        <f t="shared" si="3"/>
        <v>0</v>
      </c>
      <c r="K27" s="643">
        <f t="shared" si="3"/>
        <v>1922.2377981749137</v>
      </c>
      <c r="L27" s="643">
        <f t="shared" si="3"/>
        <v>0</v>
      </c>
      <c r="M27" s="643">
        <f t="shared" ca="1" si="3"/>
        <v>0</v>
      </c>
      <c r="N27" s="643">
        <f t="shared" si="3"/>
        <v>7087.6844090657596</v>
      </c>
      <c r="O27" s="643">
        <f t="shared" ca="1" si="3"/>
        <v>9373.5477869307069</v>
      </c>
      <c r="P27" s="643">
        <f t="shared" si="3"/>
        <v>137.57333333333335</v>
      </c>
      <c r="Q27" s="643">
        <f t="shared" si="3"/>
        <v>457.6</v>
      </c>
      <c r="R27" s="643">
        <f t="shared" ca="1" si="3"/>
        <v>452119.41158954712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2916.742456538238</v>
      </c>
      <c r="D40" s="635">
        <f ca="1">tertiair!C20</f>
        <v>15.277310924369752</v>
      </c>
      <c r="E40" s="635">
        <f ca="1">tertiair!D20</f>
        <v>1884.2193138713185</v>
      </c>
      <c r="F40" s="635">
        <f>tertiair!E20</f>
        <v>70.635943332489077</v>
      </c>
      <c r="G40" s="635">
        <f ca="1">tertiair!F20</f>
        <v>627.68683384514202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5514.5618585115571</v>
      </c>
    </row>
    <row r="41" spans="1:18">
      <c r="A41" s="762" t="s">
        <v>214</v>
      </c>
      <c r="B41" s="769"/>
      <c r="C41" s="635">
        <f ca="1">huishoudens!B12</f>
        <v>6657.6470460695346</v>
      </c>
      <c r="D41" s="635">
        <f ca="1">huishoudens!C12</f>
        <v>0</v>
      </c>
      <c r="E41" s="635">
        <f>huishoudens!D12</f>
        <v>6854.2488020057717</v>
      </c>
      <c r="F41" s="635">
        <f>huishoudens!E12</f>
        <v>442.01814293386542</v>
      </c>
      <c r="G41" s="635">
        <f>huishoudens!F12</f>
        <v>17746.704492608202</v>
      </c>
      <c r="H41" s="635">
        <f>huishoudens!G12</f>
        <v>0</v>
      </c>
      <c r="I41" s="635">
        <f>huishoudens!H12</f>
        <v>0</v>
      </c>
      <c r="J41" s="635">
        <f>huishoudens!I12</f>
        <v>0</v>
      </c>
      <c r="K41" s="635">
        <f>huishoudens!J12</f>
        <v>529.82105030752098</v>
      </c>
      <c r="L41" s="635">
        <f>huishoudens!K12</f>
        <v>0</v>
      </c>
      <c r="M41" s="635">
        <f>huishoudens!L12</f>
        <v>0</v>
      </c>
      <c r="N41" s="635">
        <f>huishoudens!M12</f>
        <v>0</v>
      </c>
      <c r="O41" s="635">
        <f>huishoudens!N12</f>
        <v>0</v>
      </c>
      <c r="P41" s="635">
        <f>huishoudens!O12</f>
        <v>0</v>
      </c>
      <c r="Q41" s="710">
        <f>huishoudens!P12</f>
        <v>0</v>
      </c>
      <c r="R41" s="790">
        <f t="shared" ca="1" si="4"/>
        <v>32230.439533924895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11538.97298943046</v>
      </c>
      <c r="D43" s="635">
        <f ca="1">industrie!C22</f>
        <v>0</v>
      </c>
      <c r="E43" s="635">
        <f>industrie!D22</f>
        <v>7670.5763714648383</v>
      </c>
      <c r="F43" s="635">
        <f>industrie!E22</f>
        <v>111.92507597999706</v>
      </c>
      <c r="G43" s="635">
        <f>industrie!F22</f>
        <v>3051.2517160129273</v>
      </c>
      <c r="H43" s="635">
        <f>industrie!G22</f>
        <v>0</v>
      </c>
      <c r="I43" s="635">
        <f>industrie!H22</f>
        <v>0</v>
      </c>
      <c r="J43" s="635">
        <f>industrie!I22</f>
        <v>0</v>
      </c>
      <c r="K43" s="635">
        <f>industrie!J22</f>
        <v>124.6956045805464</v>
      </c>
      <c r="L43" s="635">
        <f>industrie!K22</f>
        <v>0</v>
      </c>
      <c r="M43" s="635">
        <f>industrie!L22</f>
        <v>0</v>
      </c>
      <c r="N43" s="635">
        <f>industrie!M22</f>
        <v>0</v>
      </c>
      <c r="O43" s="635">
        <f>industrie!N22</f>
        <v>0</v>
      </c>
      <c r="P43" s="635">
        <f>industrie!O22</f>
        <v>0</v>
      </c>
      <c r="Q43" s="710">
        <f>industrie!P22</f>
        <v>0</v>
      </c>
      <c r="R43" s="789">
        <f t="shared" ca="1" si="4"/>
        <v>22497.421757468768</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21113.362492038235</v>
      </c>
      <c r="D46" s="668">
        <f t="shared" ref="D46:Q46" ca="1" si="5">SUM(D39:D45)</f>
        <v>15.277310924369752</v>
      </c>
      <c r="E46" s="668">
        <f t="shared" ca="1" si="5"/>
        <v>16409.044487341929</v>
      </c>
      <c r="F46" s="668">
        <f t="shared" si="5"/>
        <v>624.57916224635153</v>
      </c>
      <c r="G46" s="668">
        <f t="shared" ca="1" si="5"/>
        <v>21425.643042466272</v>
      </c>
      <c r="H46" s="668">
        <f t="shared" si="5"/>
        <v>0</v>
      </c>
      <c r="I46" s="668">
        <f t="shared" si="5"/>
        <v>0</v>
      </c>
      <c r="J46" s="668">
        <f t="shared" si="5"/>
        <v>0</v>
      </c>
      <c r="K46" s="668">
        <f t="shared" si="5"/>
        <v>654.51665488806736</v>
      </c>
      <c r="L46" s="668">
        <f t="shared" si="5"/>
        <v>0</v>
      </c>
      <c r="M46" s="668">
        <f t="shared" ca="1" si="5"/>
        <v>0</v>
      </c>
      <c r="N46" s="668">
        <f t="shared" si="5"/>
        <v>0</v>
      </c>
      <c r="O46" s="668">
        <f t="shared" ca="1" si="5"/>
        <v>0</v>
      </c>
      <c r="P46" s="668">
        <f t="shared" si="5"/>
        <v>0</v>
      </c>
      <c r="Q46" s="668">
        <f t="shared" si="5"/>
        <v>0</v>
      </c>
      <c r="R46" s="668">
        <f ca="1">SUM(R39:R45)</f>
        <v>60242.423149905226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1.8192119780529799</v>
      </c>
      <c r="D49" s="635">
        <f ca="1">transport!C58</f>
        <v>0</v>
      </c>
      <c r="E49" s="635">
        <f>transport!D58</f>
        <v>0</v>
      </c>
      <c r="F49" s="635">
        <f>transport!E58</f>
        <v>0</v>
      </c>
      <c r="G49" s="635">
        <f>transport!F58</f>
        <v>0</v>
      </c>
      <c r="H49" s="635">
        <f>transport!G58</f>
        <v>488.64321084992685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490.46242282797982</v>
      </c>
    </row>
    <row r="50" spans="1:18">
      <c r="A50" s="765" t="s">
        <v>296</v>
      </c>
      <c r="B50" s="775"/>
      <c r="C50" s="930">
        <f ca="1">transport!B18</f>
        <v>0.45365069099587185</v>
      </c>
      <c r="D50" s="930">
        <f>transport!C18</f>
        <v>0</v>
      </c>
      <c r="E50" s="930">
        <f>transport!D18</f>
        <v>1.3873364336671321</v>
      </c>
      <c r="F50" s="930">
        <f>transport!E18</f>
        <v>176.26747516175257</v>
      </c>
      <c r="G50" s="930">
        <f>transport!F18</f>
        <v>0</v>
      </c>
      <c r="H50" s="930">
        <f>transport!G18</f>
        <v>36501.602421769741</v>
      </c>
      <c r="I50" s="930">
        <f>transport!H18</f>
        <v>6059.1232356410892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42738.834119697247</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2.2728626690488518</v>
      </c>
      <c r="D52" s="668">
        <f t="shared" ref="D52:Q52" ca="1" si="6">SUM(D48:D51)</f>
        <v>0</v>
      </c>
      <c r="E52" s="668">
        <f t="shared" si="6"/>
        <v>1.3873364336671321</v>
      </c>
      <c r="F52" s="668">
        <f t="shared" si="6"/>
        <v>176.26747516175257</v>
      </c>
      <c r="G52" s="668">
        <f t="shared" si="6"/>
        <v>0</v>
      </c>
      <c r="H52" s="668">
        <f t="shared" si="6"/>
        <v>36990.24563261967</v>
      </c>
      <c r="I52" s="668">
        <f t="shared" si="6"/>
        <v>6059.1232356410892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43229.296542525226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156.2449749554537</v>
      </c>
      <c r="D54" s="930">
        <f ca="1">+landbouw!C12</f>
        <v>0</v>
      </c>
      <c r="E54" s="930">
        <f>+landbouw!D12</f>
        <v>10.969453226762463</v>
      </c>
      <c r="F54" s="930">
        <f>+landbouw!E12</f>
        <v>1.4820935241509148</v>
      </c>
      <c r="G54" s="930">
        <f>+landbouw!F12</f>
        <v>724.87361683589006</v>
      </c>
      <c r="H54" s="930">
        <f>+landbouw!G12</f>
        <v>0</v>
      </c>
      <c r="I54" s="930">
        <f>+landbouw!H12</f>
        <v>0</v>
      </c>
      <c r="J54" s="930">
        <f>+landbouw!I12</f>
        <v>0</v>
      </c>
      <c r="K54" s="930">
        <f>+landbouw!J12</f>
        <v>25.955525665851976</v>
      </c>
      <c r="L54" s="930">
        <f>+landbouw!K12</f>
        <v>0</v>
      </c>
      <c r="M54" s="930">
        <f>+landbouw!L12</f>
        <v>0</v>
      </c>
      <c r="N54" s="930">
        <f>+landbouw!M12</f>
        <v>0</v>
      </c>
      <c r="O54" s="930">
        <f>+landbouw!N12</f>
        <v>0</v>
      </c>
      <c r="P54" s="930">
        <f>+landbouw!O12</f>
        <v>0</v>
      </c>
      <c r="Q54" s="931">
        <f>+landbouw!P12</f>
        <v>0</v>
      </c>
      <c r="R54" s="667">
        <f ca="1">SUM(C54:Q54)</f>
        <v>919.52566420810911</v>
      </c>
    </row>
    <row r="55" spans="1:18" ht="15" thickBot="1">
      <c r="A55" s="765" t="s">
        <v>864</v>
      </c>
      <c r="B55" s="775"/>
      <c r="C55" s="930">
        <f ca="1">C25*'EF ele_warmte'!B12</f>
        <v>341.34190159932444</v>
      </c>
      <c r="D55" s="930"/>
      <c r="E55" s="930">
        <f>E25*EF_CO2_aardgas</f>
        <v>441.94402468959424</v>
      </c>
      <c r="F55" s="930"/>
      <c r="G55" s="930"/>
      <c r="H55" s="930"/>
      <c r="I55" s="930"/>
      <c r="J55" s="930"/>
      <c r="K55" s="930"/>
      <c r="L55" s="930"/>
      <c r="M55" s="930"/>
      <c r="N55" s="930"/>
      <c r="O55" s="930"/>
      <c r="P55" s="930"/>
      <c r="Q55" s="931"/>
      <c r="R55" s="667">
        <f ca="1">SUM(C55:Q55)</f>
        <v>783.28592628891874</v>
      </c>
    </row>
    <row r="56" spans="1:18" ht="15.75" thickBot="1">
      <c r="A56" s="763" t="s">
        <v>865</v>
      </c>
      <c r="B56" s="776"/>
      <c r="C56" s="668">
        <f ca="1">SUM(C54:C55)</f>
        <v>497.58687655477814</v>
      </c>
      <c r="D56" s="668">
        <f t="shared" ref="D56:Q56" ca="1" si="7">SUM(D54:D55)</f>
        <v>0</v>
      </c>
      <c r="E56" s="668">
        <f t="shared" si="7"/>
        <v>452.91347791635673</v>
      </c>
      <c r="F56" s="668">
        <f t="shared" si="7"/>
        <v>1.4820935241509148</v>
      </c>
      <c r="G56" s="668">
        <f t="shared" si="7"/>
        <v>724.87361683589006</v>
      </c>
      <c r="H56" s="668">
        <f t="shared" si="7"/>
        <v>0</v>
      </c>
      <c r="I56" s="668">
        <f t="shared" si="7"/>
        <v>0</v>
      </c>
      <c r="J56" s="668">
        <f t="shared" si="7"/>
        <v>0</v>
      </c>
      <c r="K56" s="668">
        <f t="shared" si="7"/>
        <v>25.955525665851976</v>
      </c>
      <c r="L56" s="668">
        <f t="shared" si="7"/>
        <v>0</v>
      </c>
      <c r="M56" s="668">
        <f t="shared" si="7"/>
        <v>0</v>
      </c>
      <c r="N56" s="668">
        <f t="shared" si="7"/>
        <v>0</v>
      </c>
      <c r="O56" s="668">
        <f t="shared" si="7"/>
        <v>0</v>
      </c>
      <c r="P56" s="668">
        <f t="shared" si="7"/>
        <v>0</v>
      </c>
      <c r="Q56" s="669">
        <f t="shared" si="7"/>
        <v>0</v>
      </c>
      <c r="R56" s="670">
        <f ca="1">SUM(R54:R55)</f>
        <v>1702.8115904970277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21613.222231262062</v>
      </c>
      <c r="D61" s="676">
        <f t="shared" ref="D61:Q61" ca="1" si="8">D46+D52+D56</f>
        <v>15.277310924369752</v>
      </c>
      <c r="E61" s="676">
        <f t="shared" ca="1" si="8"/>
        <v>16863.345301691956</v>
      </c>
      <c r="F61" s="676">
        <f t="shared" si="8"/>
        <v>802.3287309322551</v>
      </c>
      <c r="G61" s="676">
        <f t="shared" ca="1" si="8"/>
        <v>22150.516659302164</v>
      </c>
      <c r="H61" s="676">
        <f t="shared" si="8"/>
        <v>36990.24563261967</v>
      </c>
      <c r="I61" s="676">
        <f t="shared" si="8"/>
        <v>6059.1232356410892</v>
      </c>
      <c r="J61" s="676">
        <f t="shared" si="8"/>
        <v>0</v>
      </c>
      <c r="K61" s="676">
        <f t="shared" si="8"/>
        <v>680.47218055391932</v>
      </c>
      <c r="L61" s="676">
        <f t="shared" si="8"/>
        <v>0</v>
      </c>
      <c r="M61" s="676">
        <f t="shared" ca="1" si="8"/>
        <v>0</v>
      </c>
      <c r="N61" s="676">
        <f t="shared" si="8"/>
        <v>0</v>
      </c>
      <c r="O61" s="676">
        <f t="shared" ca="1" si="8"/>
        <v>0</v>
      </c>
      <c r="P61" s="676">
        <f t="shared" si="8"/>
        <v>0</v>
      </c>
      <c r="Q61" s="676">
        <f t="shared" si="8"/>
        <v>0</v>
      </c>
      <c r="R61" s="676">
        <f ca="1">R46+R52+R56</f>
        <v>105174.53128292749</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0.21564642119319963</v>
      </c>
      <c r="D63" s="720">
        <f t="shared" ca="1" si="9"/>
        <v>0.23764705882352946</v>
      </c>
      <c r="E63" s="932">
        <f t="shared" ca="1" si="9"/>
        <v>0.20200000000000007</v>
      </c>
      <c r="F63" s="720">
        <f t="shared" si="9"/>
        <v>0.22700000000000001</v>
      </c>
      <c r="G63" s="720">
        <f t="shared" ca="1" si="9"/>
        <v>0.26700000000000007</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309</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2077.2807006311609</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45</v>
      </c>
      <c r="D76" s="942">
        <f>'lokale energieproductie'!C8</f>
        <v>52.941176470588239</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10.694117647058825</v>
      </c>
      <c r="R76" s="792">
        <v>0</v>
      </c>
    </row>
    <row r="77" spans="1:18" ht="30.75" thickBot="1">
      <c r="A77" s="689" t="s">
        <v>340</v>
      </c>
      <c r="B77" s="686">
        <f>'lokale energieproductie'!B9*IFERROR(SUM(I77:O77)/SUM(D77:O77),0)</f>
        <v>45</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112.5</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2431.2807006311609</v>
      </c>
      <c r="C78" s="691">
        <f>SUM(C72:C77)</f>
        <v>45</v>
      </c>
      <c r="D78" s="692">
        <f t="shared" ref="D78:H78" si="10">SUM(D76:D77)</f>
        <v>52.941176470588239</v>
      </c>
      <c r="E78" s="692">
        <f t="shared" si="10"/>
        <v>0</v>
      </c>
      <c r="F78" s="692">
        <f t="shared" si="10"/>
        <v>0</v>
      </c>
      <c r="G78" s="692">
        <f t="shared" si="10"/>
        <v>0</v>
      </c>
      <c r="H78" s="692">
        <f t="shared" si="10"/>
        <v>0</v>
      </c>
      <c r="I78" s="692">
        <f>SUM(I76:I77)</f>
        <v>0</v>
      </c>
      <c r="J78" s="692">
        <f>SUM(J76:J77)</f>
        <v>112.5</v>
      </c>
      <c r="K78" s="692">
        <f t="shared" ref="K78:L78" si="11">SUM(K76:K77)</f>
        <v>0</v>
      </c>
      <c r="L78" s="692">
        <f t="shared" si="11"/>
        <v>0</v>
      </c>
      <c r="M78" s="692">
        <f>SUM(M76:M77)</f>
        <v>0</v>
      </c>
      <c r="N78" s="692">
        <f>SUM(N76:N77)</f>
        <v>0</v>
      </c>
      <c r="O78" s="800">
        <f>SUM(O76:O77)</f>
        <v>0</v>
      </c>
      <c r="P78" s="693">
        <v>0</v>
      </c>
      <c r="Q78" s="693">
        <f>SUM(Q76:Q77)</f>
        <v>10.694117647058825</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64.285714285714292</v>
      </c>
      <c r="D87" s="713">
        <f>'lokale energieproductie'!C17</f>
        <v>75.630252100840352</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15.277310924369752</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64.285714285714292</v>
      </c>
      <c r="D90" s="691">
        <f t="shared" ref="D90:H90" si="12">SUM(D87:D89)</f>
        <v>75.630252100840352</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15.277310924369752</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30872.977206076088</v>
      </c>
      <c r="C4" s="445">
        <f>huishoudens!C8</f>
        <v>0</v>
      </c>
      <c r="D4" s="445">
        <f>huishoudens!D8</f>
        <v>33931.924762404808</v>
      </c>
      <c r="E4" s="445">
        <f>huishoudens!E8</f>
        <v>1947.2164886954424</v>
      </c>
      <c r="F4" s="445">
        <f>huishoudens!F8</f>
        <v>66467.058024749815</v>
      </c>
      <c r="G4" s="445">
        <f>huishoudens!G8</f>
        <v>0</v>
      </c>
      <c r="H4" s="445">
        <f>huishoudens!H8</f>
        <v>0</v>
      </c>
      <c r="I4" s="445">
        <f>huishoudens!I8</f>
        <v>0</v>
      </c>
      <c r="J4" s="445">
        <f>huishoudens!J8</f>
        <v>1496.6696336370651</v>
      </c>
      <c r="K4" s="445">
        <f>huishoudens!K8</f>
        <v>0</v>
      </c>
      <c r="L4" s="445">
        <f>huishoudens!L8</f>
        <v>0</v>
      </c>
      <c r="M4" s="445">
        <f>huishoudens!M8</f>
        <v>0</v>
      </c>
      <c r="N4" s="445">
        <f>huishoudens!N8</f>
        <v>7981.9773112641687</v>
      </c>
      <c r="O4" s="445">
        <f>huishoudens!O8</f>
        <v>137.57333333333335</v>
      </c>
      <c r="P4" s="446">
        <f>huishoudens!P8</f>
        <v>457.6</v>
      </c>
      <c r="Q4" s="447">
        <f>SUM(B4:P4)</f>
        <v>143292.99676016075</v>
      </c>
    </row>
    <row r="5" spans="1:17">
      <c r="A5" s="444" t="s">
        <v>149</v>
      </c>
      <c r="B5" s="445">
        <f ca="1">tertiair!B16</f>
        <v>12640.37184358082</v>
      </c>
      <c r="C5" s="445">
        <f ca="1">tertiair!C16</f>
        <v>64.285714285714292</v>
      </c>
      <c r="D5" s="445">
        <f ca="1">tertiair!D16</f>
        <v>9327.8183855015759</v>
      </c>
      <c r="E5" s="445">
        <f>tertiair!E16</f>
        <v>311.17155653078891</v>
      </c>
      <c r="F5" s="445">
        <f ca="1">tertiair!F16</f>
        <v>2350.8870181465991</v>
      </c>
      <c r="G5" s="445">
        <f>tertiair!G16</f>
        <v>0</v>
      </c>
      <c r="H5" s="445">
        <f>tertiair!H16</f>
        <v>0</v>
      </c>
      <c r="I5" s="445">
        <f>tertiair!I16</f>
        <v>0</v>
      </c>
      <c r="J5" s="445">
        <f>tertiair!J16</f>
        <v>0</v>
      </c>
      <c r="K5" s="445">
        <f>tertiair!K16</f>
        <v>0</v>
      </c>
      <c r="L5" s="445">
        <f ca="1">tertiair!L16</f>
        <v>0</v>
      </c>
      <c r="M5" s="445">
        <f>tertiair!M16</f>
        <v>0</v>
      </c>
      <c r="N5" s="445">
        <f ca="1">tertiair!N16</f>
        <v>358.67803445822983</v>
      </c>
      <c r="O5" s="445">
        <f>tertiair!O16</f>
        <v>0</v>
      </c>
      <c r="P5" s="446">
        <f>tertiair!P16</f>
        <v>0</v>
      </c>
      <c r="Q5" s="444">
        <f t="shared" ref="Q5:Q14" ca="1" si="0">SUM(B5:P5)</f>
        <v>25053.212552503726</v>
      </c>
    </row>
    <row r="6" spans="1:17">
      <c r="A6" s="444" t="s">
        <v>187</v>
      </c>
      <c r="B6" s="445">
        <f>'openbare verlichting'!B8</f>
        <v>885.20600000000002</v>
      </c>
      <c r="C6" s="445"/>
      <c r="D6" s="445"/>
      <c r="E6" s="445"/>
      <c r="F6" s="445"/>
      <c r="G6" s="445"/>
      <c r="H6" s="445"/>
      <c r="I6" s="445"/>
      <c r="J6" s="445"/>
      <c r="K6" s="445"/>
      <c r="L6" s="445"/>
      <c r="M6" s="445"/>
      <c r="N6" s="445"/>
      <c r="O6" s="445"/>
      <c r="P6" s="446"/>
      <c r="Q6" s="444">
        <f t="shared" si="0"/>
        <v>885.20600000000002</v>
      </c>
    </row>
    <row r="7" spans="1:17">
      <c r="A7" s="444" t="s">
        <v>105</v>
      </c>
      <c r="B7" s="445">
        <f>landbouw!B8</f>
        <v>724.54239718391796</v>
      </c>
      <c r="C7" s="445">
        <f>landbouw!C8</f>
        <v>0</v>
      </c>
      <c r="D7" s="445">
        <f>landbouw!D8</f>
        <v>54.304223894863675</v>
      </c>
      <c r="E7" s="445">
        <f>landbouw!E8</f>
        <v>6.5290463618983026</v>
      </c>
      <c r="F7" s="445">
        <f>landbouw!F8</f>
        <v>2714.8824600595131</v>
      </c>
      <c r="G7" s="445">
        <f>landbouw!G8</f>
        <v>0</v>
      </c>
      <c r="H7" s="445">
        <f>landbouw!H8</f>
        <v>0</v>
      </c>
      <c r="I7" s="445">
        <f>landbouw!I8</f>
        <v>0</v>
      </c>
      <c r="J7" s="445">
        <f>landbouw!J8</f>
        <v>73.32069397133327</v>
      </c>
      <c r="K7" s="445">
        <f>landbouw!K8</f>
        <v>0</v>
      </c>
      <c r="L7" s="445">
        <f>landbouw!L8</f>
        <v>0</v>
      </c>
      <c r="M7" s="445">
        <f>landbouw!M8</f>
        <v>0</v>
      </c>
      <c r="N7" s="445">
        <f>landbouw!N8</f>
        <v>0</v>
      </c>
      <c r="O7" s="445">
        <f>landbouw!O8</f>
        <v>0</v>
      </c>
      <c r="P7" s="446">
        <f>landbouw!P8</f>
        <v>0</v>
      </c>
      <c r="Q7" s="444">
        <f t="shared" si="0"/>
        <v>3573.5788214715262</v>
      </c>
    </row>
    <row r="8" spans="1:17">
      <c r="A8" s="444" t="s">
        <v>613</v>
      </c>
      <c r="B8" s="445">
        <f>industrie!B18</f>
        <v>53508.761822170884</v>
      </c>
      <c r="C8" s="445">
        <f>industrie!C18</f>
        <v>0</v>
      </c>
      <c r="D8" s="445">
        <f>industrie!D18</f>
        <v>37973.150353786325</v>
      </c>
      <c r="E8" s="445">
        <f>industrie!E18</f>
        <v>493.06200872245398</v>
      </c>
      <c r="F8" s="445">
        <f>industrie!F18</f>
        <v>11427.909048737554</v>
      </c>
      <c r="G8" s="445">
        <f>industrie!G18</f>
        <v>0</v>
      </c>
      <c r="H8" s="445">
        <f>industrie!H18</f>
        <v>0</v>
      </c>
      <c r="I8" s="445">
        <f>industrie!I18</f>
        <v>0</v>
      </c>
      <c r="J8" s="445">
        <f>industrie!J18</f>
        <v>352.24747056651529</v>
      </c>
      <c r="K8" s="445">
        <f>industrie!K18</f>
        <v>0</v>
      </c>
      <c r="L8" s="445">
        <f>industrie!L18</f>
        <v>0</v>
      </c>
      <c r="M8" s="445">
        <f>industrie!M18</f>
        <v>0</v>
      </c>
      <c r="N8" s="445">
        <f>industrie!N18</f>
        <v>1032.8924412083086</v>
      </c>
      <c r="O8" s="445">
        <f>industrie!O18</f>
        <v>0</v>
      </c>
      <c r="P8" s="446">
        <f>industrie!P18</f>
        <v>0</v>
      </c>
      <c r="Q8" s="444">
        <f t="shared" si="0"/>
        <v>104788.02314519203</v>
      </c>
    </row>
    <row r="9" spans="1:17" s="450" customFormat="1">
      <c r="A9" s="448" t="s">
        <v>555</v>
      </c>
      <c r="B9" s="449">
        <f>transport!B14</f>
        <v>2.1036782733780779</v>
      </c>
      <c r="C9" s="449">
        <f>transport!C14</f>
        <v>0</v>
      </c>
      <c r="D9" s="449">
        <f>transport!D14</f>
        <v>6.8680021468669903</v>
      </c>
      <c r="E9" s="449">
        <f>transport!E14</f>
        <v>776.50870115309499</v>
      </c>
      <c r="F9" s="449">
        <f>transport!F14</f>
        <v>0</v>
      </c>
      <c r="G9" s="449">
        <f>transport!G14</f>
        <v>136710.12142984921</v>
      </c>
      <c r="H9" s="449">
        <f>transport!H14</f>
        <v>24333.828255586704</v>
      </c>
      <c r="I9" s="449">
        <f>transport!I14</f>
        <v>0</v>
      </c>
      <c r="J9" s="449">
        <f>transport!J14</f>
        <v>0</v>
      </c>
      <c r="K9" s="449">
        <f>transport!K14</f>
        <v>0</v>
      </c>
      <c r="L9" s="449">
        <f>transport!L14</f>
        <v>0</v>
      </c>
      <c r="M9" s="449">
        <f>transport!M14</f>
        <v>7009.3255128547662</v>
      </c>
      <c r="N9" s="449">
        <f>transport!N14</f>
        <v>0</v>
      </c>
      <c r="O9" s="449">
        <f>transport!O14</f>
        <v>0</v>
      </c>
      <c r="P9" s="449">
        <f>transport!P14</f>
        <v>0</v>
      </c>
      <c r="Q9" s="448">
        <f>SUM(B9:P9)</f>
        <v>168838.75557986402</v>
      </c>
    </row>
    <row r="10" spans="1:17">
      <c r="A10" s="444" t="s">
        <v>545</v>
      </c>
      <c r="B10" s="445">
        <f>transport!B54</f>
        <v>8.4360870353750563</v>
      </c>
      <c r="C10" s="445">
        <f>transport!C54</f>
        <v>0</v>
      </c>
      <c r="D10" s="445">
        <f>transport!D54</f>
        <v>0</v>
      </c>
      <c r="E10" s="445">
        <f>transport!E54</f>
        <v>0</v>
      </c>
      <c r="F10" s="445">
        <f>transport!F54</f>
        <v>0</v>
      </c>
      <c r="G10" s="445">
        <f>transport!G54</f>
        <v>1830.1243852057185</v>
      </c>
      <c r="H10" s="445">
        <f>transport!H54</f>
        <v>0</v>
      </c>
      <c r="I10" s="445">
        <f>transport!I54</f>
        <v>0</v>
      </c>
      <c r="J10" s="445">
        <f>transport!J54</f>
        <v>0</v>
      </c>
      <c r="K10" s="445">
        <f>transport!K54</f>
        <v>0</v>
      </c>
      <c r="L10" s="445">
        <f>transport!L54</f>
        <v>0</v>
      </c>
      <c r="M10" s="445">
        <f>transport!M54</f>
        <v>78.358896210993564</v>
      </c>
      <c r="N10" s="445">
        <f>transport!N54</f>
        <v>0</v>
      </c>
      <c r="O10" s="445">
        <f>transport!O54</f>
        <v>0</v>
      </c>
      <c r="P10" s="446">
        <f>transport!P54</f>
        <v>0</v>
      </c>
      <c r="Q10" s="444">
        <f t="shared" si="0"/>
        <v>1916.9193684520872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1582.8776555188601</v>
      </c>
      <c r="C14" s="452"/>
      <c r="D14" s="452">
        <f>'SEAP template'!E25</f>
        <v>2187.8417063841298</v>
      </c>
      <c r="E14" s="452"/>
      <c r="F14" s="452"/>
      <c r="G14" s="452"/>
      <c r="H14" s="452"/>
      <c r="I14" s="452"/>
      <c r="J14" s="452"/>
      <c r="K14" s="452"/>
      <c r="L14" s="452"/>
      <c r="M14" s="452"/>
      <c r="N14" s="452"/>
      <c r="O14" s="452"/>
      <c r="P14" s="453"/>
      <c r="Q14" s="444">
        <f t="shared" si="0"/>
        <v>3770.7193619029899</v>
      </c>
    </row>
    <row r="15" spans="1:17" s="457" customFormat="1">
      <c r="A15" s="454" t="s">
        <v>549</v>
      </c>
      <c r="B15" s="455">
        <f ca="1">SUM(B4:B14)</f>
        <v>100225.27668983932</v>
      </c>
      <c r="C15" s="455">
        <f t="shared" ref="C15:Q15" ca="1" si="1">SUM(C4:C14)</f>
        <v>64.285714285714292</v>
      </c>
      <c r="D15" s="455">
        <f t="shared" ca="1" si="1"/>
        <v>83481.907434118562</v>
      </c>
      <c r="E15" s="455">
        <f t="shared" si="1"/>
        <v>3534.4878014636788</v>
      </c>
      <c r="F15" s="455">
        <f t="shared" ca="1" si="1"/>
        <v>82960.736551693481</v>
      </c>
      <c r="G15" s="455">
        <f t="shared" si="1"/>
        <v>138540.24581505492</v>
      </c>
      <c r="H15" s="455">
        <f t="shared" si="1"/>
        <v>24333.828255586704</v>
      </c>
      <c r="I15" s="455">
        <f t="shared" si="1"/>
        <v>0</v>
      </c>
      <c r="J15" s="455">
        <f t="shared" si="1"/>
        <v>1922.2377981749137</v>
      </c>
      <c r="K15" s="455">
        <f t="shared" si="1"/>
        <v>0</v>
      </c>
      <c r="L15" s="455">
        <f t="shared" ca="1" si="1"/>
        <v>0</v>
      </c>
      <c r="M15" s="455">
        <f t="shared" si="1"/>
        <v>7087.6844090657596</v>
      </c>
      <c r="N15" s="455">
        <f t="shared" ca="1" si="1"/>
        <v>9373.5477869307069</v>
      </c>
      <c r="O15" s="455">
        <f t="shared" si="1"/>
        <v>137.57333333333335</v>
      </c>
      <c r="P15" s="455">
        <f t="shared" si="1"/>
        <v>457.6</v>
      </c>
      <c r="Q15" s="455">
        <f t="shared" ca="1" si="1"/>
        <v>452119.41158954712</v>
      </c>
    </row>
    <row r="17" spans="1:17">
      <c r="A17" s="458" t="s">
        <v>550</v>
      </c>
      <c r="B17" s="725">
        <f ca="1">huishoudens!B10</f>
        <v>0.2156464211931996</v>
      </c>
      <c r="C17" s="725">
        <f ca="1">huishoudens!C10</f>
        <v>0.23764705882352946</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6657.6470460695346</v>
      </c>
      <c r="C22" s="445">
        <f t="shared" ref="C22:C32" ca="1" si="3">C4*$C$17</f>
        <v>0</v>
      </c>
      <c r="D22" s="445">
        <f t="shared" ref="D22:D32" si="4">D4*$D$17</f>
        <v>6854.2488020057717</v>
      </c>
      <c r="E22" s="445">
        <f t="shared" ref="E22:E32" si="5">E4*$E$17</f>
        <v>442.01814293386542</v>
      </c>
      <c r="F22" s="445">
        <f t="shared" ref="F22:F32" si="6">F4*$F$17</f>
        <v>17746.704492608202</v>
      </c>
      <c r="G22" s="445">
        <f t="shared" ref="G22:G32" si="7">G4*$G$17</f>
        <v>0</v>
      </c>
      <c r="H22" s="445">
        <f t="shared" ref="H22:H32" si="8">H4*$H$17</f>
        <v>0</v>
      </c>
      <c r="I22" s="445">
        <f t="shared" ref="I22:I32" si="9">I4*$I$17</f>
        <v>0</v>
      </c>
      <c r="J22" s="445">
        <f t="shared" ref="J22:J32" si="10">J4*$J$17</f>
        <v>529.82105030752098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32230.439533924895</v>
      </c>
    </row>
    <row r="23" spans="1:17">
      <c r="A23" s="444" t="s">
        <v>149</v>
      </c>
      <c r="B23" s="445">
        <f t="shared" ca="1" si="2"/>
        <v>2725.8509506194905</v>
      </c>
      <c r="C23" s="445">
        <f t="shared" ca="1" si="3"/>
        <v>15.277310924369752</v>
      </c>
      <c r="D23" s="445">
        <f t="shared" ca="1" si="4"/>
        <v>1884.2193138713185</v>
      </c>
      <c r="E23" s="445">
        <f t="shared" si="5"/>
        <v>70.635943332489077</v>
      </c>
      <c r="F23" s="445">
        <f t="shared" ca="1" si="6"/>
        <v>627.68683384514202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5323.6703525928096</v>
      </c>
    </row>
    <row r="24" spans="1:17">
      <c r="A24" s="444" t="s">
        <v>187</v>
      </c>
      <c r="B24" s="445">
        <f t="shared" ca="1" si="2"/>
        <v>190.89150591874744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190.89150591874744</v>
      </c>
    </row>
    <row r="25" spans="1:17">
      <c r="A25" s="444" t="s">
        <v>105</v>
      </c>
      <c r="B25" s="445">
        <f t="shared" ca="1" si="2"/>
        <v>156.2449749554537</v>
      </c>
      <c r="C25" s="445">
        <f t="shared" ca="1" si="3"/>
        <v>0</v>
      </c>
      <c r="D25" s="445">
        <f t="shared" si="4"/>
        <v>10.969453226762463</v>
      </c>
      <c r="E25" s="445">
        <f t="shared" si="5"/>
        <v>1.4820935241509148</v>
      </c>
      <c r="F25" s="445">
        <f t="shared" si="6"/>
        <v>724.87361683589006</v>
      </c>
      <c r="G25" s="445">
        <f t="shared" si="7"/>
        <v>0</v>
      </c>
      <c r="H25" s="445">
        <f t="shared" si="8"/>
        <v>0</v>
      </c>
      <c r="I25" s="445">
        <f t="shared" si="9"/>
        <v>0</v>
      </c>
      <c r="J25" s="445">
        <f t="shared" si="10"/>
        <v>25.955525665851976</v>
      </c>
      <c r="K25" s="445">
        <f t="shared" si="11"/>
        <v>0</v>
      </c>
      <c r="L25" s="445">
        <f t="shared" si="12"/>
        <v>0</v>
      </c>
      <c r="M25" s="445">
        <f t="shared" si="13"/>
        <v>0</v>
      </c>
      <c r="N25" s="445">
        <f t="shared" si="14"/>
        <v>0</v>
      </c>
      <c r="O25" s="445">
        <f t="shared" si="15"/>
        <v>0</v>
      </c>
      <c r="P25" s="446">
        <f t="shared" si="16"/>
        <v>0</v>
      </c>
      <c r="Q25" s="444">
        <f t="shared" ca="1" si="17"/>
        <v>919.52566420810911</v>
      </c>
    </row>
    <row r="26" spans="1:17">
      <c r="A26" s="444" t="s">
        <v>613</v>
      </c>
      <c r="B26" s="445">
        <f t="shared" ca="1" si="2"/>
        <v>11538.97298943046</v>
      </c>
      <c r="C26" s="445">
        <f t="shared" ca="1" si="3"/>
        <v>0</v>
      </c>
      <c r="D26" s="445">
        <f t="shared" si="4"/>
        <v>7670.5763714648383</v>
      </c>
      <c r="E26" s="445">
        <f t="shared" si="5"/>
        <v>111.92507597999706</v>
      </c>
      <c r="F26" s="445">
        <f t="shared" si="6"/>
        <v>3051.2517160129273</v>
      </c>
      <c r="G26" s="445">
        <f t="shared" si="7"/>
        <v>0</v>
      </c>
      <c r="H26" s="445">
        <f t="shared" si="8"/>
        <v>0</v>
      </c>
      <c r="I26" s="445">
        <f t="shared" si="9"/>
        <v>0</v>
      </c>
      <c r="J26" s="445">
        <f t="shared" si="10"/>
        <v>124.6956045805464</v>
      </c>
      <c r="K26" s="445">
        <f t="shared" si="11"/>
        <v>0</v>
      </c>
      <c r="L26" s="445">
        <f t="shared" si="12"/>
        <v>0</v>
      </c>
      <c r="M26" s="445">
        <f t="shared" si="13"/>
        <v>0</v>
      </c>
      <c r="N26" s="445">
        <f t="shared" si="14"/>
        <v>0</v>
      </c>
      <c r="O26" s="445">
        <f t="shared" si="15"/>
        <v>0</v>
      </c>
      <c r="P26" s="446">
        <f t="shared" si="16"/>
        <v>0</v>
      </c>
      <c r="Q26" s="444">
        <f t="shared" ca="1" si="17"/>
        <v>22497.421757468768</v>
      </c>
    </row>
    <row r="27" spans="1:17" s="450" customFormat="1">
      <c r="A27" s="448" t="s">
        <v>555</v>
      </c>
      <c r="B27" s="719">
        <f t="shared" ca="1" si="2"/>
        <v>0.45365069099587185</v>
      </c>
      <c r="C27" s="449">
        <f t="shared" ca="1" si="3"/>
        <v>0</v>
      </c>
      <c r="D27" s="449">
        <f t="shared" si="4"/>
        <v>1.3873364336671321</v>
      </c>
      <c r="E27" s="449">
        <f t="shared" si="5"/>
        <v>176.26747516175257</v>
      </c>
      <c r="F27" s="449">
        <f t="shared" si="6"/>
        <v>0</v>
      </c>
      <c r="G27" s="449">
        <f t="shared" si="7"/>
        <v>36501.602421769741</v>
      </c>
      <c r="H27" s="449">
        <f t="shared" si="8"/>
        <v>6059.1232356410892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42738.834119697247</v>
      </c>
    </row>
    <row r="28" spans="1:17">
      <c r="A28" s="444" t="s">
        <v>545</v>
      </c>
      <c r="B28" s="445">
        <f t="shared" ca="1" si="2"/>
        <v>1.8192119780529799</v>
      </c>
      <c r="C28" s="445">
        <f t="shared" ca="1" si="3"/>
        <v>0</v>
      </c>
      <c r="D28" s="445">
        <f t="shared" si="4"/>
        <v>0</v>
      </c>
      <c r="E28" s="445">
        <f t="shared" si="5"/>
        <v>0</v>
      </c>
      <c r="F28" s="445">
        <f t="shared" si="6"/>
        <v>0</v>
      </c>
      <c r="G28" s="445">
        <f t="shared" si="7"/>
        <v>488.64321084992685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490.46242282797982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341.34190159932444</v>
      </c>
      <c r="C32" s="445">
        <f t="shared" ca="1" si="3"/>
        <v>0</v>
      </c>
      <c r="D32" s="445">
        <f t="shared" si="4"/>
        <v>441.94402468959424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783.28592628891874</v>
      </c>
    </row>
    <row r="33" spans="1:17" s="457" customFormat="1">
      <c r="A33" s="454" t="s">
        <v>549</v>
      </c>
      <c r="B33" s="455">
        <f ca="1">SUM(B22:B32)</f>
        <v>21613.222231262062</v>
      </c>
      <c r="C33" s="455">
        <f t="shared" ref="C33:Q33" ca="1" si="19">SUM(C22:C32)</f>
        <v>15.277310924369752</v>
      </c>
      <c r="D33" s="455">
        <f t="shared" ca="1" si="19"/>
        <v>16863.345301691956</v>
      </c>
      <c r="E33" s="455">
        <f t="shared" si="19"/>
        <v>802.3287309322551</v>
      </c>
      <c r="F33" s="455">
        <f t="shared" ca="1" si="19"/>
        <v>22150.516659302164</v>
      </c>
      <c r="G33" s="455">
        <f t="shared" si="19"/>
        <v>36990.24563261967</v>
      </c>
      <c r="H33" s="455">
        <f t="shared" si="19"/>
        <v>6059.1232356410892</v>
      </c>
      <c r="I33" s="455">
        <f t="shared" si="19"/>
        <v>0</v>
      </c>
      <c r="J33" s="455">
        <f t="shared" si="19"/>
        <v>680.47218055391932</v>
      </c>
      <c r="K33" s="455">
        <f t="shared" si="19"/>
        <v>0</v>
      </c>
      <c r="L33" s="455">
        <f t="shared" ca="1" si="19"/>
        <v>0</v>
      </c>
      <c r="M33" s="455">
        <f t="shared" si="19"/>
        <v>0</v>
      </c>
      <c r="N33" s="455">
        <f t="shared" ca="1" si="19"/>
        <v>0</v>
      </c>
      <c r="O33" s="455">
        <f t="shared" si="19"/>
        <v>0</v>
      </c>
      <c r="P33" s="455">
        <f t="shared" si="19"/>
        <v>0</v>
      </c>
      <c r="Q33" s="455">
        <f t="shared" ca="1" si="19"/>
        <v>105174.53128292749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309</v>
      </c>
      <c r="C5" s="963"/>
      <c r="D5" s="963"/>
      <c r="E5" s="963"/>
      <c r="F5" s="963"/>
      <c r="G5" s="963"/>
      <c r="H5" s="963"/>
      <c r="I5" s="963"/>
      <c r="J5" s="963"/>
      <c r="K5" s="963"/>
      <c r="L5" s="963"/>
      <c r="M5" s="963"/>
      <c r="N5" s="963"/>
      <c r="O5" s="963"/>
      <c r="P5" s="964">
        <f>'SEAP template'!Q73</f>
        <v>0</v>
      </c>
    </row>
    <row r="6" spans="1:16">
      <c r="A6" s="965" t="s">
        <v>240</v>
      </c>
      <c r="B6" s="963">
        <f>'SEAP template'!B74</f>
        <v>2077.2807006311609</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45</v>
      </c>
      <c r="D8" s="963">
        <f>'SEAP template'!D76</f>
        <v>52.941176470588239</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10.694117647058825</v>
      </c>
    </row>
    <row r="9" spans="1:16">
      <c r="A9" s="966" t="s">
        <v>877</v>
      </c>
      <c r="B9" s="963">
        <f>'SEAP template'!B77</f>
        <v>45</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112.5</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2431.2807006311609</v>
      </c>
      <c r="C10" s="967">
        <f>SUM(C4:C9)</f>
        <v>45</v>
      </c>
      <c r="D10" s="967">
        <f t="shared" ref="D10:H10" si="0">SUM(D8:D9)</f>
        <v>52.941176470588239</v>
      </c>
      <c r="E10" s="967">
        <f t="shared" si="0"/>
        <v>0</v>
      </c>
      <c r="F10" s="967">
        <f t="shared" si="0"/>
        <v>0</v>
      </c>
      <c r="G10" s="967">
        <f t="shared" si="0"/>
        <v>0</v>
      </c>
      <c r="H10" s="967">
        <f t="shared" si="0"/>
        <v>0</v>
      </c>
      <c r="I10" s="967">
        <f>SUM(I8:I9)</f>
        <v>0</v>
      </c>
      <c r="J10" s="967">
        <f>SUM(J8:J9)</f>
        <v>112.5</v>
      </c>
      <c r="K10" s="967">
        <f t="shared" ref="K10:L10" si="1">SUM(K8:K9)</f>
        <v>0</v>
      </c>
      <c r="L10" s="967">
        <f t="shared" si="1"/>
        <v>0</v>
      </c>
      <c r="M10" s="967">
        <f>SUM(M8:M9)</f>
        <v>0</v>
      </c>
      <c r="N10" s="967">
        <f>SUM(N8:N9)</f>
        <v>0</v>
      </c>
      <c r="O10" s="967">
        <f>SUM(O8:O9)</f>
        <v>0</v>
      </c>
      <c r="P10" s="967">
        <f>SUM(P8:P9)</f>
        <v>10.694117647058825</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0.2156464211931996</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64.285714285714292</v>
      </c>
      <c r="D17" s="964">
        <f>'SEAP template'!D87</f>
        <v>75.630252100840352</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15.277310924369752</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64.285714285714292</v>
      </c>
      <c r="D20" s="967">
        <f t="shared" ref="D20:H20" si="2">SUM(D17:D19)</f>
        <v>75.630252100840352</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15.277310924369752</v>
      </c>
    </row>
    <row r="22" spans="1:16">
      <c r="A22" s="458" t="s">
        <v>885</v>
      </c>
      <c r="B22" s="725" t="s">
        <v>879</v>
      </c>
      <c r="C22" s="72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0.2156464211931996</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2022-07-26T12:53:05Z</dcterms:modified>
</cp:coreProperties>
</file>