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0936627-4F64-47A5-9C24-F8AED71D97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<sst xmlns="http://schemas.openxmlformats.org/spreadsheetml/2006/main" count="2523" uniqueCount="965">
  <si>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</si>
  <si>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</si>
  <si>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</si>
  <si>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</si>
  <si>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</si>
  <si>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</si>
  <si>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</si>
  <si>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</si>
  <si>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</si>
  <si>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</si>
  <si>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</si>
  <si>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</si>
  <si>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</si>
  <si>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</si>
  <si>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</si>
  <si>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</si>
  <si>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</si>
  <si>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</si>
  <si>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</si>
  <si>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</si>
  <si>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</si>
  <si>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</si>
  <si>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</si>
  <si>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</si>
  <si>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</si>
  <si>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</si>
  <si>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</si>
  <si>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</si>
  <si>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</si>
  <si>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</si>
  <si>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</si>
  <si>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</si>
  <si>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</si>
  <si>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</si>
  <si>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</si>
  <si>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</si>
  <si>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</si>
  <si>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</si>
  <si>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</si>
  <si>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</si>
  <si>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</si>
  <si>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</si>
  <si>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</si>
  <si>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</si>
  <si>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</si>
  <si>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</si>
  <si>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</si>
  <si>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</si>
  <si>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</si>
  <si>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</si>
  <si>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</si>
  <si>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</si>
  <si>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</si>
  <si>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</si>
  <si>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</si>
  <si>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</si>
  <si>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</si>
  <si>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</si>
  <si>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</si>
  <si>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</si>
  <si>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</si>
  <si>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</si>
  <si>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</si>
  <si>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</si>
  <si>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</si>
  <si>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</si>
  <si>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</si>
  <si>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</si>
  <si>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</si>
  <si>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</si>
  <si>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</si>
  <si>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</si>
  <si>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</si>
  <si>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</si>
  <si>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</si>
  <si>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</si>
  <si>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</si>
  <si>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</si>
  <si>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</si>
  <si>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</si>
  <si>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</si>
  <si>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</si>
  <si>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</si>
  <si>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</si>
  <si>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</si>
  <si>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</si>
  <si>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</si>
  <si>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</si>
  <si>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</si>
  <si>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</si>
  <si>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</si>
  <si>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</si>
  <si>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</si>
  <si>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</si>
  <si>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</si>
  <si>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</si>
  <si>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</si>
  <si>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</si>
  <si>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</si>
  <si>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</si>
  <si>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</si>
  <si>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</si>
  <si>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</si>
  <si>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</si>
  <si>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</si>
  <si>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</si>
  <si>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</si>
  <si>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</si>
  <si>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</si>
  <si>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</si>
  <si>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</si>
  <si>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</si>
  <si>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</si>
  <si>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</si>
  <si>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</si>
  <si>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</si>
  <si>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</si>
  <si>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</si>
  <si>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</si>
  <si>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</si>
  <si>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</si>
  <si>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</si>
  <si>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</si>
  <si>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</si>
  <si>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</si>
  <si>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</si>
  <si>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</si>
  <si>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</si>
  <si>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</si>
  <si>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</si>
  <si>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</si>
  <si>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</si>
  <si>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</si>
  <si>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</si>
  <si>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</si>
  <si>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</si>
  <si>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</si>
  <si>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</si>
  <si>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</si>
  <si>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</si>
  <si>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</si>
  <si>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</si>
  <si>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</si>
  <si>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</si>
  <si>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</si>
  <si>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</si>
  <si>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</si>
  <si>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</si>
  <si>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</si>
  <si>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</si>
  <si>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</si>
  <si>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</si>
  <si>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</si>
  <si>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</si>
  <si>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</si>
  <si>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</si>
  <si>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</si>
  <si>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</si>
  <si>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</si>
  <si>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</si>
  <si>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</si>
  <si>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</si>
  <si>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</si>
  <si>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</si>
  <si>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</si>
  <si>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</si>
  <si>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</si>
  <si>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</si>
  <si>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</si>
  <si>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</si>
  <si>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</si>
  <si>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</si>
  <si>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</si>
  <si>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</si>
  <si>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</si>
  <si>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</si>
  <si>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</si>
  <si>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</si>
  <si>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</si>
  <si>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</si>
  <si>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</si>
  <si>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</si>
  <si>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</si>
  <si>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</si>
  <si>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</si>
  <si>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</si>
  <si>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</si>
  <si>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</si>
  <si>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</si>
  <si>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</si>
  <si>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</si>
  <si>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</si>
  <si>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</si>
  <si>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</si>
  <si>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</si>
  <si>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</si>
  <si>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</si>
  <si>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</si>
  <si>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</si>
  <si>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</si>
  <si>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</si>
  <si>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</si>
  <si>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</si>
  <si>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</si>
  <si>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</si>
  <si>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</si>
  <si>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</si>
  <si>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</si>
  <si>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</si>
  <si>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</si>
  <si>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</si>
  <si>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</si>
  <si>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</si>
  <si>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</si>
  <si>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</si>
  <si>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</si>
  <si>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</si>
  <si>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</si>
  <si>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</si>
  <si>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</si>
  <si>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</si>
  <si>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</si>
  <si>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</si>
  <si>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</si>
  <si>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</si>
  <si>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</si>
  <si>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</si>
  <si>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</si>
  <si>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</si>
  <si>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</si>
  <si>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</si>
  <si>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</si>
  <si>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</si>
  <si>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</si>
  <si>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</si>
  <si>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</si>
  <si>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</si>
  <si>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</si>
  <si>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</si>
  <si>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</si>
  <si>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</si>
  <si>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</si>
  <si>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</si>
  <si>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</si>
  <si>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</si>
  <si>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</si>
  <si>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</si>
  <si>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</si>
  <si>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</si>
  <si>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</si>
  <si>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</si>
  <si>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</si>
  <si>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</si>
  <si>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</si>
  <si>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</si>
  <si>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</si>
  <si>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</si>
  <si>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</si>
  <si>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</si>
  <si>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</si>
  <si>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</si>
  <si>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</si>
  <si>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</si>
  <si>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</si>
  <si>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</si>
  <si>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</si>
  <si>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</si>
  <si>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</si>
  <si>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</si>
  <si>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</si>
  <si>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</si>
  <si>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</si>
  <si>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</si>
  <si>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</si>
  <si>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</si>
  <si>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</si>
  <si>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</si>
  <si>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</si>
  <si>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</si>
  <si>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</si>
  <si>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</si>
  <si>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</si>
  <si>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</si>
  <si>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</si>
  <si>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</si>
  <si>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</si>
  <si>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</si>
  <si>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</si>
  <si>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</si>
  <si>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</si>
  <si>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</si>
  <si>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</si>
  <si>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</si>
  <si>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</si>
  <si>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</si>
  <si>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</si>
  <si>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</si>
  <si>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</si>
  <si>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</si>
  <si>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</si>
  <si>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</si>
  <si>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</si>
  <si>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</si>
  <si>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</si>
  <si>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</si>
  <si>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</si>
  <si>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</si>
  <si>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</si>
  <si>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</si>
  <si>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</si>
  <si>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</si>
  <si>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</si>
  <si>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</si>
  <si>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</si>
  <si>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</si>
  <si>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</si>
  <si>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</si>
  <si>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</si>
  <si>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</si>
  <si>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</si>
  <si>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</si>
  <si>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</si>
  <si>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</si>
  <si>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</si>
  <si>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</si>
  <si>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</si>
  <si>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</si>
  <si>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</si>
  <si>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</si>
  <si>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</si>
  <si>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</si>
  <si>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</si>
  <si>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</si>
  <si>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</si>
  <si>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</si>
  <si>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</si>
  <si>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</si>
  <si>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</si>
  <si>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</si>
  <si>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</si>
  <si>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</si>
  <si>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</si>
  <si>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</si>
  <si>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</si>
  <si>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</si>
  <si>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</si>
  <si>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</si>
  <si>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</si>
  <si>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</si>
  <si>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</si>
  <si>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</si>
  <si>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</si>
  <si>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</si>
  <si>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</si>
  <si>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</si>
  <si>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</si>
  <si>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</si>
  <si>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</si>
  <si>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</si>
  <si>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</si>
  <si>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</si>
  <si>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</si>
  <si>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</si>
  <si>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</si>
  <si>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</si>
  <si>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</si>
  <si>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</si>
  <si>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</si>
  <si>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</si>
  <si>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</si>
  <si>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</si>
  <si>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</si>
  <si>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</si>
  <si>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</si>
  <si>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</si>
  <si>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</si>
  <si>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</si>
  <si>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</si>
  <si>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</si>
  <si>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</si>
  <si>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</si>
  <si>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</si>
  <si>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</si>
  <si>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</si>
  <si>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</si>
  <si>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</si>
  <si>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</si>
  <si>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</si>
  <si>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</si>
  <si>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</si>
  <si>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</si>
  <si>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</si>
  <si>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</si>
  <si>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</si>
  <si>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</si>
  <si>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</si>
  <si>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</si>
  <si>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</si>
  <si>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</si>
  <si>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</si>
  <si>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</si>
  <si>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</si>
  <si>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</si>
  <si>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</si>
  <si>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</si>
  <si>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</si>
  <si>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</si>
  <si>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</si>
  <si>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</si>
  <si>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</si>
  <si>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</si>
  <si>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</si>
  <si>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</si>
  <si>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</si>
  <si>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</si>
  <si>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</si>
  <si>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</si>
  <si>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</si>
  <si>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</si>
  <si>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</si>
  <si>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</si>
  <si>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</si>
  <si>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</si>
  <si>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</si>
  <si>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</si>
  <si>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</si>
  <si>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</si>
  <si>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</si>
  <si>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</si>
  <si>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</si>
  <si>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</si>
  <si>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</si>
  <si>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</si>
  <si>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</si>
  <si>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</si>
  <si>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</si>
  <si>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</si>
  <si>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</si>
  <si>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</si>
  <si>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</si>
  <si>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</si>
  <si>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</si>
  <si>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</si>
  <si>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</si>
  <si>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</si>
  <si>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</si>
  <si>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</si>
  <si>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</si>
  <si>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</si>
  <si>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</si>
  <si>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</si>
  <si>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</si>
  <si>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</si>
  <si>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</si>
  <si>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</si>
  <si>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</si>
  <si>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</si>
  <si>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</si>
  <si>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</si>
  <si>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</si>
  <si>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</si>
  <si>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</si>
  <si>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</si>
  <si>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</si>
  <si>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</si>
  <si>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</si>
  <si>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</si>
  <si>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</si>
  <si>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</si>
  <si>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</si>
  <si>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</si>
  <si>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</si>
  <si>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</si>
  <si>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</si>
  <si>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</si>
  <si>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</si>
  <si>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</si>
  <si>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</si>
  <si>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</si>
  <si>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</si>
  <si>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</si>
  <si>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</si>
  <si>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</si>
  <si>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</si>
  <si>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</si>
  <si>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</si>
  <si>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</si>
  <si>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</si>
  <si>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</si>
  <si>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</si>
  <si>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</si>
  <si>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</si>
  <si>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</si>
  <si>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</si>
  <si>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</si>
  <si>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</si>
  <si>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</si>
  <si>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</si>
  <si>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</si>
  <si>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</si>
  <si>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</si>
  <si>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</si>
  <si>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</si>
  <si>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</si>
  <si>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</si>
  <si>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</si>
  <si>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</si>
  <si>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</si>
  <si>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</si>
  <si>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</si>
  <si>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</si>
  <si>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</si>
  <si>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</si>
  <si>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</si>
  <si>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</si>
  <si>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</si>
  <si>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</si>
  <si>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</si>
  <si>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</si>
  <si>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</si>
  <si>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</si>
  <si>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</si>
  <si>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</si>
  <si>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</si>
  <si>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</si>
  <si>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</si>
  <si>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</si>
  <si>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</si>
  <si>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</si>
  <si>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</si>
  <si>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</si>
  <si>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</si>
  <si>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</si>
  <si>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</si>
  <si>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</si>
  <si>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</si>
  <si>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</si>
  <si>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</si>
  <si>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</si>
  <si>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</si>
  <si>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</si>
  <si>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</si>
  <si>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</si>
  <si>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</si>
  <si>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</si>
  <si>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</si>
  <si>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</si>
  <si>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</si>
  <si>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</si>
  <si>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</si>
  <si>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</si>
  <si>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</si>
  <si>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</si>
  <si>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</si>
  <si>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</si>
  <si>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</si>
  <si>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</si>
  <si>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</si>
  <si>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</si>
  <si>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</si>
  <si>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</si>
  <si>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</si>
  <si>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</si>
  <si>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</si>
  <si>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</si>
  <si>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</si>
  <si>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</si>
  <si>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</si>
  <si>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</si>
  <si>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</si>
  <si>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</si>
  <si>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</si>
  <si>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</si>
  <si>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</si>
  <si>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</si>
  <si>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</si>
  <si>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</si>
  <si>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</si>
  <si>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</si>
  <si>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</si>
  <si>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</si>
  <si>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</si>
  <si>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</si>
  <si>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</si>
  <si>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</si>
  <si>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</si>
  <si>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</si>
  <si>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</si>
  <si>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</si>
  <si>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</si>
  <si>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</si>
  <si>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</si>
  <si>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</si>
  <si>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</si>
  <si>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</si>
  <si>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</si>
  <si>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</si>
  <si>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</si>
  <si>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</si>
  <si>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</si>
  <si>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</si>
  <si>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</si>
  <si>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</si>
  <si>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</si>
  <si>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</si>
  <si>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</si>
  <si>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</si>
  <si>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</si>
  <si>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</si>
  <si>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</si>
  <si>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</si>
  <si>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</si>
  <si>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</si>
  <si>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</si>
  <si>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</si>
  <si>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</si>
  <si>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</si>
  <si>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</si>
  <si>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</si>
  <si>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</si>
  <si>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</si>
  <si>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</si>
  <si>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</si>
  <si>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</si>
  <si>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</si>
  <si>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</si>
  <si>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</si>
  <si>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</si>
  <si>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</si>
  <si>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</si>
  <si>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</si>
  <si>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</si>
  <si>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</si>
  <si>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</si>
  <si>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</si>
  <si>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</si>
  <si>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</si>
  <si>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</si>
  <si>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</si>
  <si>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</si>
  <si>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</si>
  <si>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</si>
  <si>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</si>
  <si>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</si>
  <si>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</si>
  <si>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</si>
  <si>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</si>
  <si>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</si>
  <si>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</si>
  <si>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</si>
  <si>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</si>
  <si>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</si>
  <si>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</si>
  <si>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</si>
  <si>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</si>
  <si>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</si>
  <si>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</si>
  <si>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</si>
  <si>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</si>
  <si>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</si>
  <si>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</si>
  <si>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</si>
  <si>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</si>
  <si>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</si>
  <si>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</si>
  <si>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</si>
  <si>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</si>
  <si>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</si>
  <si>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</si>
  <si>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</si>
  <si>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</si>
  <si>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</si>
  <si>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</si>
  <si>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</si>
  <si>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</si>
  <si>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</si>
  <si>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</si>
  <si>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</si>
  <si>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</si>
  <si>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</si>
  <si>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</si>
  <si>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</si>
  <si>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</si>
  <si>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</si>
  <si>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</si>
  <si>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</si>
  <si>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</si>
  <si>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</si>
  <si>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</si>
  <si>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</si>
  <si>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</si>
  <si>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</si>
  <si>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</si>
  <si>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</si>
  <si>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</si>
  <si>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</si>
  <si>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</si>
  <si>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</si>
  <si>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</si>
  <si>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</si>
  <si>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</si>
  <si>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</si>
  <si>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</si>
  <si>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</si>
  <si>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</si>
  <si>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</si>
  <si>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</si>
  <si>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</si>
  <si>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</si>
  <si>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</si>
  <si>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</si>
  <si>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</si>
  <si>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</si>
  <si>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</si>
  <si>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</si>
  <si>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</si>
  <si>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</si>
  <si>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</si>
  <si>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</si>
  <si>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</si>
  <si>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</si>
  <si>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</si>
  <si>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</si>
  <si>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</si>
  <si>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</si>
  <si>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</si>
  <si>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</si>
  <si>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</si>
  <si>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</si>
  <si>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</si>
  <si>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</si>
  <si>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</si>
  <si>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</si>
  <si>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</si>
  <si>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</si>
  <si>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</si>
  <si>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</si>
  <si>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</si>
  <si>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</si>
  <si>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</si>
  <si>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</si>
  <si>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</si>
  <si>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</si>
  <si>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</si>
  <si>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</si>
  <si>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</si>
  <si>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</si>
  <si>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</si>
  <si>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</si>
  <si>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</si>
  <si>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</si>
  <si>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</si>
  <si>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</si>
  <si>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</si>
  <si>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</si>
  <si>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</si>
  <si>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</si>
  <si>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</si>
  <si>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</si>
  <si>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</si>
  <si>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</si>
  <si>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</si>
  <si>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</si>
  <si>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</si>
  <si>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</si>
  <si>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</si>
  <si>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</si>
  <si>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</si>
  <si>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</si>
  <si>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</si>
  <si>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</si>
  <si>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</si>
  <si>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</si>
  <si>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</si>
  <si>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</si>
  <si>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</si>
  <si>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</si>
  <si>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</si>
  <si>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</si>
  <si>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</si>
  <si>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</si>
  <si>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</si>
  <si>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</si>
  <si>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</si>
  <si>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</si>
  <si>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</si>
  <si>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</si>
  <si>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</si>
  <si>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</si>
  <si>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</si>
  <si>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</si>
  <si>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</si>
  <si>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</si>
  <si>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</si>
  <si>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</si>
  <si>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</si>
  <si>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</si>
  <si>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</si>
  <si>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</si>
  <si>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</si>
  <si>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</si>
  <si>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</si>
  <si>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</si>
  <si>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</si>
  <si>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</si>
  <si>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</si>
  <si>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</si>
  <si>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</si>
  <si>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</si>
  <si>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</si>
  <si>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</si>
  <si>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</si>
  <si>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</si>
  <si>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</si>
  <si>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</si>
  <si>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</si>
  <si>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</si>
  <si>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</si>
  <si>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</si>
  <si>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</si>
  <si>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</si>
  <si>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</si>
  <si>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</si>
  <si>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</si>
  <si>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</si>
  <si>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</si>
  <si>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</si>
  <si>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</si>
  <si>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</si>
  <si>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</si>
  <si>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</si>
  <si>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</si>
  <si>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</si>
  <si>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</si>
  <si>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</si>
  <si>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</si>
  <si>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</si>
  <si>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</si>
  <si>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</si>
  <si>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</si>
  <si>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</si>
  <si>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</si>
  <si>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</si>
  <si>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</si>
  <si>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</si>
  <si>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</si>
  <si>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</si>
  <si>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</si>
  <si>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</si>
  <si>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</si>
  <si>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</si>
  <si>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</si>
  <si>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</si>
  <si>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</si>
  <si>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</si>
  <si>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</si>
  <si>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</si>
  <si>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</si>
  <si>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</si>
  <si>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</si>
  <si>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</si>
  <si>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</si>
  <si>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</si>
  <si>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</si>
  <si>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</si>
  <si>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</si>
  <si>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</si>
  <si>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</si>
  <si>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</si>
  <si>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</si>
  <si>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</si>
  <si>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</si>
  <si>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</si>
  <si>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</si>
  <si>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</si>
  <si>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</si>
  <si>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</si>
  <si>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</si>
  <si>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</si>
  <si>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</si>
  <si>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</si>
  <si>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</si>
  <si>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</si>
  <si>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</si>
  <si>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</si>
  <si>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</si>
  <si>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</si>
  <si>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</si>
  <si>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</si>
  <si>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</si>
  <si>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</si>
  <si>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</si>
  <si>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</si>
  <si>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</si>
  <si>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</si>
  <si>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</si>
  <si>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</si>
  <si>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</si>
  <si>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</si>
  <si>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</si>
  <si>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</si>
  <si>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</si>
  <si>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</si>
  <si>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</si>
  <si>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</si>
  <si>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</si>
  <si>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</si>
  <si>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</si>
  <si>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</si>
  <si>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</si>
  <si>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</si>
  <si>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</si>
  <si>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</si>
  <si>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</si>
  <si>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</si>
  <si>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</si>
  <si>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</si>
  <si>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</si>
  <si>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</si>
  <si>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</si>
  <si>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</si>
  <si>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</si>
  <si>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</si>
  <si>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</si>
  <si>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</si>
  <si>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</si>
  <si>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</si>
  <si>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</si>
  <si>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</si>
  <si>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</si>
  <si>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</si>
  <si>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</si>
  <si>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</si>
  <si>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</si>
  <si>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</si>
  <si>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</si>
  <si>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</si>
  <si>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</si>
  <si>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</si>
  <si>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</si>
  <si>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</si>
  <si>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</si>
  <si>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</si>
  <si>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</si>
  <si>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</si>
  <si>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</si>
  <si>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</si>
  <si>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</si>
  <si>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</si>
  <si>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</si>
  <si>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</si>
  <si>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</si>
  <si>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</si>
  <si>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</si>
  <si>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</si>
  <si>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</si>
  <si>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</si>
  <si>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23002</t>
  </si>
  <si>
    <t>ASSE</t>
  </si>
  <si>
    <t>Paarden&amp;pony's 200 - 600 kg</t>
  </si>
  <si>
    <t>Paarden&amp;pony's &lt; 200 kg</t>
  </si>
  <si>
    <t>vloeibaar gas (MWh)</t>
  </si>
  <si>
    <t>biomassa uit land- of bosbouw</t>
  </si>
  <si>
    <t>niet WKK interne verbrandingsmotor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</si>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</sst>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51473D1-5DD2-45AF-8B96-5F892EFE55D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23002</v>
      </c>
      <c r="B6" s="382"/>
      <c r="C6" s="383"/>
    </row>
    <row r="7" spans="1:7" s="380" customFormat="1" ht="15.75" customHeight="1">
      <c r="A7" s="384" t="str">
        <f>txtMunicipality</f>
        <v>ASSE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0.1764467932280335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0.1764467932280335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12628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2383</v>
      </c>
      <c r="C14" s="324"/>
      <c r="D14" s="324"/>
      <c r="E14" s="324"/>
      <c r="F14" s="324"/>
    </row>
    <row r="15" spans="1:6">
      <c r="A15" s="1235" t="s">
        <v>177</v>
      </c>
      <c r="B15" s="1236">
        <v>811</v>
      </c>
      <c r="C15" s="324"/>
      <c r="D15" s="324"/>
      <c r="E15" s="324"/>
      <c r="F15" s="324"/>
    </row>
    <row r="16" spans="1:6">
      <c r="A16" s="1235" t="s">
        <v>6</v>
      </c>
      <c r="B16" s="1236">
        <v>235</v>
      </c>
      <c r="C16" s="324"/>
      <c r="D16" s="324"/>
      <c r="E16" s="324"/>
      <c r="F16" s="324"/>
    </row>
    <row r="17" spans="1:6">
      <c r="A17" s="1235" t="s">
        <v>7</v>
      </c>
      <c r="B17" s="1236">
        <v>459</v>
      </c>
      <c r="C17" s="324"/>
      <c r="D17" s="324"/>
      <c r="E17" s="324"/>
      <c r="F17" s="324"/>
    </row>
    <row r="18" spans="1:6">
      <c r="A18" s="1235" t="s">
        <v>8</v>
      </c>
      <c r="B18" s="1236">
        <v>509</v>
      </c>
      <c r="C18" s="324"/>
      <c r="D18" s="324"/>
      <c r="E18" s="324"/>
      <c r="F18" s="324"/>
    </row>
    <row r="19" spans="1:6">
      <c r="A19" s="1235" t="s">
        <v>9</v>
      </c>
      <c r="B19" s="1236">
        <v>508</v>
      </c>
      <c r="C19" s="324"/>
      <c r="D19" s="324"/>
      <c r="E19" s="324"/>
      <c r="F19" s="324"/>
    </row>
    <row r="20" spans="1:6">
      <c r="A20" s="1235" t="s">
        <v>10</v>
      </c>
      <c r="B20" s="1236">
        <v>483</v>
      </c>
      <c r="C20" s="324"/>
      <c r="D20" s="324"/>
      <c r="E20" s="324"/>
      <c r="F20" s="324"/>
    </row>
    <row r="21" spans="1:6">
      <c r="A21" s="1235" t="s">
        <v>11</v>
      </c>
      <c r="B21" s="1236">
        <v>237</v>
      </c>
      <c r="C21" s="324"/>
      <c r="D21" s="324"/>
      <c r="E21" s="324"/>
      <c r="F21" s="324"/>
    </row>
    <row r="22" spans="1:6">
      <c r="A22" s="1235" t="s">
        <v>12</v>
      </c>
      <c r="B22" s="1236">
        <v>3447</v>
      </c>
      <c r="C22" s="324"/>
      <c r="D22" s="324"/>
      <c r="E22" s="324"/>
      <c r="F22" s="324"/>
    </row>
    <row r="23" spans="1:6">
      <c r="A23" s="1235" t="s">
        <v>13</v>
      </c>
      <c r="B23" s="1236">
        <v>11</v>
      </c>
      <c r="C23" s="324"/>
      <c r="D23" s="324"/>
      <c r="E23" s="324"/>
      <c r="F23" s="324"/>
    </row>
    <row r="24" spans="1:6">
      <c r="A24" s="1235" t="s">
        <v>14</v>
      </c>
      <c r="B24" s="1236">
        <v>1</v>
      </c>
      <c r="C24" s="324"/>
      <c r="D24" s="324"/>
      <c r="E24" s="324"/>
      <c r="F24" s="324"/>
    </row>
    <row r="25" spans="1:6">
      <c r="A25" s="1235" t="s">
        <v>15</v>
      </c>
      <c r="B25" s="1236">
        <v>94</v>
      </c>
      <c r="C25" s="324"/>
      <c r="D25" s="324"/>
      <c r="E25" s="324"/>
      <c r="F25" s="324"/>
    </row>
    <row r="26" spans="1:6">
      <c r="A26" s="1235" t="s">
        <v>16</v>
      </c>
      <c r="B26" s="1236">
        <v>308</v>
      </c>
      <c r="C26" s="324"/>
      <c r="D26" s="324"/>
      <c r="E26" s="324"/>
      <c r="F26" s="324"/>
    </row>
    <row r="27" spans="1:6">
      <c r="A27" s="1235" t="s">
        <v>17</v>
      </c>
      <c r="B27" s="1236">
        <v>0</v>
      </c>
      <c r="C27" s="324"/>
      <c r="D27" s="324"/>
      <c r="E27" s="324"/>
      <c r="F27" s="324"/>
    </row>
    <row r="28" spans="1:6">
      <c r="A28" s="1235" t="s">
        <v>18</v>
      </c>
      <c r="B28" s="1237">
        <v>73671</v>
      </c>
      <c r="C28" s="324"/>
      <c r="D28" s="324"/>
      <c r="E28" s="324"/>
      <c r="F28" s="324"/>
    </row>
    <row r="29" spans="1:6">
      <c r="A29" s="1235" t="s">
        <v>959</v>
      </c>
      <c r="B29" s="1237">
        <v>349</v>
      </c>
      <c r="C29" s="324"/>
      <c r="D29" s="324"/>
      <c r="E29" s="324"/>
      <c r="F29" s="324"/>
    </row>
    <row r="30" spans="1:6">
      <c r="A30" s="1230" t="s">
        <v>960</v>
      </c>
      <c r="B30" s="1238">
        <v>96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7</v>
      </c>
      <c r="F38" s="1236">
        <v>322436.57749347598</v>
      </c>
    </row>
    <row r="39" spans="1:6">
      <c r="A39" s="1235" t="s">
        <v>29</v>
      </c>
      <c r="B39" s="1235" t="s">
        <v>30</v>
      </c>
      <c r="C39" s="1236">
        <v>6978</v>
      </c>
      <c r="D39" s="1236">
        <v>118572009.504922</v>
      </c>
      <c r="E39" s="1236">
        <v>12619</v>
      </c>
      <c r="F39" s="1236">
        <v>51025147.667776503</v>
      </c>
    </row>
    <row r="40" spans="1:6">
      <c r="A40" s="1235" t="s">
        <v>29</v>
      </c>
      <c r="B40" s="1235" t="s">
        <v>28</v>
      </c>
      <c r="C40" s="1236">
        <v>0</v>
      </c>
      <c r="D40" s="1236">
        <v>0</v>
      </c>
      <c r="E40" s="1236">
        <v>0</v>
      </c>
      <c r="F40" s="1236">
        <v>0</v>
      </c>
    </row>
    <row r="41" spans="1:6">
      <c r="A41" s="1235" t="s">
        <v>31</v>
      </c>
      <c r="B41" s="1235" t="s">
        <v>32</v>
      </c>
      <c r="C41" s="1236">
        <v>53</v>
      </c>
      <c r="D41" s="1236">
        <v>2292524.23339498</v>
      </c>
      <c r="E41" s="1236">
        <v>198</v>
      </c>
      <c r="F41" s="1236">
        <v>1533691.36061135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92417.944552440196</v>
      </c>
    </row>
    <row r="45" spans="1:6">
      <c r="A45" s="1235" t="s">
        <v>31</v>
      </c>
      <c r="B45" s="1235" t="s">
        <v>36</v>
      </c>
      <c r="C45" s="1236">
        <v>3</v>
      </c>
      <c r="D45" s="1236">
        <v>64299.794635526399</v>
      </c>
      <c r="E45" s="1236">
        <v>6</v>
      </c>
      <c r="F45" s="1236">
        <v>50430.030572089301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40</v>
      </c>
      <c r="D48" s="1236">
        <v>3839876.6024482101</v>
      </c>
      <c r="E48" s="1236">
        <v>53</v>
      </c>
      <c r="F48" s="1236">
        <v>5193828.8464313401</v>
      </c>
    </row>
    <row r="49" spans="1:6">
      <c r="A49" s="1235" t="s">
        <v>31</v>
      </c>
      <c r="B49" s="1235" t="s">
        <v>39</v>
      </c>
      <c r="C49" s="1236">
        <v>0</v>
      </c>
      <c r="D49" s="1236">
        <v>0</v>
      </c>
      <c r="E49" s="1236">
        <v>0</v>
      </c>
      <c r="F49" s="1236">
        <v>0</v>
      </c>
    </row>
    <row r="50" spans="1:6">
      <c r="A50" s="1235" t="s">
        <v>31</v>
      </c>
      <c r="B50" s="1235" t="s">
        <v>40</v>
      </c>
      <c r="C50" s="1236">
        <v>12</v>
      </c>
      <c r="D50" s="1236">
        <v>6653536.8776334198</v>
      </c>
      <c r="E50" s="1236">
        <v>14</v>
      </c>
      <c r="F50" s="1236">
        <v>4517196.2430865597</v>
      </c>
    </row>
    <row r="51" spans="1:6">
      <c r="A51" s="1235" t="s">
        <v>41</v>
      </c>
      <c r="B51" s="1235" t="s">
        <v>42</v>
      </c>
      <c r="C51" s="1236">
        <v>6</v>
      </c>
      <c r="D51" s="1236">
        <v>716560.46857042401</v>
      </c>
      <c r="E51" s="1236">
        <v>86</v>
      </c>
      <c r="F51" s="1236">
        <v>947086.77405356197</v>
      </c>
    </row>
    <row r="52" spans="1:6">
      <c r="A52" s="1235" t="s">
        <v>41</v>
      </c>
      <c r="B52" s="1235" t="s">
        <v>28</v>
      </c>
      <c r="C52" s="1236">
        <v>6</v>
      </c>
      <c r="D52" s="1236">
        <v>411370.12519842002</v>
      </c>
      <c r="E52" s="1236">
        <v>8</v>
      </c>
      <c r="F52" s="1236">
        <v>78122.370734970595</v>
      </c>
    </row>
    <row r="53" spans="1:6">
      <c r="A53" s="1235" t="s">
        <v>43</v>
      </c>
      <c r="B53" s="1235" t="s">
        <v>44</v>
      </c>
      <c r="C53" s="1236">
        <v>342</v>
      </c>
      <c r="D53" s="1236">
        <v>6840436.8920847997</v>
      </c>
      <c r="E53" s="1236">
        <v>600</v>
      </c>
      <c r="F53" s="1236">
        <v>2606798.4776907698</v>
      </c>
    </row>
    <row r="54" spans="1:6">
      <c r="A54" s="1235" t="s">
        <v>45</v>
      </c>
      <c r="B54" s="1235" t="s">
        <v>46</v>
      </c>
      <c r="C54" s="1236">
        <v>0</v>
      </c>
      <c r="D54" s="1236">
        <v>0</v>
      </c>
      <c r="E54" s="1236">
        <v>1</v>
      </c>
      <c r="F54" s="1236">
        <v>2038823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54</v>
      </c>
      <c r="D57" s="1236">
        <v>4431587.3659269996</v>
      </c>
      <c r="E57" s="1236">
        <v>116</v>
      </c>
      <c r="F57" s="1236">
        <v>2317784.3027018402</v>
      </c>
    </row>
    <row r="58" spans="1:6">
      <c r="A58" s="1235" t="s">
        <v>48</v>
      </c>
      <c r="B58" s="1235" t="s">
        <v>50</v>
      </c>
      <c r="C58" s="1236">
        <v>21</v>
      </c>
      <c r="D58" s="1236">
        <v>697816.08327903505</v>
      </c>
      <c r="E58" s="1236">
        <v>43</v>
      </c>
      <c r="F58" s="1236">
        <v>1026123.59592326</v>
      </c>
    </row>
    <row r="59" spans="1:6">
      <c r="A59" s="1235" t="s">
        <v>48</v>
      </c>
      <c r="B59" s="1235" t="s">
        <v>51</v>
      </c>
      <c r="C59" s="1236">
        <v>156</v>
      </c>
      <c r="D59" s="1236">
        <v>26529808.563772101</v>
      </c>
      <c r="E59" s="1236">
        <v>420</v>
      </c>
      <c r="F59" s="1236">
        <v>48605788.081136897</v>
      </c>
    </row>
    <row r="60" spans="1:6">
      <c r="A60" s="1235" t="s">
        <v>48</v>
      </c>
      <c r="B60" s="1235" t="s">
        <v>52</v>
      </c>
      <c r="C60" s="1236">
        <v>63</v>
      </c>
      <c r="D60" s="1236">
        <v>2773829.3903520699</v>
      </c>
      <c r="E60" s="1236">
        <v>101</v>
      </c>
      <c r="F60" s="1236">
        <v>2226400.7814754299</v>
      </c>
    </row>
    <row r="61" spans="1:6">
      <c r="A61" s="1235" t="s">
        <v>48</v>
      </c>
      <c r="B61" s="1235" t="s">
        <v>53</v>
      </c>
      <c r="C61" s="1236">
        <v>235</v>
      </c>
      <c r="D61" s="1236">
        <v>22195674.1880266</v>
      </c>
      <c r="E61" s="1236">
        <v>749</v>
      </c>
      <c r="F61" s="1236">
        <v>16242475.0892774</v>
      </c>
    </row>
    <row r="62" spans="1:6">
      <c r="A62" s="1235" t="s">
        <v>48</v>
      </c>
      <c r="B62" s="1235" t="s">
        <v>54</v>
      </c>
      <c r="C62" s="1236">
        <v>6</v>
      </c>
      <c r="D62" s="1236">
        <v>2219393.7647814001</v>
      </c>
      <c r="E62" s="1236">
        <v>9</v>
      </c>
      <c r="F62" s="1236">
        <v>277304.655307504</v>
      </c>
    </row>
    <row r="63" spans="1:6">
      <c r="A63" s="1235" t="s">
        <v>48</v>
      </c>
      <c r="B63" s="1235" t="s">
        <v>28</v>
      </c>
      <c r="C63" s="1236">
        <v>205</v>
      </c>
      <c r="D63" s="1236">
        <v>24354653.525724798</v>
      </c>
      <c r="E63" s="1236">
        <v>198</v>
      </c>
      <c r="F63" s="1236">
        <v>21670986.712657701</v>
      </c>
    </row>
    <row r="64" spans="1:6">
      <c r="A64" s="1235" t="s">
        <v>55</v>
      </c>
      <c r="B64" s="1235" t="s">
        <v>56</v>
      </c>
      <c r="C64" s="1236">
        <v>0</v>
      </c>
      <c r="D64" s="1236">
        <v>0</v>
      </c>
      <c r="E64" s="1236">
        <v>0</v>
      </c>
      <c r="F64" s="1236">
        <v>0</v>
      </c>
    </row>
    <row r="65" spans="1:6">
      <c r="A65" s="1235" t="s">
        <v>55</v>
      </c>
      <c r="B65" s="1235" t="s">
        <v>28</v>
      </c>
      <c r="C65" s="1236">
        <v>4</v>
      </c>
      <c r="D65" s="1236">
        <v>140677.56702471801</v>
      </c>
      <c r="E65" s="1236">
        <v>6</v>
      </c>
      <c r="F65" s="1236">
        <v>145353.167595515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11</v>
      </c>
      <c r="D68" s="1238">
        <v>616076.13692133105</v>
      </c>
      <c r="E68" s="1238">
        <v>31</v>
      </c>
      <c r="F68" s="1238">
        <v>1716541.1826557501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146462282</v>
      </c>
      <c r="E73" s="443"/>
      <c r="F73" s="324"/>
    </row>
    <row r="74" spans="1:6">
      <c r="A74" s="1235" t="s">
        <v>63</v>
      </c>
      <c r="B74" s="1235" t="s">
        <v>730</v>
      </c>
      <c r="C74" s="1248" t="s">
        <v>731</v>
      </c>
      <c r="D74" s="1236">
        <v>11996176.738695968</v>
      </c>
      <c r="E74" s="443"/>
      <c r="F74" s="324"/>
    </row>
    <row r="75" spans="1:6">
      <c r="A75" s="1235" t="s">
        <v>64</v>
      </c>
      <c r="B75" s="1235" t="s">
        <v>728</v>
      </c>
      <c r="C75" s="1248" t="s">
        <v>732</v>
      </c>
      <c r="D75" s="1236">
        <v>61616381</v>
      </c>
      <c r="E75" s="443"/>
      <c r="F75" s="324"/>
    </row>
    <row r="76" spans="1:6">
      <c r="A76" s="1235" t="s">
        <v>64</v>
      </c>
      <c r="B76" s="1235" t="s">
        <v>730</v>
      </c>
      <c r="C76" s="1248" t="s">
        <v>733</v>
      </c>
      <c r="D76" s="1236">
        <v>3237060.7386959684</v>
      </c>
      <c r="E76" s="443"/>
      <c r="F76" s="324"/>
    </row>
    <row r="77" spans="1:6">
      <c r="A77" s="1235" t="s">
        <v>65</v>
      </c>
      <c r="B77" s="1235" t="s">
        <v>728</v>
      </c>
      <c r="C77" s="1248" t="s">
        <v>734</v>
      </c>
      <c r="D77" s="1236">
        <v>140466208</v>
      </c>
      <c r="E77" s="443"/>
      <c r="F77" s="324"/>
    </row>
    <row r="78" spans="1:6">
      <c r="A78" s="1230" t="s">
        <v>65</v>
      </c>
      <c r="B78" s="1230" t="s">
        <v>730</v>
      </c>
      <c r="C78" s="1230" t="s">
        <v>735</v>
      </c>
      <c r="D78" s="1238">
        <v>16498091</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1442152.5226080634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1722.7662642987689</v>
      </c>
      <c r="C91" s="324"/>
      <c r="D91" s="324"/>
      <c r="E91" s="324"/>
      <c r="F91" s="324"/>
    </row>
    <row r="92" spans="1:6">
      <c r="A92" s="1230" t="s">
        <v>68</v>
      </c>
      <c r="B92" s="1231">
        <v>3166.7216449433336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4799</v>
      </c>
      <c r="C97" s="324"/>
      <c r="D97" s="324"/>
      <c r="E97" s="324"/>
      <c r="F97" s="324"/>
    </row>
    <row r="98" spans="1:6">
      <c r="A98" s="1235" t="s">
        <v>71</v>
      </c>
      <c r="B98" s="1236">
        <v>4</v>
      </c>
      <c r="C98" s="324"/>
      <c r="D98" s="324"/>
      <c r="E98" s="324"/>
      <c r="F98" s="324"/>
    </row>
    <row r="99" spans="1:6">
      <c r="A99" s="1235" t="s">
        <v>72</v>
      </c>
      <c r="B99" s="1236">
        <v>99</v>
      </c>
      <c r="C99" s="324"/>
      <c r="D99" s="324"/>
      <c r="E99" s="324"/>
      <c r="F99" s="324"/>
    </row>
    <row r="100" spans="1:6">
      <c r="A100" s="1235" t="s">
        <v>73</v>
      </c>
      <c r="B100" s="1236">
        <v>830</v>
      </c>
      <c r="C100" s="324"/>
      <c r="D100" s="324"/>
      <c r="E100" s="324"/>
      <c r="F100" s="324"/>
    </row>
    <row r="101" spans="1:6">
      <c r="A101" s="1235" t="s">
        <v>74</v>
      </c>
      <c r="B101" s="1236">
        <v>75</v>
      </c>
      <c r="C101" s="324"/>
      <c r="D101" s="324"/>
      <c r="E101" s="324"/>
      <c r="F101" s="324"/>
    </row>
    <row r="102" spans="1:6">
      <c r="A102" s="1235" t="s">
        <v>75</v>
      </c>
      <c r="B102" s="1236">
        <v>177</v>
      </c>
      <c r="C102" s="324"/>
      <c r="D102" s="324"/>
      <c r="E102" s="324"/>
      <c r="F102" s="324"/>
    </row>
    <row r="103" spans="1:6">
      <c r="A103" s="1235" t="s">
        <v>76</v>
      </c>
      <c r="B103" s="1236">
        <v>217</v>
      </c>
      <c r="C103" s="324"/>
      <c r="D103" s="324"/>
      <c r="E103" s="324"/>
      <c r="F103" s="324"/>
    </row>
    <row r="104" spans="1:6">
      <c r="A104" s="1235" t="s">
        <v>77</v>
      </c>
      <c r="B104" s="1236">
        <v>4999</v>
      </c>
      <c r="C104" s="324"/>
      <c r="D104" s="324"/>
      <c r="E104" s="324"/>
      <c r="F104" s="324"/>
    </row>
    <row r="105" spans="1:6">
      <c r="A105" s="1230" t="s">
        <v>78</v>
      </c>
      <c r="B105" s="1238">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14</v>
      </c>
      <c r="C123" s="1236">
        <v>9</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45</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14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162201.27240065625</v>
      </c>
      <c r="C3" s="43" t="s">
        <v>163</v>
      </c>
      <c r="D3" s="43"/>
      <c r="E3" s="155"/>
      <c r="F3" s="43"/>
      <c r="G3" s="43"/>
      <c r="H3" s="43"/>
      <c r="I3" s="43"/>
      <c r="J3" s="43"/>
      <c r="K3" s="96"/>
    </row>
    <row r="4" spans="1:11">
      <c r="A4" s="350" t="s">
        <v>164</v>
      </c>
      <c r="B4" s="49">
        <f>IF(ISERROR('SEAP template'!B78+'SEAP template'!C78),0,'SEAP template'!B78+'SEAP template'!C78)</f>
        <v>32699.487909242103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0.1764467932280335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2038.8230000000001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2038.8230000000001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0.1764467932280335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359.74378030955899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51025.147667776502</v>
      </c>
      <c r="C5" s="17">
        <f>IF(ISERROR('Eigen informatie GS &amp; warmtenet'!B57),0,'Eigen informatie GS &amp; warmtenet'!B57)</f>
        <v>0</v>
      </c>
      <c r="D5" s="30">
        <f>(SUM(HH_hh_gas_kWh,HH_rest_gas_kWh)/1000)*0.902</f>
        <v>106951.95257343964</v>
      </c>
      <c r="E5" s="17">
        <f>B32*B41</f>
        <v>2881.5705206457174</v>
      </c>
      <c r="F5" s="17">
        <f>B36*B45</f>
        <v>98360.668220555468</v>
      </c>
      <c r="G5" s="18"/>
      <c r="H5" s="17"/>
      <c r="I5" s="17"/>
      <c r="J5" s="17">
        <f>B35*B44+C35*C44</f>
        <v>2214.8328757854601</v>
      </c>
      <c r="K5" s="17"/>
      <c r="L5" s="17"/>
      <c r="M5" s="17"/>
      <c r="N5" s="17">
        <f>B34*B43+C34*C43</f>
        <v>15486.885071519246</v>
      </c>
      <c r="O5" s="17">
        <f>B52*B53*B54</f>
        <v>84.42</v>
      </c>
      <c r="P5" s="17">
        <f>B60*B61*B62/1000-B60*B61*B62/1000/B63</f>
        <v>552.93333333333339</v>
      </c>
    </row>
    <row r="6" spans="1:16">
      <c r="A6" s="16" t="s">
        <v>591</v>
      </c>
      <c r="B6" s="727">
        <f>kWh_PV_kleiner_dan_10kW</f>
        <v>1722.7662642987689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52747.913932075273</v>
      </c>
      <c r="C8" s="21">
        <f>C5</f>
        <v>0</v>
      </c>
      <c r="D8" s="21">
        <f>D5</f>
        <v>106951.95257343964</v>
      </c>
      <c r="E8" s="21">
        <f>E5</f>
        <v>2881.5705206457174</v>
      </c>
      <c r="F8" s="21">
        <f>F5</f>
        <v>98360.668220555468</v>
      </c>
      <c r="G8" s="21"/>
      <c r="H8" s="21"/>
      <c r="I8" s="21"/>
      <c r="J8" s="21">
        <f>J5</f>
        <v>2214.8328757854601</v>
      </c>
      <c r="K8" s="21"/>
      <c r="L8" s="21">
        <f>L5</f>
        <v>0</v>
      </c>
      <c r="M8" s="21">
        <f>M5</f>
        <v>0</v>
      </c>
      <c r="N8" s="21">
        <f>N5</f>
        <v>15486.885071519246</v>
      </c>
      <c r="O8" s="21">
        <f>O5</f>
        <v>84.42</v>
      </c>
      <c r="P8" s="21">
        <f>P5</f>
        <v>552.93333333333339</v>
      </c>
    </row>
    <row r="9" spans="1:16">
      <c r="B9" s="19"/>
      <c r="C9" s="19"/>
      <c r="D9" s="255"/>
      <c r="E9" s="19"/>
      <c r="F9" s="19"/>
      <c r="G9" s="19"/>
      <c r="H9" s="19"/>
      <c r="I9" s="19"/>
      <c r="J9" s="19"/>
      <c r="K9" s="19"/>
      <c r="L9" s="19"/>
      <c r="M9" s="19"/>
      <c r="N9" s="19"/>
      <c r="O9" s="19"/>
      <c r="P9" s="19"/>
    </row>
    <row r="10" spans="1:16">
      <c r="A10" s="24" t="s">
        <v>207</v>
      </c>
      <c r="B10" s="25">
        <f ca="1">'EF ele_warmte'!B12</f>
        <v>0.1764467932280335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9307.2002627829934</v>
      </c>
      <c r="C12" s="23">
        <f ca="1">C10*C8</f>
        <v>0</v>
      </c>
      <c r="D12" s="23">
        <f>D8*D10</f>
        <v>21604.294419834809</v>
      </c>
      <c r="E12" s="23">
        <f>E10*E8</f>
        <v>654.1165081865779</v>
      </c>
      <c r="F12" s="23">
        <f>F10*F8</f>
        <v>26262.298414888312</v>
      </c>
      <c r="G12" s="23"/>
      <c r="H12" s="23"/>
      <c r="I12" s="23"/>
      <c r="J12" s="23">
        <f>J10*J8</f>
        <v>784.05083802805279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12628</v>
      </c>
      <c r="C26" s="36"/>
      <c r="D26" s="225"/>
    </row>
    <row r="27" spans="1:5" s="15" customFormat="1">
      <c r="A27" s="227" t="s">
        <v>671</v>
      </c>
      <c r="B27" s="37">
        <f>SUM(HH_hh_gas_aantal,HH_rest_gas_aantal)</f>
        <v>6978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6629.1</v>
      </c>
      <c r="C31" s="34" t="s">
        <v>104</v>
      </c>
      <c r="D31" s="171"/>
    </row>
    <row r="32" spans="1:5">
      <c r="A32" s="168" t="s">
        <v>72</v>
      </c>
      <c r="B32" s="33">
        <f>IF((B21*($B$26-($B$27-0.05*$B$27)-$B$60))&lt;0,0,B21*($B$26-($B$27-0.05*$B$27)-$B$60))</f>
        <v>42.324015891502519</v>
      </c>
      <c r="C32" s="34" t="s">
        <v>104</v>
      </c>
      <c r="D32" s="171"/>
    </row>
    <row r="33" spans="1:6">
      <c r="A33" s="168" t="s">
        <v>73</v>
      </c>
      <c r="B33" s="33">
        <f>IF((B22*($B$26-($B$27-0.05*$B$27)-$B$60))&lt;0,0,B22*($B$26-($B$27-0.05*$B$27)-$B$60))</f>
        <v>1213.0005370809533</v>
      </c>
      <c r="C33" s="34" t="s">
        <v>104</v>
      </c>
      <c r="D33" s="171"/>
    </row>
    <row r="34" spans="1:6">
      <c r="A34" s="168" t="s">
        <v>74</v>
      </c>
      <c r="B34" s="33">
        <f>IF((B24*($B$26-($B$27-0.05*$B$27)-$B$60))&lt;0,0,B24*($B$26-($B$27-0.05*$B$27)-$B$60))</f>
        <v>241.88512647069135</v>
      </c>
      <c r="C34" s="33">
        <f>B26*C24</f>
        <v>2582.1433188104302</v>
      </c>
      <c r="D34" s="230"/>
    </row>
    <row r="35" spans="1:6">
      <c r="A35" s="168" t="s">
        <v>76</v>
      </c>
      <c r="B35" s="33">
        <f>IF((B19*($B$26-($B$27-0.05*$B$27)-$B$60))&lt;0,0,B19*($B$26-($B$27-0.05*$B$27)-$B$60))</f>
        <v>125.96433301042417</v>
      </c>
      <c r="C35" s="33">
        <f>B35/2</f>
        <v>62.982166505212085</v>
      </c>
      <c r="D35" s="230"/>
    </row>
    <row r="36" spans="1:6">
      <c r="A36" s="168" t="s">
        <v>77</v>
      </c>
      <c r="B36" s="33">
        <f>IF((B18*($B$26-($B$27-0.05*$B$27)-$B$60))&lt;0,0,B18*($B$26-($B$27-0.05*$B$27)-$B$60))</f>
        <v>4346.7259875464279</v>
      </c>
      <c r="C36" s="34" t="s">
        <v>104</v>
      </c>
      <c r="D36" s="171"/>
    </row>
    <row r="37" spans="1:6">
      <c r="A37" s="168" t="s">
        <v>78</v>
      </c>
      <c r="B37" s="33">
        <f>B60</f>
        <v>29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92366.863218480037</v>
      </c>
      <c r="C5" s="17">
        <f>IF(ISERROR('Eigen informatie GS &amp; warmtenet'!B58),0,'Eigen informatie GS &amp; warmtenet'!B58)</f>
        <v>0</v>
      </c>
      <c r="D5" s="30">
        <f>SUM(D6:D12)</f>
        <v>75048.892119440425</v>
      </c>
      <c r="E5" s="17">
        <f>SUM(E6:E12)</f>
        <v>1408.9257836529264</v>
      </c>
      <c r="F5" s="17">
        <f>SUM(F6:F12)</f>
        <v>15690.003549653686</v>
      </c>
      <c r="G5" s="18"/>
      <c r="H5" s="17"/>
      <c r="I5" s="17"/>
      <c r="J5" s="17">
        <f>SUM(J6:J12)</f>
        <v>0</v>
      </c>
      <c r="K5" s="17"/>
      <c r="L5" s="17"/>
      <c r="M5" s="17"/>
      <c r="N5" s="17">
        <f>SUM(N6:N12)</f>
        <v>1395.9262875604145</v>
      </c>
      <c r="O5" s="17">
        <f>B38*B39*B40</f>
        <v>3.1266666666666669</v>
      </c>
      <c r="P5" s="17">
        <f>B46*B47*B48/1000-B46*B47*B48/1000/B49</f>
        <v>0</v>
      </c>
      <c r="R5" s="32"/>
    </row>
    <row r="6" spans="1:18">
      <c r="A6" s="32" t="s">
        <v>53</v>
      </c>
      <c r="B6" s="37">
        <f>B26</f>
        <v>16242.475089277399</v>
      </c>
      <c r="C6" s="33"/>
      <c r="D6" s="37">
        <f>IF(ISERROR(TER_kantoor_gas_kWh/1000),0,TER_kantoor_gas_kWh/1000)*0.902</f>
        <v>20020.498117599993</v>
      </c>
      <c r="E6" s="33">
        <f>$C$26*'E Balans VL '!I12/100/3.6*1000000</f>
        <v>561.85987612182169</v>
      </c>
      <c r="F6" s="33">
        <f>$C$26*('E Balans VL '!L12+'E Balans VL '!N12)/100/3.6*1000000</f>
        <v>2479.5862924435546</v>
      </c>
      <c r="G6" s="34"/>
      <c r="H6" s="33"/>
      <c r="I6" s="33"/>
      <c r="J6" s="33">
        <f>$C$26*('E Balans VL '!D12+'E Balans VL '!E12)/100/3.6*1000000</f>
        <v>0</v>
      </c>
      <c r="K6" s="33"/>
      <c r="L6" s="33"/>
      <c r="M6" s="33"/>
      <c r="N6" s="33">
        <f>$C$26*'E Balans VL '!Y12/100/3.6*1000000</f>
        <v>250.38547463695565</v>
      </c>
      <c r="O6" s="33"/>
      <c r="P6" s="33"/>
      <c r="R6" s="32"/>
    </row>
    <row r="7" spans="1:18">
      <c r="A7" s="32" t="s">
        <v>52</v>
      </c>
      <c r="B7" s="37">
        <f t="shared" ref="B7:B12" si="0">B27</f>
        <v>2226.40078147543</v>
      </c>
      <c r="C7" s="33"/>
      <c r="D7" s="37">
        <f>IF(ISERROR(TER_horeca_gas_kWh/1000),0,TER_horeca_gas_kWh/1000)*0.902</f>
        <v>2501.994110097567</v>
      </c>
      <c r="E7" s="33">
        <f>$C$27*'E Balans VL '!I9/100/3.6*1000000</f>
        <v>122.01383750960444</v>
      </c>
      <c r="F7" s="33">
        <f>$C$27*('E Balans VL '!L9+'E Balans VL '!N9)/100/3.6*1000000</f>
        <v>376.78148499653042</v>
      </c>
      <c r="G7" s="34"/>
      <c r="H7" s="33"/>
      <c r="I7" s="33"/>
      <c r="J7" s="33">
        <f>$C$27*('E Balans VL '!D9+'E Balans VL '!E9)/100/3.6*1000000</f>
        <v>0</v>
      </c>
      <c r="K7" s="33"/>
      <c r="L7" s="33"/>
      <c r="M7" s="33"/>
      <c r="N7" s="33">
        <f>$C$27*'E Balans VL '!Y9/100/3.6*1000000</f>
        <v>0</v>
      </c>
      <c r="O7" s="33"/>
      <c r="P7" s="33"/>
      <c r="R7" s="32"/>
    </row>
    <row r="8" spans="1:18">
      <c r="A8" s="6" t="s">
        <v>51</v>
      </c>
      <c r="B8" s="37">
        <f t="shared" si="0"/>
        <v>48605.788081136896</v>
      </c>
      <c r="C8" s="33"/>
      <c r="D8" s="37">
        <f>IF(ISERROR(TER_handel_gas_kWh/1000),0,TER_handel_gas_kWh/1000)*0.902</f>
        <v>23929.887324522435</v>
      </c>
      <c r="E8" s="33">
        <f>$C$28*'E Balans VL '!I13/100/3.6*1000000</f>
        <v>245.90498131377331</v>
      </c>
      <c r="F8" s="33">
        <f>$C$28*('E Balans VL '!L13+'E Balans VL '!N13)/100/3.6*1000000</f>
        <v>7385.2693422975153</v>
      </c>
      <c r="G8" s="34"/>
      <c r="H8" s="33"/>
      <c r="I8" s="33"/>
      <c r="J8" s="33">
        <f>$C$28*('E Balans VL '!D13+'E Balans VL '!E13)/100/3.6*1000000</f>
        <v>0</v>
      </c>
      <c r="K8" s="33"/>
      <c r="L8" s="33"/>
      <c r="M8" s="33"/>
      <c r="N8" s="33">
        <f>$C$28*'E Balans VL '!Y13/100/3.6*1000000</f>
        <v>22.729367648798856</v>
      </c>
      <c r="O8" s="33"/>
      <c r="P8" s="33"/>
      <c r="R8" s="32"/>
    </row>
    <row r="9" spans="1:18">
      <c r="A9" s="32" t="s">
        <v>50</v>
      </c>
      <c r="B9" s="37">
        <f t="shared" si="0"/>
        <v>1026.1235959232599</v>
      </c>
      <c r="C9" s="33"/>
      <c r="D9" s="37">
        <f>IF(ISERROR(TER_gezond_gas_kWh/1000),0,TER_gezond_gas_kWh/1000)*0.902</f>
        <v>629.43010711768966</v>
      </c>
      <c r="E9" s="33">
        <f>$C$29*'E Balans VL '!I10/100/3.6*1000000</f>
        <v>0.37314539151479631</v>
      </c>
      <c r="F9" s="33">
        <f>$C$29*('E Balans VL '!L10+'E Balans VL '!N10)/100/3.6*1000000</f>
        <v>221.71758100683815</v>
      </c>
      <c r="G9" s="34"/>
      <c r="H9" s="33"/>
      <c r="I9" s="33"/>
      <c r="J9" s="33">
        <f>$C$29*('E Balans VL '!D10+'E Balans VL '!E10)/100/3.6*1000000</f>
        <v>0</v>
      </c>
      <c r="K9" s="33"/>
      <c r="L9" s="33"/>
      <c r="M9" s="33"/>
      <c r="N9" s="33">
        <f>$C$29*'E Balans VL '!Y10/100/3.6*1000000</f>
        <v>7.7803502385706045</v>
      </c>
      <c r="O9" s="33"/>
      <c r="P9" s="33"/>
      <c r="R9" s="32"/>
    </row>
    <row r="10" spans="1:18">
      <c r="A10" s="32" t="s">
        <v>49</v>
      </c>
      <c r="B10" s="37">
        <f t="shared" si="0"/>
        <v>2317.7843027018403</v>
      </c>
      <c r="C10" s="33"/>
      <c r="D10" s="37">
        <f>IF(ISERROR(TER_ander_gas_kWh/1000),0,TER_ander_gas_kWh/1000)*0.902</f>
        <v>3997.2918040661534</v>
      </c>
      <c r="E10" s="33">
        <f>$C$30*'E Balans VL '!I14/100/3.6*1000000</f>
        <v>14.109856646037986</v>
      </c>
      <c r="F10" s="33">
        <f>$C$30*('E Balans VL '!L14+'E Balans VL '!N14)/100/3.6*1000000</f>
        <v>613.63206616906234</v>
      </c>
      <c r="G10" s="34"/>
      <c r="H10" s="33"/>
      <c r="I10" s="33"/>
      <c r="J10" s="33">
        <f>$C$30*('E Balans VL '!D14+'E Balans VL '!E14)/100/3.6*1000000</f>
        <v>0</v>
      </c>
      <c r="K10" s="33"/>
      <c r="L10" s="33"/>
      <c r="M10" s="33"/>
      <c r="N10" s="33">
        <f>$C$30*'E Balans VL '!Y14/100/3.6*1000000</f>
        <v>482.73436144033366</v>
      </c>
      <c r="O10" s="33"/>
      <c r="P10" s="33"/>
      <c r="R10" s="32"/>
    </row>
    <row r="11" spans="1:18">
      <c r="A11" s="32" t="s">
        <v>54</v>
      </c>
      <c r="B11" s="37">
        <f t="shared" si="0"/>
        <v>277.30465530750399</v>
      </c>
      <c r="C11" s="33"/>
      <c r="D11" s="37">
        <f>IF(ISERROR(TER_onderwijs_gas_kWh/1000),0,TER_onderwijs_gas_kWh/1000)*0.902</f>
        <v>2001.8931758328229</v>
      </c>
      <c r="E11" s="33">
        <f>$C$31*'E Balans VL '!I11/100/3.6*1000000</f>
        <v>0.34415908626532893</v>
      </c>
      <c r="F11" s="33">
        <f>$C$31*('E Balans VL '!L11+'E Balans VL '!N11)/100/3.6*1000000</f>
        <v>326.81805502410435</v>
      </c>
      <c r="G11" s="34"/>
      <c r="H11" s="33"/>
      <c r="I11" s="33"/>
      <c r="J11" s="33">
        <f>$C$31*('E Balans VL '!D11+'E Balans VL '!E11)/100/3.6*1000000</f>
        <v>0</v>
      </c>
      <c r="K11" s="33"/>
      <c r="L11" s="33"/>
      <c r="M11" s="33"/>
      <c r="N11" s="33">
        <f>$C$31*'E Balans VL '!Y11/100/3.6*1000000</f>
        <v>1.3310364461244077</v>
      </c>
      <c r="O11" s="33"/>
      <c r="P11" s="33"/>
      <c r="R11" s="32"/>
    </row>
    <row r="12" spans="1:18">
      <c r="A12" s="32" t="s">
        <v>249</v>
      </c>
      <c r="B12" s="37">
        <f t="shared" si="0"/>
        <v>21670.986712657701</v>
      </c>
      <c r="C12" s="33"/>
      <c r="D12" s="37">
        <f>IF(ISERROR(TER_rest_gas_kWh/1000),0,TER_rest_gas_kWh/1000)*0.902</f>
        <v>21967.89748020377</v>
      </c>
      <c r="E12" s="33">
        <f>$C$32*'E Balans VL '!I8/100/3.6*1000000</f>
        <v>464.31992758390885</v>
      </c>
      <c r="F12" s="33">
        <f>$C$32*('E Balans VL '!L8+'E Balans VL '!N8)/100/3.6*1000000</f>
        <v>4286.1987277160806</v>
      </c>
      <c r="G12" s="34"/>
      <c r="H12" s="33"/>
      <c r="I12" s="33"/>
      <c r="J12" s="33">
        <f>$C$32*('E Balans VL '!D8+'E Balans VL '!E8)/100/3.6*1000000</f>
        <v>0</v>
      </c>
      <c r="K12" s="33"/>
      <c r="L12" s="33"/>
      <c r="M12" s="33"/>
      <c r="N12" s="33">
        <f>$C$32*'E Balans VL '!Y8/100/3.6*1000000</f>
        <v>630.9656971496313</v>
      </c>
      <c r="O12" s="33"/>
      <c r="P12" s="33"/>
      <c r="R12" s="32"/>
    </row>
    <row r="13" spans="1:18">
      <c r="A13" s="16" t="s">
        <v>483</v>
      </c>
      <c r="B13" s="243">
        <f ca="1">'lokale energieproductie'!N39+'lokale energieproductie'!N31</f>
        <v>0</v>
      </c>
      <c r="C13" s="243">
        <f ca="1">'lokale energieproductie'!O39+'lokale energieproductie'!O31</f>
        <v>0</v>
      </c>
      <c r="D13" s="302">
        <f ca="1">('lokale energieproductie'!P31+'lokale energieproductie'!P39)*(-1)</f>
        <v>0</v>
      </c>
      <c r="E13" s="244"/>
      <c r="F13" s="302">
        <f ca="1">('lokale energieproductie'!S31+'lokale energieproductie'!S39)*(-1)</f>
        <v>0</v>
      </c>
      <c r="G13" s="245"/>
      <c r="H13" s="244"/>
      <c r="I13" s="244"/>
      <c r="J13" s="244"/>
      <c r="K13" s="244"/>
      <c r="L13" s="302">
        <f ca="1">('lokale energieproductie'!U31+'lokale energieproductie'!T31+'lokale energieproductie'!U39+'lokale energieproductie'!T39)*(-1)</f>
        <v>0</v>
      </c>
      <c r="M13" s="244"/>
      <c r="N13" s="302">
        <f ca="1">('lokale energieproductie'!Q31+'lokale energieproductie'!R31+'lokale energieproductie'!V31+'lokale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92366.863218480037</v>
      </c>
      <c r="C16" s="21">
        <f ca="1">C5+C13+C14</f>
        <v>0</v>
      </c>
      <c r="D16" s="21">
        <f t="shared" ref="D16:N16" ca="1" si="1">MAX((D5+D13+D14),0)</f>
        <v>75048.892119440425</v>
      </c>
      <c r="E16" s="21">
        <f t="shared" si="1"/>
        <v>1408.9257836529264</v>
      </c>
      <c r="F16" s="21">
        <f t="shared" ca="1" si="1"/>
        <v>15690.003549653686</v>
      </c>
      <c r="G16" s="21">
        <f t="shared" si="1"/>
        <v>0</v>
      </c>
      <c r="H16" s="21">
        <f t="shared" si="1"/>
        <v>0</v>
      </c>
      <c r="I16" s="21">
        <f t="shared" si="1"/>
        <v>0</v>
      </c>
      <c r="J16" s="21">
        <f t="shared" si="1"/>
        <v>0</v>
      </c>
      <c r="K16" s="21">
        <f t="shared" si="1"/>
        <v>0</v>
      </c>
      <c r="L16" s="21">
        <f t="shared" ca="1" si="1"/>
        <v>0</v>
      </c>
      <c r="M16" s="21">
        <f t="shared" si="1"/>
        <v>0</v>
      </c>
      <c r="N16" s="21">
        <f t="shared" ca="1" si="1"/>
        <v>1395.9262875604145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0.1764467932280335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16297.8368154332</v>
      </c>
      <c r="C20" s="23">
        <f t="shared" ref="C20:P20" ca="1" si="2">C16*C18</f>
        <v>0</v>
      </c>
      <c r="D20" s="23">
        <f t="shared" ca="1" si="2"/>
        <v>15159.876208126967</v>
      </c>
      <c r="E20" s="23">
        <f t="shared" si="2"/>
        <v>319.82615288921431</v>
      </c>
      <c r="F20" s="23">
        <f t="shared" ca="1" si="2"/>
        <v>4189.2309477575345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16242.475089277399</v>
      </c>
      <c r="C26" s="39">
        <f>IF(ISERROR(B26*3.6/1000000/'E Balans VL '!Z12*100),0,B26*3.6/1000000/'E Balans VL '!Z12*100)</f>
        <v>0.33777373149246781</v>
      </c>
      <c r="D26" s="233" t="s">
        <v>676</v>
      </c>
      <c r="F26" s="6"/>
    </row>
    <row r="27" spans="1:18">
      <c r="A27" s="228" t="s">
        <v>52</v>
      </c>
      <c r="B27" s="33">
        <f>IF(ISERROR(TER_horeca_ele_kWh/1000),0,TER_horeca_ele_kWh/1000)</f>
        <v>2226.40078147543</v>
      </c>
      <c r="C27" s="39">
        <f>IF(ISERROR(B27*3.6/1000000/'E Balans VL '!Z9*100),0,B27*3.6/1000000/'E Balans VL '!Z9*100)</f>
        <v>0.18312304424144152</v>
      </c>
      <c r="D27" s="233" t="s">
        <v>676</v>
      </c>
      <c r="F27" s="6"/>
    </row>
    <row r="28" spans="1:18">
      <c r="A28" s="168" t="s">
        <v>51</v>
      </c>
      <c r="B28" s="33">
        <f>IF(ISERROR(TER_handel_ele_kWh/1000),0,TER_handel_ele_kWh/1000)</f>
        <v>48605.788081136896</v>
      </c>
      <c r="C28" s="39">
        <f>IF(ISERROR(B28*3.6/1000000/'E Balans VL '!Z13*100),0,B28*3.6/1000000/'E Balans VL '!Z13*100)</f>
        <v>1.3453987119090844</v>
      </c>
      <c r="D28" s="233" t="s">
        <v>676</v>
      </c>
      <c r="F28" s="6"/>
    </row>
    <row r="29" spans="1:18">
      <c r="A29" s="228" t="s">
        <v>50</v>
      </c>
      <c r="B29" s="33">
        <f>IF(ISERROR(TER_gezond_ele_kWh/1000),0,TER_gezond_ele_kWh/1000)</f>
        <v>1026.1235959232599</v>
      </c>
      <c r="C29" s="39">
        <f>IF(ISERROR(B29*3.6/1000000/'E Balans VL '!Z10*100),0,B29*3.6/1000000/'E Balans VL '!Z10*100)</f>
        <v>0.11702194812640776</v>
      </c>
      <c r="D29" s="233" t="s">
        <v>676</v>
      </c>
      <c r="F29" s="6"/>
    </row>
    <row r="30" spans="1:18">
      <c r="A30" s="228" t="s">
        <v>49</v>
      </c>
      <c r="B30" s="33">
        <f>IF(ISERROR(TER_ander_ele_kWh/1000),0,TER_ander_ele_kWh/1000)</f>
        <v>2317.7843027018403</v>
      </c>
      <c r="C30" s="39">
        <f>IF(ISERROR(B30*3.6/1000000/'E Balans VL '!Z14*100),0,B30*3.6/1000000/'E Balans VL '!Z14*100)</f>
        <v>0.17940279207843055</v>
      </c>
      <c r="D30" s="233" t="s">
        <v>676</v>
      </c>
      <c r="F30" s="6"/>
    </row>
    <row r="31" spans="1:18">
      <c r="A31" s="228" t="s">
        <v>54</v>
      </c>
      <c r="B31" s="33">
        <f>IF(ISERROR(TER_onderwijs_ele_kWh/1000),0,TER_onderwijs_ele_kWh/1000)</f>
        <v>277.30465530750399</v>
      </c>
      <c r="C31" s="39">
        <f>IF(ISERROR(B31*3.6/1000000/'E Balans VL '!Z11*100),0,B31*3.6/1000000/'E Balans VL '!Z11*100)</f>
        <v>8.6402885175229316E-2</v>
      </c>
      <c r="D31" s="233" t="s">
        <v>676</v>
      </c>
    </row>
    <row r="32" spans="1:18">
      <c r="A32" s="228" t="s">
        <v>249</v>
      </c>
      <c r="B32" s="33">
        <f>IF(ISERROR(TER_rest_ele_kWh/1000),0,TER_rest_ele_kWh/1000)</f>
        <v>21670.986712657701</v>
      </c>
      <c r="C32" s="39">
        <f>IF(ISERROR(B32*3.6/1000000/'E Balans VL '!Z8*100),0,B32*3.6/1000000/'E Balans VL '!Z8*100)</f>
        <v>0.17870068361753233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11387.564425253779</v>
      </c>
      <c r="C5" s="17">
        <f>IF(ISERROR('Eigen informatie GS &amp; warmtenet'!B59),0,'Eigen informatie GS &amp; warmtenet'!B59)</f>
        <v>0</v>
      </c>
      <c r="D5" s="30">
        <f>SUM(D6:D15)</f>
        <v>11590.914232317147</v>
      </c>
      <c r="E5" s="17">
        <f>SUM(E6:E15)</f>
        <v>115.74655285817039</v>
      </c>
      <c r="F5" s="17">
        <f>SUM(F6:F15)</f>
        <v>2981.511312127458</v>
      </c>
      <c r="G5" s="18"/>
      <c r="H5" s="17"/>
      <c r="I5" s="17"/>
      <c r="J5" s="17">
        <f>SUM(J6:J15)</f>
        <v>55.908233734028272</v>
      </c>
      <c r="K5" s="17"/>
      <c r="L5" s="17"/>
      <c r="M5" s="17"/>
      <c r="N5" s="17">
        <f>SUM(N6:N15)</f>
        <v>273.56794479137216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92.41794455244019</v>
      </c>
      <c r="C8" s="33"/>
      <c r="D8" s="37">
        <f>IF( ISERROR(IND_metaal_Gas_kWH/1000),0,IND_metaal_Gas_kWH/1000)*0.902</f>
        <v>0</v>
      </c>
      <c r="E8" s="33">
        <f>C30*'E Balans VL '!I18/100/3.6*1000000</f>
        <v>0.64940050527547699</v>
      </c>
      <c r="F8" s="33">
        <f>C30*'E Balans VL '!L18/100/3.6*1000000+C30*'E Balans VL '!N18/100/3.6*1000000</f>
        <v>10.146949613662166</v>
      </c>
      <c r="G8" s="34"/>
      <c r="H8" s="33"/>
      <c r="I8" s="33"/>
      <c r="J8" s="40">
        <f>C30*'E Balans VL '!D18/100/3.6*1000000+C30*'E Balans VL '!E18/100/3.6*1000000</f>
        <v>1.9067813929941519</v>
      </c>
      <c r="K8" s="33"/>
      <c r="L8" s="33"/>
      <c r="M8" s="33"/>
      <c r="N8" s="33">
        <f>C30*'E Balans VL '!Y18/100/3.6*1000000</f>
        <v>0.34638911211577317</v>
      </c>
      <c r="O8" s="33"/>
      <c r="P8" s="33"/>
      <c r="R8" s="32"/>
    </row>
    <row r="9" spans="1:18">
      <c r="A9" s="6" t="s">
        <v>32</v>
      </c>
      <c r="B9" s="37">
        <f t="shared" si="0"/>
        <v>1533.6913606113501</v>
      </c>
      <c r="C9" s="33"/>
      <c r="D9" s="37">
        <f>IF( ISERROR(IND_andere_gas_kWh/1000),0,IND_andere_gas_kWh/1000)*0.902</f>
        <v>2067.856858522272</v>
      </c>
      <c r="E9" s="33">
        <f>C31*'E Balans VL '!I19/100/3.6*1000000</f>
        <v>25.760225233372143</v>
      </c>
      <c r="F9" s="33">
        <f>C31*'E Balans VL '!L19/100/3.6*1000000+C31*'E Balans VL '!N19/100/3.6*1000000</f>
        <v>1198.9525531884556</v>
      </c>
      <c r="G9" s="34"/>
      <c r="H9" s="33"/>
      <c r="I9" s="33"/>
      <c r="J9" s="40">
        <f>C31*'E Balans VL '!D19/100/3.6*1000000+C31*'E Balans VL '!E19/100/3.6*1000000</f>
        <v>0.13832542224316483</v>
      </c>
      <c r="K9" s="33"/>
      <c r="L9" s="33"/>
      <c r="M9" s="33"/>
      <c r="N9" s="33">
        <f>C31*'E Balans VL '!Y19/100/3.6*1000000</f>
        <v>113.67113573294482</v>
      </c>
      <c r="O9" s="33"/>
      <c r="P9" s="33"/>
      <c r="R9" s="32"/>
    </row>
    <row r="10" spans="1:18">
      <c r="A10" s="6" t="s">
        <v>40</v>
      </c>
      <c r="B10" s="37">
        <f t="shared" si="0"/>
        <v>4517.1962430865597</v>
      </c>
      <c r="C10" s="33"/>
      <c r="D10" s="37">
        <f>IF( ISERROR(IND_voed_gas_kWh/1000),0,IND_voed_gas_kWh/1000)*0.902</f>
        <v>6001.4902636253446</v>
      </c>
      <c r="E10" s="33">
        <f>C32*'E Balans VL '!I20/100/3.6*1000000</f>
        <v>41.21302140111321</v>
      </c>
      <c r="F10" s="33">
        <f>C32*'E Balans VL '!L20/100/3.6*1000000+C32*'E Balans VL '!N20/100/3.6*1000000</f>
        <v>728.76504363978893</v>
      </c>
      <c r="G10" s="34"/>
      <c r="H10" s="33"/>
      <c r="I10" s="33"/>
      <c r="J10" s="40">
        <f>C32*'E Balans VL '!D20/100/3.6*1000000+C32*'E Balans VL '!E20/100/3.6*1000000</f>
        <v>18.604775746244748</v>
      </c>
      <c r="K10" s="33"/>
      <c r="L10" s="33"/>
      <c r="M10" s="33"/>
      <c r="N10" s="33">
        <f>C32*'E Balans VL '!Y20/100/3.6*1000000</f>
        <v>66.083019127149925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50.430030572089301</v>
      </c>
      <c r="C12" s="33"/>
      <c r="D12" s="37">
        <f>IF( ISERROR(IND_min_gas_kWh/1000),0,IND_min_gas_kWh/1000)*0.902</f>
        <v>57.99841476124481</v>
      </c>
      <c r="E12" s="33">
        <f>C34*'E Balans VL '!I22/100/3.6*1000000</f>
        <v>1.2508287086537804</v>
      </c>
      <c r="F12" s="33">
        <f>C34*'E Balans VL '!L22/100/3.6*1000000+C34*'E Balans VL '!N22/100/3.6*1000000</f>
        <v>5.358673615638625</v>
      </c>
      <c r="G12" s="34"/>
      <c r="H12" s="33"/>
      <c r="I12" s="33"/>
      <c r="J12" s="40">
        <f>C34*'E Balans VL '!D22/100/3.6*1000000+C34*'E Balans VL '!E22/100/3.6*1000000</f>
        <v>0.28647216408525999</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5193.82884643134</v>
      </c>
      <c r="C15" s="33"/>
      <c r="D15" s="37">
        <f>IF( ISERROR(IND_rest_gas_kWh/1000),0,IND_rest_gas_kWh/1000)*0.902</f>
        <v>3463.5686954082857</v>
      </c>
      <c r="E15" s="33">
        <f>C37*'E Balans VL '!I15/100/3.6*1000000</f>
        <v>46.873077009755768</v>
      </c>
      <c r="F15" s="33">
        <f>C37*'E Balans VL '!L15/100/3.6*1000000+C37*'E Balans VL '!N15/100/3.6*1000000</f>
        <v>1038.2880920699129</v>
      </c>
      <c r="G15" s="34"/>
      <c r="H15" s="33"/>
      <c r="I15" s="33"/>
      <c r="J15" s="40">
        <f>C37*'E Balans VL '!D15/100/3.6*1000000+C37*'E Balans VL '!E15/100/3.6*1000000</f>
        <v>34.971879008460945</v>
      </c>
      <c r="K15" s="33"/>
      <c r="L15" s="33"/>
      <c r="M15" s="33"/>
      <c r="N15" s="33">
        <f>C37*'E Balans VL '!Y15/100/3.6*1000000</f>
        <v>93.467400819161668</v>
      </c>
      <c r="O15" s="33"/>
      <c r="P15" s="33"/>
      <c r="R15" s="32"/>
    </row>
    <row r="16" spans="1:18">
      <c r="A16" s="16" t="s">
        <v>483</v>
      </c>
      <c r="B16" s="243">
        <f>'lokale energieproductie'!N38+'lokale energieproductie'!N30</f>
        <v>0</v>
      </c>
      <c r="C16" s="243">
        <f>'lokale energieproductie'!O38+'lokale energieproductie'!O30</f>
        <v>0</v>
      </c>
      <c r="D16" s="302">
        <f>('lokale energieproductie'!P30+'lokale energieproductie'!P38)*(-1)</f>
        <v>0</v>
      </c>
      <c r="E16" s="244"/>
      <c r="F16" s="302">
        <f>('lokale energieproductie'!S30+'lokale energieproductie'!S38)*(-1)</f>
        <v>0</v>
      </c>
      <c r="G16" s="245"/>
      <c r="H16" s="244"/>
      <c r="I16" s="244"/>
      <c r="J16" s="244"/>
      <c r="K16" s="244"/>
      <c r="L16" s="302">
        <f>('lokale energieproductie'!T30+'lokale energieproductie'!U30+'lokale energieproductie'!T38+'lokale energieproductie'!U38)*(-1)</f>
        <v>0</v>
      </c>
      <c r="M16" s="244"/>
      <c r="N16" s="302">
        <f>('lokale energieproductie'!Q30+'lokale energieproductie'!R30+'lokale energieproductie'!V30+'lokale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11387.564425253779</v>
      </c>
      <c r="C18" s="21">
        <f>C5+C16</f>
        <v>0</v>
      </c>
      <c r="D18" s="21">
        <f>MAX((D5+D16),0)</f>
        <v>11590.914232317147</v>
      </c>
      <c r="E18" s="21">
        <f>MAX((E5+E16),0)</f>
        <v>115.74655285817039</v>
      </c>
      <c r="F18" s="21">
        <f>MAX((F5+F16),0)</f>
        <v>2981.511312127458</v>
      </c>
      <c r="G18" s="21"/>
      <c r="H18" s="21"/>
      <c r="I18" s="21"/>
      <c r="J18" s="21">
        <f>MAX((J5+J16),0)</f>
        <v>55.908233734028272</v>
      </c>
      <c r="K18" s="21"/>
      <c r="L18" s="21">
        <f>MAX((L5+L16),0)</f>
        <v>0</v>
      </c>
      <c r="M18" s="21"/>
      <c r="N18" s="21">
        <f>MAX((N5+N16),0)</f>
        <v>273.56794479137216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0.1764467932280335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2009.2992255136637</v>
      </c>
      <c r="C22" s="23">
        <f ca="1">C18*C20</f>
        <v>0</v>
      </c>
      <c r="D22" s="23">
        <f>D18*D20</f>
        <v>2341.3646749280638</v>
      </c>
      <c r="E22" s="23">
        <f>E18*E20</f>
        <v>26.274467498804679</v>
      </c>
      <c r="F22" s="23">
        <f>F18*F20</f>
        <v>796.06352033803137</v>
      </c>
      <c r="G22" s="23"/>
      <c r="H22" s="23"/>
      <c r="I22" s="23"/>
      <c r="J22" s="23">
        <f>J18*J20</f>
        <v>19.791514741846008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92.41794455244019</v>
      </c>
      <c r="C30" s="39">
        <f>IF(ISERROR(B30*3.6/1000000/'E Balans VL '!Z18*100),0,B30*3.6/1000000/'E Balans VL '!Z18*100)</f>
        <v>6.1523190039820498E-3</v>
      </c>
      <c r="D30" s="233" t="s">
        <v>676</v>
      </c>
    </row>
    <row r="31" spans="1:18">
      <c r="A31" s="6" t="s">
        <v>32</v>
      </c>
      <c r="B31" s="37">
        <f>IF( ISERROR(IND_ander_ele_kWh/1000),0,IND_ander_ele_kWh/1000)</f>
        <v>1533.6913606113501</v>
      </c>
      <c r="C31" s="39">
        <f>IF(ISERROR(B31*3.6/1000000/'E Balans VL '!Z19*100),0,B31*3.6/1000000/'E Balans VL '!Z19*100)</f>
        <v>6.7982460078552007E-2</v>
      </c>
      <c r="D31" s="233" t="s">
        <v>676</v>
      </c>
    </row>
    <row r="32" spans="1:18">
      <c r="A32" s="168" t="s">
        <v>40</v>
      </c>
      <c r="B32" s="37">
        <f>IF( ISERROR(IND_voed_ele_kWh/1000),0,IND_voed_ele_kWh/1000)</f>
        <v>4517.1962430865597</v>
      </c>
      <c r="C32" s="39">
        <f>IF(ISERROR(B32*3.6/1000000/'E Balans VL '!Z20*100),0,B32*3.6/1000000/'E Balans VL '!Z20*100)</f>
        <v>0.15088731267799901</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50.430030572089301</v>
      </c>
      <c r="C34" s="39">
        <f>IF(ISERROR(B34*3.6/1000000/'E Balans VL '!Z22*100),0,B34*3.6/1000000/'E Balans VL '!Z22*100)</f>
        <v>9.8080870038735248E-3</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5193.82884643134</v>
      </c>
      <c r="C37" s="39">
        <f>IF(ISERROR(B37*3.6/1000000/'E Balans VL '!Z15*100),0,B37*3.6/1000000/'E Balans VL '!Z15*100)</f>
        <v>3.8633625146470493E-2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1025.2091447885325</v>
      </c>
      <c r="C5" s="17">
        <f>'Eigen informatie GS &amp; warmtenet'!B60</f>
        <v>0</v>
      </c>
      <c r="D5" s="30">
        <f>IF(ISERROR(SUM(LB_lb_gas_kWh,LB_rest_gas_kWh)/1000),0,SUM(LB_lb_gas_kWh,LB_rest_gas_kWh)/1000)*0.902</f>
        <v>1017.3933955794972</v>
      </c>
      <c r="E5" s="17">
        <f>B17*'E Balans VL '!I25/3.6*1000000/100</f>
        <v>9.2384352702928485</v>
      </c>
      <c r="F5" s="17">
        <f>B17*('E Balans VL '!L25/3.6*1000000+'E Balans VL '!N25/3.6*1000000)/100</f>
        <v>3841.4899333661519</v>
      </c>
      <c r="G5" s="18"/>
      <c r="H5" s="17"/>
      <c r="I5" s="17"/>
      <c r="J5" s="17">
        <f>('E Balans VL '!D25+'E Balans VL '!E25)/3.6*1000000*landbouw!B17/100</f>
        <v>103.7469253059754</v>
      </c>
      <c r="K5" s="17"/>
      <c r="L5" s="17">
        <f>L6*(-1)</f>
        <v>69525</v>
      </c>
      <c r="M5" s="17"/>
      <c r="N5" s="17">
        <f>N6*(-1)</f>
        <v>0</v>
      </c>
      <c r="O5" s="17"/>
      <c r="P5" s="17"/>
      <c r="R5" s="32"/>
    </row>
    <row r="6" spans="1:18">
      <c r="A6" s="16" t="s">
        <v>483</v>
      </c>
      <c r="B6" s="17" t="s">
        <v>204</v>
      </c>
      <c r="C6" s="17">
        <f>'lokale energieproductie'!O40+'lokale energieproductie'!O32</f>
        <v>0</v>
      </c>
      <c r="D6" s="302">
        <f>('lokale energieproductie'!P32+'lokale energieproductie'!P40)*(-1)</f>
        <v>0</v>
      </c>
      <c r="E6" s="244"/>
      <c r="F6" s="302">
        <f>('lokale energieproductie'!S32+'lokale energieproductie'!S40)*(-1)</f>
        <v>0</v>
      </c>
      <c r="G6" s="245"/>
      <c r="H6" s="244"/>
      <c r="I6" s="244"/>
      <c r="J6" s="244"/>
      <c r="K6" s="244"/>
      <c r="L6" s="302">
        <f>('lokale energieproductie'!T32+'lokale energieproductie'!U32+'lokale energieproductie'!T40+'lokale energieproductie'!U40)*(-1)</f>
        <v>-69525</v>
      </c>
      <c r="M6" s="244"/>
      <c r="N6" s="302">
        <f>('lokale energieproductie'!V32+'lokale energieproductie'!R32+'lokale energieproductie'!Q32+'lokale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1025.2091447885325</v>
      </c>
      <c r="C8" s="21">
        <f>C5+C6</f>
        <v>0</v>
      </c>
      <c r="D8" s="21">
        <f>MAX((D5+D6),0)</f>
        <v>1017.3933955794972</v>
      </c>
      <c r="E8" s="21">
        <f>MAX((E5+E6),0)</f>
        <v>9.2384352702928485</v>
      </c>
      <c r="F8" s="21">
        <f>MAX((F5+F6),0)</f>
        <v>3841.4899333661519</v>
      </c>
      <c r="G8" s="21"/>
      <c r="H8" s="21"/>
      <c r="I8" s="21"/>
      <c r="J8" s="21">
        <f>MAX((J5+J6),0)</f>
        <v>103.7469253059754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0.1764467932280335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180.89486598599126</v>
      </c>
      <c r="C12" s="23">
        <f ca="1">C8*C10</f>
        <v>0</v>
      </c>
      <c r="D12" s="23">
        <f>D8*D10</f>
        <v>205.51346590705845</v>
      </c>
      <c r="E12" s="23">
        <f>E8*E10</f>
        <v>2.0971248063564767</v>
      </c>
      <c r="F12" s="23">
        <f>F8*F10</f>
        <v>1025.6778122087626</v>
      </c>
      <c r="G12" s="23"/>
      <c r="H12" s="23"/>
      <c r="I12" s="23"/>
      <c r="J12" s="23">
        <f>J8*J10</f>
        <v>36.726411558315291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0.15779947757664645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139.78142808569129</v>
      </c>
      <c r="C26" s="243">
        <f>B26*'GWP N2O_CH4'!B5</f>
        <v>2935.409989799517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36.797767144310328</v>
      </c>
      <c r="C27" s="243">
        <f>B27*'GWP N2O_CH4'!B5</f>
        <v>772.75311003051684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2.9863354022532564</v>
      </c>
      <c r="C28" s="243">
        <f>B28*'GWP N2O_CH4'!B4</f>
        <v>925.76397469850951</v>
      </c>
      <c r="D28" s="50"/>
    </row>
    <row r="29" spans="1:4">
      <c r="A29" s="41" t="s">
        <v>266</v>
      </c>
      <c r="B29" s="243">
        <f>B34*'ha_N2O bodem landbouw'!B4</f>
        <v>13.647219834407359</v>
      </c>
      <c r="C29" s="243">
        <f>B29*'GWP N2O_CH4'!B4</f>
        <v>4230.6381486662813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3.5432415232816098E-3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1.3905098494893602E-5</v>
      </c>
      <c r="C5" s="431" t="s">
        <v>204</v>
      </c>
      <c r="D5" s="416">
        <f>SUM(D6:D11)</f>
        <v>4.6750007023289846E-5</v>
      </c>
      <c r="E5" s="416">
        <f>SUM(E6:E11)</f>
        <v>5.1922358917119143E-3</v>
      </c>
      <c r="F5" s="429" t="s">
        <v>204</v>
      </c>
      <c r="G5" s="416">
        <f>SUM(G6:G11)</f>
        <v>0.96847370675099187</v>
      </c>
      <c r="H5" s="416">
        <f>SUM(H6:H11)</f>
        <v>0.16425012176622389</v>
      </c>
      <c r="I5" s="431" t="s">
        <v>204</v>
      </c>
      <c r="J5" s="431" t="s">
        <v>204</v>
      </c>
      <c r="K5" s="431" t="s">
        <v>204</v>
      </c>
      <c r="L5" s="431" t="s">
        <v>204</v>
      </c>
      <c r="M5" s="416">
        <f>SUM(M6:M11)</f>
        <v>4.9280672207077325E-2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5.5657863166726526E-6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1.7568275744420006E-5</v>
      </c>
      <c r="E6" s="419">
        <f>vkm_GW_PW*SUMIFS(TableVerdeelsleutelVkm[LPG],TableVerdeelsleutelVkm[Voertuigtype],"Lichte voertuigen")*SUMIFS(TableECFTransport[EnergieConsumptieFactor (PJ per km)],TableECFTransport[Index],CONCATENATE($A6,"_LPG_LPG"))</f>
        <v>1.8246141071668431E-3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0.24355403912610515</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6.1170279051611674E-2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1.3307474276736442E-2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2.4946723396311409E-7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0.1124537241179014</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3.3088781298731097E-6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4.8445653571440386E-3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2.3415148635516194E-6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1.2535641100496705E-5</v>
      </c>
      <c r="E8" s="419">
        <f>vkm_NGW_PW*SUMIFS(TableVerdeelsleutelVkm[LPG],TableVerdeelsleutelVkm[Voertuigtype],"Lichte voertuigen")*SUMIFS(TableECFTransport[EnergieConsumptieFactor (PJ per km)],TableECFTransport[Index],CONCATENATE($A8,"_LPG_LPG"))</f>
        <v>1.2253606924931288E-3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0.1555961269914139</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4.1223115120948103E-2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8.6002501462062314E-3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6.7316496434084789E-8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4.2032077052512037E-2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1.0777181846570771E-6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1.8107565826583094E-3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5.3379265143587934E-6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1.6646090178373134E-5</v>
      </c>
      <c r="E10" s="419">
        <f>vkm_SW_PW*SUMIFS(TableVerdeelsleutelVkm[LPG],TableVerdeelsleutelVkm[Voertuigtype],"Lichte voertuigen")*SUMIFS(TableECFTransport[EnergieConsumptieFactor (PJ per km)],TableECFTransport[Index],CONCATENATE($A10,"_LPG_LPG"))</f>
        <v>2.1422610920519424E-3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0.26560831192319156</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6.1847657157357787E-2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1.4288730435542706E-2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3.4308706991333836E-7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0.14922942753986776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4.6838399917984207E-6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6.4288954087895972E-3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3.8625273596926673</v>
      </c>
      <c r="C14" s="21"/>
      <c r="D14" s="21">
        <f t="shared" ref="D14:M14" si="0">((D5)*10^9/3600)+D12</f>
        <v>12.986113062024957</v>
      </c>
      <c r="E14" s="21">
        <f t="shared" si="0"/>
        <v>1442.287747697754</v>
      </c>
      <c r="F14" s="21"/>
      <c r="G14" s="21">
        <f t="shared" si="0"/>
        <v>269020.4740974977</v>
      </c>
      <c r="H14" s="21">
        <f t="shared" si="0"/>
        <v>45625.033823951075</v>
      </c>
      <c r="I14" s="21"/>
      <c r="J14" s="21"/>
      <c r="K14" s="21"/>
      <c r="L14" s="21"/>
      <c r="M14" s="21">
        <f t="shared" si="0"/>
        <v>13689.075613077035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0.1764467932280335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0.68153056637331422</v>
      </c>
      <c r="C18" s="23"/>
      <c r="D18" s="23">
        <f t="shared" ref="D18:M18" si="1">D14*D16</f>
        <v>2.6231948385290416</v>
      </c>
      <c r="E18" s="23">
        <f t="shared" si="1"/>
        <v>327.39931872739015</v>
      </c>
      <c r="F18" s="23"/>
      <c r="G18" s="23">
        <f t="shared" si="1"/>
        <v>71828.466584031892</v>
      </c>
      <c r="H18" s="23">
        <f t="shared" si="1"/>
        <v>11360.633422163817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8.7255630029298945E-5</v>
      </c>
      <c r="C50" s="313">
        <f t="shared" ref="C50:P50" si="2">SUM(C51:C52)</f>
        <v>0</v>
      </c>
      <c r="D50" s="313">
        <f t="shared" si="2"/>
        <v>0</v>
      </c>
      <c r="E50" s="313">
        <f t="shared" si="2"/>
        <v>0</v>
      </c>
      <c r="F50" s="313">
        <f t="shared" si="2"/>
        <v>0</v>
      </c>
      <c r="G50" s="313">
        <f t="shared" si="2"/>
        <v>1.8929232900690297E-2</v>
      </c>
      <c r="H50" s="313">
        <f t="shared" si="2"/>
        <v>0</v>
      </c>
      <c r="I50" s="313">
        <f t="shared" si="2"/>
        <v>0</v>
      </c>
      <c r="J50" s="313">
        <f t="shared" si="2"/>
        <v>0</v>
      </c>
      <c r="K50" s="313">
        <f t="shared" si="2"/>
        <v>0</v>
      </c>
      <c r="L50" s="313">
        <f t="shared" si="2"/>
        <v>0</v>
      </c>
      <c r="M50" s="313">
        <f t="shared" si="2"/>
        <v>8.1047704091008303E-4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8.7255630029298945E-5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1.8929232900690297E-2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8.1047704091008303E-4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24.237675008138595</v>
      </c>
      <c r="C54" s="21">
        <f t="shared" ref="C54:P54" si="3">(C50)*10^9/3600</f>
        <v>0</v>
      </c>
      <c r="D54" s="21">
        <f t="shared" si="3"/>
        <v>0</v>
      </c>
      <c r="E54" s="21">
        <f t="shared" si="3"/>
        <v>0</v>
      </c>
      <c r="F54" s="21">
        <f t="shared" si="3"/>
        <v>0</v>
      </c>
      <c r="G54" s="21">
        <f t="shared" si="3"/>
        <v>5258.1202501917496</v>
      </c>
      <c r="H54" s="21">
        <f t="shared" si="3"/>
        <v>0</v>
      </c>
      <c r="I54" s="21">
        <f t="shared" si="3"/>
        <v>0</v>
      </c>
      <c r="J54" s="21">
        <f t="shared" si="3"/>
        <v>0</v>
      </c>
      <c r="K54" s="21">
        <f t="shared" si="3"/>
        <v>0</v>
      </c>
      <c r="L54" s="21">
        <f t="shared" si="3"/>
        <v>0</v>
      </c>
      <c r="M54" s="21">
        <f t="shared" si="3"/>
        <v>225.13251136391193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0.1764467932280335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4.2766600304893059</v>
      </c>
      <c r="C58" s="23">
        <f t="shared" ref="C58:P58" ca="1" si="4">C54*C56</f>
        <v>0</v>
      </c>
      <c r="D58" s="23">
        <f t="shared" si="4"/>
        <v>0</v>
      </c>
      <c r="E58" s="23">
        <f t="shared" si="4"/>
        <v>0</v>
      </c>
      <c r="F58" s="23">
        <f t="shared" si="4"/>
        <v>0</v>
      </c>
      <c r="G58" s="23">
        <f t="shared" si="4"/>
        <v>1403.9181068011972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4889.4879092421024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B49</f>
        <v>0</v>
      </c>
      <c r="D8" s="920"/>
      <c r="E8" s="920">
        <f>E49</f>
        <v>0</v>
      </c>
      <c r="F8" s="921"/>
      <c r="G8" s="543"/>
      <c r="H8" s="920">
        <f>I49</f>
        <v>0</v>
      </c>
      <c r="I8" s="920">
        <f>G49+F49</f>
        <v>0</v>
      </c>
      <c r="J8" s="920">
        <f>H49+D49+C49</f>
        <v>0</v>
      </c>
      <c r="K8" s="920"/>
      <c r="L8" s="920"/>
      <c r="M8" s="920"/>
      <c r="N8" s="544"/>
      <c r="O8" s="545">
        <f>C8*$C$12+D8*$D$12+E8*$E$12+F8*$F$12+G8*$G$12+H8*$H$12+I8*$I$12+J8*$J$12</f>
        <v>0</v>
      </c>
      <c r="P8" s="1181"/>
      <c r="Q8" s="1182"/>
      <c r="S8" s="953"/>
      <c r="T8" s="1169"/>
      <c r="U8" s="1169"/>
    </row>
    <row r="9" spans="1:21" s="530" customFormat="1" ht="17.45" customHeight="1" thickBot="1">
      <c r="A9" s="546" t="s">
        <v>237</v>
      </c>
      <c r="B9" s="957">
        <f>N37+'Eigen informatie GS &amp; warmtenet'!B12</f>
        <v>27810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69525</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32699.487909242103</v>
      </c>
      <c r="C10" s="554">
        <f t="shared" ref="C10:L10" si="0">SUM(C8:C9)</f>
        <v>0</v>
      </c>
      <c r="D10" s="554">
        <f t="shared" si="0"/>
        <v>0</v>
      </c>
      <c r="E10" s="554">
        <f t="shared" si="0"/>
        <v>0</v>
      </c>
      <c r="F10" s="554">
        <f t="shared" si="0"/>
        <v>0</v>
      </c>
      <c r="G10" s="554">
        <f t="shared" si="0"/>
        <v>0</v>
      </c>
      <c r="H10" s="554">
        <f t="shared" si="0"/>
        <v>0</v>
      </c>
      <c r="I10" s="554">
        <f t="shared" si="0"/>
        <v>69525</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B50</f>
        <v>0</v>
      </c>
      <c r="D17" s="567"/>
      <c r="E17" s="567">
        <f>E50</f>
        <v>0</v>
      </c>
      <c r="F17" s="568"/>
      <c r="G17" s="569"/>
      <c r="H17" s="566">
        <f>I50</f>
        <v>0</v>
      </c>
      <c r="I17" s="567">
        <f>G50+F50</f>
        <v>0</v>
      </c>
      <c r="J17" s="567">
        <f>H50+D50+C50</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38.25" hidden="1">
      <c r="A35" s="580"/>
      <c r="B35" s="736">
        <v>23002</v>
      </c>
      <c r="C35" s="736">
        <v>2861</v>
      </c>
      <c r="D35" s="628"/>
      <c r="E35" s="628"/>
      <c r="F35" s="628"/>
      <c r="G35" s="628" t="s">
        <v>962</v>
      </c>
      <c r="H35" s="628" t="s">
        <v>963</v>
      </c>
      <c r="I35" s="628"/>
      <c r="J35" s="735"/>
      <c r="K35" s="735"/>
      <c r="L35" s="628" t="s">
        <v>964</v>
      </c>
      <c r="M35" s="628">
        <v>900</v>
      </c>
      <c r="N35" s="628">
        <v>4050</v>
      </c>
      <c r="O35" s="628">
        <v>0</v>
      </c>
      <c r="P35" s="628">
        <v>0</v>
      </c>
      <c r="Q35" s="628">
        <v>0</v>
      </c>
      <c r="R35" s="628">
        <v>0</v>
      </c>
      <c r="S35" s="628">
        <v>0</v>
      </c>
      <c r="T35" s="628">
        <v>10125</v>
      </c>
      <c r="U35" s="628">
        <v>0</v>
      </c>
      <c r="V35" s="628">
        <v>0</v>
      </c>
      <c r="W35" s="628">
        <v>0</v>
      </c>
      <c r="X35" s="628"/>
      <c r="Y35" s="628">
        <v>10</v>
      </c>
      <c r="Z35" s="628" t="s">
        <v>105</v>
      </c>
      <c r="AA35" s="629" t="s">
        <v>105</v>
      </c>
    </row>
    <row r="36" spans="1:28" s="594" customFormat="1" ht="38.25" hidden="1">
      <c r="A36" s="580"/>
      <c r="B36" s="736">
        <v>23002</v>
      </c>
      <c r="C36" s="736">
        <v>1730</v>
      </c>
      <c r="D36" s="628"/>
      <c r="E36" s="628"/>
      <c r="F36" s="628"/>
      <c r="G36" s="628" t="s">
        <v>962</v>
      </c>
      <c r="H36" s="628" t="s">
        <v>963</v>
      </c>
      <c r="I36" s="628"/>
      <c r="J36" s="735"/>
      <c r="K36" s="735"/>
      <c r="L36" s="628" t="s">
        <v>964</v>
      </c>
      <c r="M36" s="628">
        <v>5280</v>
      </c>
      <c r="N36" s="628">
        <v>23760</v>
      </c>
      <c r="O36" s="628">
        <v>0</v>
      </c>
      <c r="P36" s="628">
        <v>0</v>
      </c>
      <c r="Q36" s="628">
        <v>0</v>
      </c>
      <c r="R36" s="628">
        <v>0</v>
      </c>
      <c r="S36" s="628">
        <v>0</v>
      </c>
      <c r="T36" s="628">
        <v>59400</v>
      </c>
      <c r="U36" s="628">
        <v>0</v>
      </c>
      <c r="V36" s="628">
        <v>0</v>
      </c>
      <c r="W36" s="628">
        <v>0</v>
      </c>
      <c r="X36" s="628"/>
      <c r="Y36" s="628">
        <v>10</v>
      </c>
      <c r="Z36" s="628" t="s">
        <v>105</v>
      </c>
      <c r="AA36" s="629" t="s">
        <v>105</v>
      </c>
    </row>
    <row r="37" spans="1:28" s="561" customFormat="1" hidden="1">
      <c r="A37" s="581" t="s">
        <v>269</v>
      </c>
      <c r="B37" s="582"/>
      <c r="C37" s="582"/>
      <c r="D37" s="582"/>
      <c r="E37" s="582"/>
      <c r="F37" s="582"/>
      <c r="G37" s="582"/>
      <c r="H37" s="582"/>
      <c r="I37" s="582"/>
      <c r="J37" s="582"/>
      <c r="K37" s="582"/>
      <c r="L37" s="583"/>
      <c r="M37" s="583">
        <f>SUM(M35:M36)</f>
        <v>6180</v>
      </c>
      <c r="N37" s="583">
        <f>SUM(N35:N36)</f>
        <v>27810</v>
      </c>
      <c r="O37" s="583">
        <f>SUM(O35:O36)</f>
        <v>0</v>
      </c>
      <c r="P37" s="583">
        <f>SUM(P35:P36)</f>
        <v>0</v>
      </c>
      <c r="Q37" s="583">
        <f>SUM(Q35:Q36)</f>
        <v>0</v>
      </c>
      <c r="R37" s="583">
        <f>SUM(R35:R36)</f>
        <v>0</v>
      </c>
      <c r="S37" s="583">
        <f>SUM(S35:S36)</f>
        <v>0</v>
      </c>
      <c r="T37" s="583">
        <f>SUM(T35:T36)</f>
        <v>69525</v>
      </c>
      <c r="U37" s="583">
        <f>SUM(U35:U36)</f>
        <v>0</v>
      </c>
      <c r="V37" s="583">
        <f>SUM(V35:V36)</f>
        <v>0</v>
      </c>
      <c r="W37" s="583">
        <f>SUM(W35:W36)</f>
        <v>0</v>
      </c>
      <c r="X37" s="583"/>
      <c r="Y37" s="584"/>
      <c r="Z37" s="584"/>
      <c r="AA37" s="585"/>
    </row>
    <row r="38" spans="1:28" s="561" customFormat="1">
      <c r="A38" s="581" t="s">
        <v>276</v>
      </c>
      <c r="B38" s="582"/>
      <c r="C38" s="582"/>
      <c r="D38" s="582"/>
      <c r="E38" s="582"/>
      <c r="F38" s="582"/>
      <c r="G38" s="582"/>
      <c r="H38" s="582"/>
      <c r="I38" s="582"/>
      <c r="J38" s="582"/>
      <c r="K38" s="582"/>
      <c r="L38" s="583"/>
      <c r="M38" s="583">
        <f>SUMIF($AA$35:$AA$36,"industrie",M35:M36)</f>
        <v>0</v>
      </c>
      <c r="N38" s="583">
        <f>SUMIF($AA$35:$AA$36,"industrie",N35:N36)</f>
        <v>0</v>
      </c>
      <c r="O38" s="583">
        <f>SUMIF($AA$35:$AA$36,"industrie",O35:O36)</f>
        <v>0</v>
      </c>
      <c r="P38" s="583">
        <f>SUMIF($AA$35:$AA$36,"industrie",P35:P36)</f>
        <v>0</v>
      </c>
      <c r="Q38" s="583">
        <f>SUMIF($AA$35:$AA$36,"industrie",Q35:Q36)</f>
        <v>0</v>
      </c>
      <c r="R38" s="583">
        <f>SUMIF($AA$35:$AA$36,"industrie",R35:R36)</f>
        <v>0</v>
      </c>
      <c r="S38" s="583">
        <f>SUMIF($AA$35:$AA$36,"industrie",S35:S36)</f>
        <v>0</v>
      </c>
      <c r="T38" s="583">
        <f>SUMIF($AA$35:$AA$36,"industrie",T35:T36)</f>
        <v>0</v>
      </c>
      <c r="U38" s="583">
        <f>SUMIF($AA$35:$AA$36,"industrie",U35:U36)</f>
        <v>0</v>
      </c>
      <c r="V38" s="583">
        <f>SUMIF($AA$35:$AA$36,"industrie",V35:V36)</f>
        <v>0</v>
      </c>
      <c r="W38" s="583">
        <f>SUMIF($AA$35:$AA$36,"industrie",W35:W36)</f>
        <v>0</v>
      </c>
      <c r="X38" s="583"/>
      <c r="Y38" s="584"/>
      <c r="Z38" s="584"/>
      <c r="AA38" s="585"/>
    </row>
    <row r="39" spans="1:28" s="561" customFormat="1">
      <c r="A39" s="581" t="s">
        <v>277</v>
      </c>
      <c r="B39" s="582"/>
      <c r="C39" s="582"/>
      <c r="D39" s="582"/>
      <c r="E39" s="582"/>
      <c r="F39" s="582"/>
      <c r="G39" s="582"/>
      <c r="H39" s="582"/>
      <c r="I39" s="582"/>
      <c r="J39" s="582"/>
      <c r="K39" s="582"/>
      <c r="L39" s="583"/>
      <c r="M39" s="583">
        <f>SUMIF($AA$35:$AA$37,"tertiair",M35:M37)</f>
        <v>0</v>
      </c>
      <c r="N39" s="583">
        <f>SUMIF($AA$35:$AA$37,"tertiair",N35:N37)</f>
        <v>0</v>
      </c>
      <c r="O39" s="583">
        <f>SUMIF($AA$35:$AA$37,"tertiair",O35:O37)</f>
        <v>0</v>
      </c>
      <c r="P39" s="583">
        <f>SUMIF($AA$35:$AA$37,"tertiair",P35:P37)</f>
        <v>0</v>
      </c>
      <c r="Q39" s="583">
        <f>SUMIF($AA$35:$AA$37,"tertiair",Q35:Q37)</f>
        <v>0</v>
      </c>
      <c r="R39" s="583">
        <f>SUMIF($AA$35:$AA$37,"tertiair",R35:R37)</f>
        <v>0</v>
      </c>
      <c r="S39" s="583">
        <f>SUMIF($AA$35:$AA$37,"tertiair",S35:S37)</f>
        <v>0</v>
      </c>
      <c r="T39" s="583">
        <f>SUMIF($AA$35:$AA$37,"tertiair",T35:T37)</f>
        <v>0</v>
      </c>
      <c r="U39" s="583">
        <f>SUMIF($AA$35:$AA$37,"tertiair",U35:U37)</f>
        <v>0</v>
      </c>
      <c r="V39" s="583">
        <f>SUMIF($AA$35:$AA$37,"tertiair",V35:V37)</f>
        <v>0</v>
      </c>
      <c r="W39" s="583">
        <f>SUMIF($AA$35:$AA$37,"tertiair",W35:W37)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SUMIF($AA$35:$AA$38,"landbouw",M35:M38)</f>
        <v>6180</v>
      </c>
      <c r="N40" s="588">
        <f>SUMIF($AA$35:$AA$38,"landbouw",N35:N38)</f>
        <v>27810</v>
      </c>
      <c r="O40" s="588">
        <f>SUMIF($AA$35:$AA$38,"landbouw",O35:O38)</f>
        <v>0</v>
      </c>
      <c r="P40" s="588">
        <f>SUMIF($AA$35:$AA$38,"landbouw",P35:P38)</f>
        <v>0</v>
      </c>
      <c r="Q40" s="588">
        <f>SUMIF($AA$35:$AA$38,"landbouw",Q35:Q38)</f>
        <v>0</v>
      </c>
      <c r="R40" s="588">
        <f>SUMIF($AA$35:$AA$38,"landbouw",R35:R38)</f>
        <v>0</v>
      </c>
      <c r="S40" s="588">
        <f>SUMIF($AA$35:$AA$38,"landbouw",S35:S38)</f>
        <v>0</v>
      </c>
      <c r="T40" s="588">
        <f>SUMIF($AA$35:$AA$38,"landbouw",T35:T38)</f>
        <v>69525</v>
      </c>
      <c r="U40" s="588">
        <f>SUMIF($AA$35:$AA$38,"landbouw",U35:U38)</f>
        <v>0</v>
      </c>
      <c r="V40" s="588">
        <f>SUMIF($AA$35:$AA$38,"landbouw",V35:V38)</f>
        <v>0</v>
      </c>
      <c r="W40" s="588">
        <f>SUMIF($AA$35:$AA$38,"landbouw",W35:W38)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IF(ISERROR(O29/(O29+N29)),0,O29/(O29+N29))</f>
        <v>0</v>
      </c>
      <c r="C46" s="608">
        <f>IF(ISERROR(N29/(O29+N29)),0,N29/(N29+O29))</f>
        <v>0</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$C$46*P29</f>
        <v>0</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$B$46*P29</f>
        <v>0</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94405.686218480041</v>
      </c>
      <c r="D10" s="635">
        <f ca="1">tertiair!C16</f>
        <v>0</v>
      </c>
      <c r="E10" s="635">
        <f ca="1">tertiair!D16</f>
        <v>75048.892119440425</v>
      </c>
      <c r="F10" s="635">
        <f>tertiair!E16</f>
        <v>1408.9257836529264</v>
      </c>
      <c r="G10" s="635">
        <f ca="1">tertiair!F16</f>
        <v>15690.003549653686</v>
      </c>
      <c r="H10" s="635">
        <f>tertiair!G16</f>
        <v>0</v>
      </c>
      <c r="I10" s="635">
        <f>tertiair!H16</f>
        <v>0</v>
      </c>
      <c r="J10" s="635">
        <f>tertiair!I16</f>
        <v>0</v>
      </c>
      <c r="K10" s="635">
        <f>tertiair!J16</f>
        <v>0</v>
      </c>
      <c r="L10" s="635">
        <f>tertiair!K16</f>
        <v>0</v>
      </c>
      <c r="M10" s="635">
        <f ca="1">tertiair!L16</f>
        <v>0</v>
      </c>
      <c r="N10" s="635">
        <f>tertiair!M16</f>
        <v>0</v>
      </c>
      <c r="O10" s="635">
        <f ca="1">tertiair!N16</f>
        <v>1395.9262875604145</v>
      </c>
      <c r="P10" s="635">
        <f>tertiair!O16</f>
        <v>3.1266666666666669</v>
      </c>
      <c r="Q10" s="636">
        <f>tertiair!P16</f>
        <v>0</v>
      </c>
      <c r="R10" s="638">
        <f ca="1">SUM(C10:Q10)</f>
        <v>187952.56062545418</v>
      </c>
      <c r="S10" s="67"/>
    </row>
    <row r="11" spans="1:19" s="441" customFormat="1">
      <c r="A11" s="749" t="s">
        <v>214</v>
      </c>
      <c r="B11" s="754"/>
      <c r="C11" s="635">
        <f>huishoudens!B8</f>
        <v>52747.913932075273</v>
      </c>
      <c r="D11" s="635">
        <f>huishoudens!C8</f>
        <v>0</v>
      </c>
      <c r="E11" s="635">
        <f>huishoudens!D8</f>
        <v>106951.95257343964</v>
      </c>
      <c r="F11" s="635">
        <f>huishoudens!E8</f>
        <v>2881.5705206457174</v>
      </c>
      <c r="G11" s="635">
        <f>huishoudens!F8</f>
        <v>98360.668220555468</v>
      </c>
      <c r="H11" s="635">
        <f>huishoudens!G8</f>
        <v>0</v>
      </c>
      <c r="I11" s="635">
        <f>huishoudens!H8</f>
        <v>0</v>
      </c>
      <c r="J11" s="635">
        <f>huishoudens!I8</f>
        <v>0</v>
      </c>
      <c r="K11" s="635">
        <f>huishoudens!J8</f>
        <v>2214.8328757854601</v>
      </c>
      <c r="L11" s="635">
        <f>huishoudens!K8</f>
        <v>0</v>
      </c>
      <c r="M11" s="635">
        <f>huishoudens!L8</f>
        <v>0</v>
      </c>
      <c r="N11" s="635">
        <f>huishoudens!M8</f>
        <v>0</v>
      </c>
      <c r="O11" s="635">
        <f>huishoudens!N8</f>
        <v>15486.885071519246</v>
      </c>
      <c r="P11" s="635">
        <f>huishoudens!O8</f>
        <v>84.42</v>
      </c>
      <c r="Q11" s="636">
        <f>huishoudens!P8</f>
        <v>552.93333333333339</v>
      </c>
      <c r="R11" s="638">
        <f>SUM(C11:Q11)</f>
        <v>279281.17652735411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11387.564425253779</v>
      </c>
      <c r="D13" s="635">
        <f>industrie!C18</f>
        <v>0</v>
      </c>
      <c r="E13" s="635">
        <f>industrie!D18</f>
        <v>11590.914232317147</v>
      </c>
      <c r="F13" s="635">
        <f>industrie!E18</f>
        <v>115.74655285817039</v>
      </c>
      <c r="G13" s="635">
        <f>industrie!F18</f>
        <v>2981.511312127458</v>
      </c>
      <c r="H13" s="635">
        <f>industrie!G18</f>
        <v>0</v>
      </c>
      <c r="I13" s="635">
        <f>industrie!H18</f>
        <v>0</v>
      </c>
      <c r="J13" s="635">
        <f>industrie!I18</f>
        <v>0</v>
      </c>
      <c r="K13" s="635">
        <f>industrie!J18</f>
        <v>55.908233734028272</v>
      </c>
      <c r="L13" s="635">
        <f>industrie!K18</f>
        <v>0</v>
      </c>
      <c r="M13" s="635">
        <f>industrie!L18</f>
        <v>0</v>
      </c>
      <c r="N13" s="635">
        <f>industrie!M18</f>
        <v>0</v>
      </c>
      <c r="O13" s="635">
        <f>industrie!N18</f>
        <v>273.56794479137216</v>
      </c>
      <c r="P13" s="635">
        <f>industrie!O18</f>
        <v>0</v>
      </c>
      <c r="Q13" s="636">
        <f>industrie!P18</f>
        <v>0</v>
      </c>
      <c r="R13" s="638">
        <f>SUM(C13:Q13)</f>
        <v>26405.212701081957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158541.16457580909</v>
      </c>
      <c r="D16" s="668">
        <f t="shared" ref="D16:R16" ca="1" si="0">SUM(D9:D15)</f>
        <v>0</v>
      </c>
      <c r="E16" s="668">
        <f t="shared" ca="1" si="0"/>
        <v>193591.75892519721</v>
      </c>
      <c r="F16" s="668">
        <f t="shared" si="0"/>
        <v>4406.2428571568144</v>
      </c>
      <c r="G16" s="668">
        <f t="shared" ca="1" si="0"/>
        <v>117032.18308233662</v>
      </c>
      <c r="H16" s="668">
        <f t="shared" si="0"/>
        <v>0</v>
      </c>
      <c r="I16" s="668">
        <f t="shared" si="0"/>
        <v>0</v>
      </c>
      <c r="J16" s="668">
        <f t="shared" si="0"/>
        <v>0</v>
      </c>
      <c r="K16" s="668">
        <f t="shared" si="0"/>
        <v>2270.7411095194884</v>
      </c>
      <c r="L16" s="668">
        <f t="shared" si="0"/>
        <v>0</v>
      </c>
      <c r="M16" s="668">
        <f t="shared" ca="1" si="0"/>
        <v>0</v>
      </c>
      <c r="N16" s="668">
        <f t="shared" si="0"/>
        <v>0</v>
      </c>
      <c r="O16" s="668">
        <f t="shared" ca="1" si="0"/>
        <v>17156.379303871032</v>
      </c>
      <c r="P16" s="668">
        <f t="shared" si="0"/>
        <v>87.546666666666667</v>
      </c>
      <c r="Q16" s="668">
        <f t="shared" si="0"/>
        <v>552.93333333333339</v>
      </c>
      <c r="R16" s="668">
        <f t="shared" ca="1" si="0"/>
        <v>493638.94985389023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24.237675008138595</v>
      </c>
      <c r="D19" s="635">
        <f>transport!C54</f>
        <v>0</v>
      </c>
      <c r="E19" s="635">
        <f>transport!D54</f>
        <v>0</v>
      </c>
      <c r="F19" s="635">
        <f>transport!E54</f>
        <v>0</v>
      </c>
      <c r="G19" s="635">
        <f>transport!F54</f>
        <v>0</v>
      </c>
      <c r="H19" s="635">
        <f>transport!G54</f>
        <v>5258.1202501917496</v>
      </c>
      <c r="I19" s="635">
        <f>transport!H54</f>
        <v>0</v>
      </c>
      <c r="J19" s="635">
        <f>transport!I54</f>
        <v>0</v>
      </c>
      <c r="K19" s="635">
        <f>transport!J54</f>
        <v>0</v>
      </c>
      <c r="L19" s="635">
        <f>transport!K54</f>
        <v>0</v>
      </c>
      <c r="M19" s="635">
        <f>transport!L54</f>
        <v>0</v>
      </c>
      <c r="N19" s="635">
        <f>transport!M54</f>
        <v>225.13251136391193</v>
      </c>
      <c r="O19" s="635">
        <f>transport!N54</f>
        <v>0</v>
      </c>
      <c r="P19" s="635">
        <f>transport!O54</f>
        <v>0</v>
      </c>
      <c r="Q19" s="636">
        <f>transport!P54</f>
        <v>0</v>
      </c>
      <c r="R19" s="638">
        <f>SUM(C19:Q19)</f>
        <v>5507.4904365638004</v>
      </c>
      <c r="S19" s="67"/>
    </row>
    <row r="20" spans="1:19" s="441" customFormat="1">
      <c r="A20" s="749" t="s">
        <v>296</v>
      </c>
      <c r="B20" s="754"/>
      <c r="C20" s="635">
        <f>transport!B14</f>
        <v>3.8625273596926673</v>
      </c>
      <c r="D20" s="635">
        <f>transport!C14</f>
        <v>0</v>
      </c>
      <c r="E20" s="635">
        <f>transport!D14</f>
        <v>12.986113062024957</v>
      </c>
      <c r="F20" s="635">
        <f>transport!E14</f>
        <v>1442.287747697754</v>
      </c>
      <c r="G20" s="635">
        <f>transport!F14</f>
        <v>0</v>
      </c>
      <c r="H20" s="635">
        <f>transport!G14</f>
        <v>269020.4740974977</v>
      </c>
      <c r="I20" s="635">
        <f>transport!H14</f>
        <v>45625.033823951075</v>
      </c>
      <c r="J20" s="635">
        <f>transport!I14</f>
        <v>0</v>
      </c>
      <c r="K20" s="635">
        <f>transport!J14</f>
        <v>0</v>
      </c>
      <c r="L20" s="635">
        <f>transport!K14</f>
        <v>0</v>
      </c>
      <c r="M20" s="635">
        <f>transport!L14</f>
        <v>0</v>
      </c>
      <c r="N20" s="635">
        <f>transport!M14</f>
        <v>13689.075613077035</v>
      </c>
      <c r="O20" s="635">
        <f>transport!N14</f>
        <v>0</v>
      </c>
      <c r="P20" s="635">
        <f>transport!O14</f>
        <v>0</v>
      </c>
      <c r="Q20" s="636">
        <f>transport!P14</f>
        <v>0</v>
      </c>
      <c r="R20" s="638">
        <f>SUM(C20:Q20)</f>
        <v>329793.71992264531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28.100202367831262</v>
      </c>
      <c r="D22" s="752">
        <f t="shared" ref="D22:R22" si="1">SUM(D18:D21)</f>
        <v>0</v>
      </c>
      <c r="E22" s="752">
        <f t="shared" si="1"/>
        <v>12.986113062024957</v>
      </c>
      <c r="F22" s="752">
        <f t="shared" si="1"/>
        <v>1442.287747697754</v>
      </c>
      <c r="G22" s="752">
        <f t="shared" si="1"/>
        <v>0</v>
      </c>
      <c r="H22" s="752">
        <f t="shared" si="1"/>
        <v>274278.59434768948</v>
      </c>
      <c r="I22" s="752">
        <f t="shared" si="1"/>
        <v>45625.033823951075</v>
      </c>
      <c r="J22" s="752">
        <f t="shared" si="1"/>
        <v>0</v>
      </c>
      <c r="K22" s="752">
        <f t="shared" si="1"/>
        <v>0</v>
      </c>
      <c r="L22" s="752">
        <f t="shared" si="1"/>
        <v>0</v>
      </c>
      <c r="M22" s="752">
        <f t="shared" si="1"/>
        <v>0</v>
      </c>
      <c r="N22" s="752">
        <f t="shared" si="1"/>
        <v>13914.208124440947</v>
      </c>
      <c r="O22" s="752">
        <f t="shared" si="1"/>
        <v>0</v>
      </c>
      <c r="P22" s="752">
        <f t="shared" si="1"/>
        <v>0</v>
      </c>
      <c r="Q22" s="752">
        <f t="shared" si="1"/>
        <v>0</v>
      </c>
      <c r="R22" s="752">
        <f t="shared" si="1"/>
        <v>335301.2103592091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1025.2091447885325</v>
      </c>
      <c r="D24" s="635">
        <f>+landbouw!C8</f>
        <v>0</v>
      </c>
      <c r="E24" s="635">
        <f>+landbouw!D8</f>
        <v>1017.3933955794972</v>
      </c>
      <c r="F24" s="635">
        <f>+landbouw!E8</f>
        <v>9.2384352702928485</v>
      </c>
      <c r="G24" s="635">
        <f>+landbouw!F8</f>
        <v>3841.4899333661519</v>
      </c>
      <c r="H24" s="635">
        <f>+landbouw!G8</f>
        <v>0</v>
      </c>
      <c r="I24" s="635">
        <f>+landbouw!H8</f>
        <v>0</v>
      </c>
      <c r="J24" s="635">
        <f>+landbouw!I8</f>
        <v>0</v>
      </c>
      <c r="K24" s="635">
        <f>+landbouw!J8</f>
        <v>103.7469253059754</v>
      </c>
      <c r="L24" s="635">
        <f>+landbouw!K8</f>
        <v>0</v>
      </c>
      <c r="M24" s="635">
        <f>+landbouw!L8</f>
        <v>0</v>
      </c>
      <c r="N24" s="635">
        <f>+landbouw!M8</f>
        <v>0</v>
      </c>
      <c r="O24" s="635">
        <f>+landbouw!N8</f>
        <v>0</v>
      </c>
      <c r="P24" s="635">
        <f>+landbouw!O8</f>
        <v>0</v>
      </c>
      <c r="Q24" s="636">
        <f>+landbouw!P8</f>
        <v>0</v>
      </c>
      <c r="R24" s="638">
        <f>SUM(C24:Q24)</f>
        <v>5997.0778343104503</v>
      </c>
      <c r="S24" s="67"/>
    </row>
    <row r="25" spans="1:19" s="441" customFormat="1" ht="15" thickBot="1">
      <c r="A25" s="771" t="s">
        <v>864</v>
      </c>
      <c r="B25" s="923"/>
      <c r="C25" s="924">
        <f>IF(Onbekend_ele_kWh="---",0,Onbekend_ele_kWh)/1000+IF(REST_rest_ele_kWh="---",0,REST_rest_ele_kWh)/1000</f>
        <v>2606.7984776907697</v>
      </c>
      <c r="D25" s="924"/>
      <c r="E25" s="924">
        <f>IF(onbekend_gas_kWh="---",0,onbekend_gas_kWh)/1000+IF(REST_rest_gas_kWh="---",0,REST_rest_gas_kWh)/1000</f>
        <v>6840.4368920848001</v>
      </c>
      <c r="F25" s="924"/>
      <c r="G25" s="924"/>
      <c r="H25" s="924"/>
      <c r="I25" s="924"/>
      <c r="J25" s="924"/>
      <c r="K25" s="924"/>
      <c r="L25" s="924"/>
      <c r="M25" s="924"/>
      <c r="N25" s="924"/>
      <c r="O25" s="924"/>
      <c r="P25" s="924"/>
      <c r="Q25" s="925"/>
      <c r="R25" s="638">
        <f>SUM(C25:Q25)</f>
        <v>9447.2353697755698</v>
      </c>
      <c r="S25" s="67"/>
    </row>
    <row r="26" spans="1:19" s="441" customFormat="1" ht="15.75" thickBot="1">
      <c r="A26" s="641" t="s">
        <v>865</v>
      </c>
      <c r="B26" s="757"/>
      <c r="C26" s="752">
        <f>SUM(C24:C25)</f>
        <v>3632.007622479302</v>
      </c>
      <c r="D26" s="752">
        <f t="shared" ref="D26:R26" si="2">SUM(D24:D25)</f>
        <v>0</v>
      </c>
      <c r="E26" s="752">
        <f t="shared" si="2"/>
        <v>7857.8302876642974</v>
      </c>
      <c r="F26" s="752">
        <f t="shared" si="2"/>
        <v>9.2384352702928485</v>
      </c>
      <c r="G26" s="752">
        <f t="shared" si="2"/>
        <v>3841.4899333661519</v>
      </c>
      <c r="H26" s="752">
        <f t="shared" si="2"/>
        <v>0</v>
      </c>
      <c r="I26" s="752">
        <f t="shared" si="2"/>
        <v>0</v>
      </c>
      <c r="J26" s="752">
        <f t="shared" si="2"/>
        <v>0</v>
      </c>
      <c r="K26" s="752">
        <f t="shared" si="2"/>
        <v>103.7469253059754</v>
      </c>
      <c r="L26" s="752">
        <f t="shared" si="2"/>
        <v>0</v>
      </c>
      <c r="M26" s="752">
        <f t="shared" si="2"/>
        <v>0</v>
      </c>
      <c r="N26" s="752">
        <f t="shared" si="2"/>
        <v>0</v>
      </c>
      <c r="O26" s="752">
        <f t="shared" si="2"/>
        <v>0</v>
      </c>
      <c r="P26" s="752">
        <f t="shared" si="2"/>
        <v>0</v>
      </c>
      <c r="Q26" s="752">
        <f t="shared" si="2"/>
        <v>0</v>
      </c>
      <c r="R26" s="752">
        <f t="shared" si="2"/>
        <v>15444.31320408602</v>
      </c>
      <c r="S26" s="67"/>
    </row>
    <row r="27" spans="1:19" s="441" customFormat="1" ht="17.25" thickTop="1" thickBot="1">
      <c r="A27" s="642" t="s">
        <v>109</v>
      </c>
      <c r="B27" s="744"/>
      <c r="C27" s="643">
        <f ca="1">C22+C16+C26</f>
        <v>162201.27240065625</v>
      </c>
      <c r="D27" s="643">
        <f t="shared" ref="D27:R27" ca="1" si="3">D22+D16+D26</f>
        <v>0</v>
      </c>
      <c r="E27" s="643">
        <f t="shared" ca="1" si="3"/>
        <v>201462.57532592351</v>
      </c>
      <c r="F27" s="643">
        <f t="shared" si="3"/>
        <v>5857.769040124861</v>
      </c>
      <c r="G27" s="643">
        <f t="shared" ca="1" si="3"/>
        <v>120873.67301570276</v>
      </c>
      <c r="H27" s="643">
        <f t="shared" si="3"/>
        <v>274278.59434768948</v>
      </c>
      <c r="I27" s="643">
        <f t="shared" si="3"/>
        <v>45625.033823951075</v>
      </c>
      <c r="J27" s="643">
        <f t="shared" si="3"/>
        <v>0</v>
      </c>
      <c r="K27" s="643">
        <f t="shared" si="3"/>
        <v>2374.4880348254637</v>
      </c>
      <c r="L27" s="643">
        <f t="shared" si="3"/>
        <v>0</v>
      </c>
      <c r="M27" s="643">
        <f t="shared" ca="1" si="3"/>
        <v>0</v>
      </c>
      <c r="N27" s="643">
        <f t="shared" si="3"/>
        <v>13914.208124440947</v>
      </c>
      <c r="O27" s="643">
        <f t="shared" ca="1" si="3"/>
        <v>17156.379303871032</v>
      </c>
      <c r="P27" s="643">
        <f t="shared" si="3"/>
        <v>87.546666666666667</v>
      </c>
      <c r="Q27" s="643">
        <f t="shared" si="3"/>
        <v>552.93333333333339</v>
      </c>
      <c r="R27" s="643">
        <f t="shared" ca="1" si="3"/>
        <v>844384.47341718536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16657.580595742758</v>
      </c>
      <c r="D40" s="635">
        <f ca="1">tertiair!C20</f>
        <v>0</v>
      </c>
      <c r="E40" s="635">
        <f ca="1">tertiair!D20</f>
        <v>15159.876208126967</v>
      </c>
      <c r="F40" s="635">
        <f>tertiair!E20</f>
        <v>319.82615288921431</v>
      </c>
      <c r="G40" s="635">
        <f ca="1">tertiair!F20</f>
        <v>4189.2309477575345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36326.513904516476</v>
      </c>
    </row>
    <row r="41" spans="1:18">
      <c r="A41" s="762" t="s">
        <v>214</v>
      </c>
      <c r="B41" s="769"/>
      <c r="C41" s="635">
        <f ca="1">huishoudens!B12</f>
        <v>9307.2002627829934</v>
      </c>
      <c r="D41" s="635">
        <f ca="1">huishoudens!C12</f>
        <v>0</v>
      </c>
      <c r="E41" s="635">
        <f>huishoudens!D12</f>
        <v>21604.294419834809</v>
      </c>
      <c r="F41" s="635">
        <f>huishoudens!E12</f>
        <v>654.1165081865779</v>
      </c>
      <c r="G41" s="635">
        <f>huishoudens!F12</f>
        <v>26262.298414888312</v>
      </c>
      <c r="H41" s="635">
        <f>huishoudens!G12</f>
        <v>0</v>
      </c>
      <c r="I41" s="635">
        <f>huishoudens!H12</f>
        <v>0</v>
      </c>
      <c r="J41" s="635">
        <f>huishoudens!I12</f>
        <v>0</v>
      </c>
      <c r="K41" s="635">
        <f>huishoudens!J12</f>
        <v>784.05083802805279</v>
      </c>
      <c r="L41" s="635">
        <f>huishoudens!K12</f>
        <v>0</v>
      </c>
      <c r="M41" s="635">
        <f>huishoudens!L12</f>
        <v>0</v>
      </c>
      <c r="N41" s="635">
        <f>huishoudens!M12</f>
        <v>0</v>
      </c>
      <c r="O41" s="635">
        <f>huishoudens!N12</f>
        <v>0</v>
      </c>
      <c r="P41" s="635">
        <f>huishoudens!O12</f>
        <v>0</v>
      </c>
      <c r="Q41" s="710">
        <f>huishoudens!P12</f>
        <v>0</v>
      </c>
      <c r="R41" s="790">
        <f t="shared" ca="1" si="4"/>
        <v>58611.960443720745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2009.2992255136637</v>
      </c>
      <c r="D43" s="635">
        <f ca="1">industrie!C22</f>
        <v>0</v>
      </c>
      <c r="E43" s="635">
        <f>industrie!D22</f>
        <v>2341.3646749280638</v>
      </c>
      <c r="F43" s="635">
        <f>industrie!E22</f>
        <v>26.274467498804679</v>
      </c>
      <c r="G43" s="635">
        <f>industrie!F22</f>
        <v>796.06352033803137</v>
      </c>
      <c r="H43" s="635">
        <f>industrie!G22</f>
        <v>0</v>
      </c>
      <c r="I43" s="635">
        <f>industrie!H22</f>
        <v>0</v>
      </c>
      <c r="J43" s="635">
        <f>industrie!I22</f>
        <v>0</v>
      </c>
      <c r="K43" s="635">
        <f>industrie!J22</f>
        <v>19.791514741846008</v>
      </c>
      <c r="L43" s="635">
        <f>industrie!K22</f>
        <v>0</v>
      </c>
      <c r="M43" s="635">
        <f>industrie!L22</f>
        <v>0</v>
      </c>
      <c r="N43" s="635">
        <f>industrie!M22</f>
        <v>0</v>
      </c>
      <c r="O43" s="635">
        <f>industrie!N22</f>
        <v>0</v>
      </c>
      <c r="P43" s="635">
        <f>industrie!O22</f>
        <v>0</v>
      </c>
      <c r="Q43" s="710">
        <f>industrie!P22</f>
        <v>0</v>
      </c>
      <c r="R43" s="789">
        <f t="shared" ca="1" si="4"/>
        <v>5192.7934030204096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27974.080084039415</v>
      </c>
      <c r="D46" s="668">
        <f t="shared" ref="D46:Q46" ca="1" si="5">SUM(D39:D45)</f>
        <v>0</v>
      </c>
      <c r="E46" s="668">
        <f t="shared" ca="1" si="5"/>
        <v>39105.535302889846</v>
      </c>
      <c r="F46" s="668">
        <f t="shared" si="5"/>
        <v>1000.2171285745969</v>
      </c>
      <c r="G46" s="668">
        <f t="shared" ca="1" si="5"/>
        <v>31247.592882983874</v>
      </c>
      <c r="H46" s="668">
        <f t="shared" si="5"/>
        <v>0</v>
      </c>
      <c r="I46" s="668">
        <f t="shared" si="5"/>
        <v>0</v>
      </c>
      <c r="J46" s="668">
        <f t="shared" si="5"/>
        <v>0</v>
      </c>
      <c r="K46" s="668">
        <f t="shared" si="5"/>
        <v>803.84235276989875</v>
      </c>
      <c r="L46" s="668">
        <f t="shared" si="5"/>
        <v>0</v>
      </c>
      <c r="M46" s="668">
        <f t="shared" ca="1" si="5"/>
        <v>0</v>
      </c>
      <c r="N46" s="668">
        <f t="shared" si="5"/>
        <v>0</v>
      </c>
      <c r="O46" s="668">
        <f t="shared" ca="1" si="5"/>
        <v>0</v>
      </c>
      <c r="P46" s="668">
        <f t="shared" si="5"/>
        <v>0</v>
      </c>
      <c r="Q46" s="668">
        <f t="shared" si="5"/>
        <v>0</v>
      </c>
      <c r="R46" s="668">
        <f ca="1">SUM(R39:R45)</f>
        <v>100131.26775125762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4.2766600304893059</v>
      </c>
      <c r="D49" s="635">
        <f ca="1">transport!C58</f>
        <v>0</v>
      </c>
      <c r="E49" s="635">
        <f>transport!D58</f>
        <v>0</v>
      </c>
      <c r="F49" s="635">
        <f>transport!E58</f>
        <v>0</v>
      </c>
      <c r="G49" s="635">
        <f>transport!F58</f>
        <v>0</v>
      </c>
      <c r="H49" s="635">
        <f>transport!G58</f>
        <v>1403.9181068011972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1408.1947668316864</v>
      </c>
    </row>
    <row r="50" spans="1:18">
      <c r="A50" s="765" t="s">
        <v>296</v>
      </c>
      <c r="B50" s="775"/>
      <c r="C50" s="930">
        <f ca="1">transport!B18</f>
        <v>0.68153056637331422</v>
      </c>
      <c r="D50" s="930">
        <f>transport!C18</f>
        <v>0</v>
      </c>
      <c r="E50" s="930">
        <f>transport!D18</f>
        <v>2.6231948385290416</v>
      </c>
      <c r="F50" s="930">
        <f>transport!E18</f>
        <v>327.39931872739015</v>
      </c>
      <c r="G50" s="930">
        <f>transport!F18</f>
        <v>0</v>
      </c>
      <c r="H50" s="930">
        <f>transport!G18</f>
        <v>71828.466584031892</v>
      </c>
      <c r="I50" s="930">
        <f>transport!H18</f>
        <v>11360.633422163817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83519.804050328006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4.9581905968626199</v>
      </c>
      <c r="D52" s="668">
        <f t="shared" ref="D52:Q52" ca="1" si="6">SUM(D48:D51)</f>
        <v>0</v>
      </c>
      <c r="E52" s="668">
        <f t="shared" si="6"/>
        <v>2.6231948385290416</v>
      </c>
      <c r="F52" s="668">
        <f t="shared" si="6"/>
        <v>327.39931872739015</v>
      </c>
      <c r="G52" s="668">
        <f t="shared" si="6"/>
        <v>0</v>
      </c>
      <c r="H52" s="668">
        <f t="shared" si="6"/>
        <v>73232.384690833089</v>
      </c>
      <c r="I52" s="668">
        <f t="shared" si="6"/>
        <v>11360.633422163817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84927.998817159692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180.89486598599126</v>
      </c>
      <c r="D54" s="930">
        <f ca="1">+landbouw!C12</f>
        <v>0</v>
      </c>
      <c r="E54" s="930">
        <f>+landbouw!D12</f>
        <v>205.51346590705845</v>
      </c>
      <c r="F54" s="930">
        <f>+landbouw!E12</f>
        <v>2.0971248063564767</v>
      </c>
      <c r="G54" s="930">
        <f>+landbouw!F12</f>
        <v>1025.6778122087626</v>
      </c>
      <c r="H54" s="930">
        <f>+landbouw!G12</f>
        <v>0</v>
      </c>
      <c r="I54" s="930">
        <f>+landbouw!H12</f>
        <v>0</v>
      </c>
      <c r="J54" s="930">
        <f>+landbouw!I12</f>
        <v>0</v>
      </c>
      <c r="K54" s="930">
        <f>+landbouw!J12</f>
        <v>36.726411558315291</v>
      </c>
      <c r="L54" s="930">
        <f>+landbouw!K12</f>
        <v>0</v>
      </c>
      <c r="M54" s="930">
        <f>+landbouw!L12</f>
        <v>0</v>
      </c>
      <c r="N54" s="930">
        <f>+landbouw!M12</f>
        <v>0</v>
      </c>
      <c r="O54" s="930">
        <f>+landbouw!N12</f>
        <v>0</v>
      </c>
      <c r="P54" s="930">
        <f>+landbouw!O12</f>
        <v>0</v>
      </c>
      <c r="Q54" s="931">
        <f>+landbouw!P12</f>
        <v>0</v>
      </c>
      <c r="R54" s="667">
        <f ca="1">SUM(C54:Q54)</f>
        <v>1450.9096804664841</v>
      </c>
    </row>
    <row r="55" spans="1:18" ht="15" thickBot="1">
      <c r="A55" s="765" t="s">
        <v>864</v>
      </c>
      <c r="B55" s="775"/>
      <c r="C55" s="930">
        <f ca="1">C25*'EF ele_warmte'!B12</f>
        <v>459.96123198025572</v>
      </c>
      <c r="D55" s="930"/>
      <c r="E55" s="930">
        <f>E25*EF_CO2_aardgas</f>
        <v>1381.7682522011296</v>
      </c>
      <c r="F55" s="930"/>
      <c r="G55" s="930"/>
      <c r="H55" s="930"/>
      <c r="I55" s="930"/>
      <c r="J55" s="930"/>
      <c r="K55" s="930"/>
      <c r="L55" s="930"/>
      <c r="M55" s="930"/>
      <c r="N55" s="930"/>
      <c r="O55" s="930"/>
      <c r="P55" s="930"/>
      <c r="Q55" s="931"/>
      <c r="R55" s="667">
        <f ca="1">SUM(C55:Q55)</f>
        <v>1841.7294841813853</v>
      </c>
    </row>
    <row r="56" spans="1:18" ht="15.75" thickBot="1">
      <c r="A56" s="763" t="s">
        <v>865</v>
      </c>
      <c r="B56" s="776"/>
      <c r="C56" s="668">
        <f ca="1">SUM(C54:C55)</f>
        <v>640.85609796624703</v>
      </c>
      <c r="D56" s="668">
        <f t="shared" ref="D56:Q56" ca="1" si="7">SUM(D54:D55)</f>
        <v>0</v>
      </c>
      <c r="E56" s="668">
        <f t="shared" si="7"/>
        <v>1587.281718108188</v>
      </c>
      <c r="F56" s="668">
        <f t="shared" si="7"/>
        <v>2.0971248063564767</v>
      </c>
      <c r="G56" s="668">
        <f t="shared" si="7"/>
        <v>1025.6778122087626</v>
      </c>
      <c r="H56" s="668">
        <f t="shared" si="7"/>
        <v>0</v>
      </c>
      <c r="I56" s="668">
        <f t="shared" si="7"/>
        <v>0</v>
      </c>
      <c r="J56" s="668">
        <f t="shared" si="7"/>
        <v>0</v>
      </c>
      <c r="K56" s="668">
        <f t="shared" si="7"/>
        <v>36.726411558315291</v>
      </c>
      <c r="L56" s="668">
        <f t="shared" si="7"/>
        <v>0</v>
      </c>
      <c r="M56" s="668">
        <f t="shared" si="7"/>
        <v>0</v>
      </c>
      <c r="N56" s="668">
        <f t="shared" si="7"/>
        <v>0</v>
      </c>
      <c r="O56" s="668">
        <f t="shared" si="7"/>
        <v>0</v>
      </c>
      <c r="P56" s="668">
        <f t="shared" si="7"/>
        <v>0</v>
      </c>
      <c r="Q56" s="669">
        <f t="shared" si="7"/>
        <v>0</v>
      </c>
      <c r="R56" s="670">
        <f ca="1">SUM(R54:R55)</f>
        <v>3292.6391646478696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28619.894372602525</v>
      </c>
      <c r="D61" s="676">
        <f t="shared" ref="D61:Q61" ca="1" si="8">D46+D52+D56</f>
        <v>0</v>
      </c>
      <c r="E61" s="676">
        <f t="shared" ca="1" si="8"/>
        <v>40695.440215836563</v>
      </c>
      <c r="F61" s="676">
        <f t="shared" si="8"/>
        <v>1329.7135721083437</v>
      </c>
      <c r="G61" s="676">
        <f t="shared" ca="1" si="8"/>
        <v>32273.270695192638</v>
      </c>
      <c r="H61" s="676">
        <f t="shared" si="8"/>
        <v>73232.384690833089</v>
      </c>
      <c r="I61" s="676">
        <f t="shared" si="8"/>
        <v>11360.633422163817</v>
      </c>
      <c r="J61" s="676">
        <f t="shared" si="8"/>
        <v>0</v>
      </c>
      <c r="K61" s="676">
        <f t="shared" si="8"/>
        <v>840.568764328214</v>
      </c>
      <c r="L61" s="676">
        <f t="shared" si="8"/>
        <v>0</v>
      </c>
      <c r="M61" s="676">
        <f t="shared" ca="1" si="8"/>
        <v>0</v>
      </c>
      <c r="N61" s="676">
        <f t="shared" si="8"/>
        <v>0</v>
      </c>
      <c r="O61" s="676">
        <f t="shared" ca="1" si="8"/>
        <v>0</v>
      </c>
      <c r="P61" s="676">
        <f t="shared" si="8"/>
        <v>0</v>
      </c>
      <c r="Q61" s="676">
        <f t="shared" si="8"/>
        <v>0</v>
      </c>
      <c r="R61" s="676">
        <f ca="1">R46+R52+R56</f>
        <v>188351.90573306518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0.17644679322803347</v>
      </c>
      <c r="D63" s="720">
        <f t="shared" ca="1" si="9"/>
        <v>0</v>
      </c>
      <c r="E63" s="932">
        <f t="shared" ca="1" si="9"/>
        <v>0.20200000000000007</v>
      </c>
      <c r="F63" s="720">
        <f t="shared" si="9"/>
        <v>0.22700000000000004</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4889.4879092421024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27810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69525</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32699.487909242103</v>
      </c>
      <c r="C78" s="691">
        <f>SUM(C72:C77)</f>
        <v>0</v>
      </c>
      <c r="D78" s="692">
        <f t="shared" ref="D78:H78" si="10">SUM(D76:D77)</f>
        <v>0</v>
      </c>
      <c r="E78" s="692">
        <f t="shared" si="10"/>
        <v>0</v>
      </c>
      <c r="F78" s="692">
        <f t="shared" si="10"/>
        <v>0</v>
      </c>
      <c r="G78" s="692">
        <f t="shared" si="10"/>
        <v>0</v>
      </c>
      <c r="H78" s="692">
        <f t="shared" si="10"/>
        <v>0</v>
      </c>
      <c r="I78" s="692">
        <f>SUM(I76:I77)</f>
        <v>69525</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52747.913932075273</v>
      </c>
      <c r="C4" s="445">
        <f>huishoudens!C8</f>
        <v>0</v>
      </c>
      <c r="D4" s="445">
        <f>huishoudens!D8</f>
        <v>106951.95257343964</v>
      </c>
      <c r="E4" s="445">
        <f>huishoudens!E8</f>
        <v>2881.5705206457174</v>
      </c>
      <c r="F4" s="445">
        <f>huishoudens!F8</f>
        <v>98360.668220555468</v>
      </c>
      <c r="G4" s="445">
        <f>huishoudens!G8</f>
        <v>0</v>
      </c>
      <c r="H4" s="445">
        <f>huishoudens!H8</f>
        <v>0</v>
      </c>
      <c r="I4" s="445">
        <f>huishoudens!I8</f>
        <v>0</v>
      </c>
      <c r="J4" s="445">
        <f>huishoudens!J8</f>
        <v>2214.8328757854601</v>
      </c>
      <c r="K4" s="445">
        <f>huishoudens!K8</f>
        <v>0</v>
      </c>
      <c r="L4" s="445">
        <f>huishoudens!L8</f>
        <v>0</v>
      </c>
      <c r="M4" s="445">
        <f>huishoudens!M8</f>
        <v>0</v>
      </c>
      <c r="N4" s="445">
        <f>huishoudens!N8</f>
        <v>15486.885071519246</v>
      </c>
      <c r="O4" s="445">
        <f>huishoudens!O8</f>
        <v>84.42</v>
      </c>
      <c r="P4" s="446">
        <f>huishoudens!P8</f>
        <v>552.93333333333339</v>
      </c>
      <c r="Q4" s="447">
        <f>SUM(B4:P4)</f>
        <v>279281.17652735411</v>
      </c>
    </row>
    <row r="5" spans="1:17">
      <c r="A5" s="444" t="s">
        <v>149</v>
      </c>
      <c r="B5" s="445">
        <f ca="1">tertiair!B16</f>
        <v>92366.863218480037</v>
      </c>
      <c r="C5" s="445">
        <f ca="1">tertiair!C16</f>
        <v>0</v>
      </c>
      <c r="D5" s="445">
        <f ca="1">tertiair!D16</f>
        <v>75048.892119440425</v>
      </c>
      <c r="E5" s="445">
        <f>tertiair!E16</f>
        <v>1408.9257836529264</v>
      </c>
      <c r="F5" s="445">
        <f ca="1">tertiair!F16</f>
        <v>15690.003549653686</v>
      </c>
      <c r="G5" s="445">
        <f>tertiair!G16</f>
        <v>0</v>
      </c>
      <c r="H5" s="445">
        <f>tertiair!H16</f>
        <v>0</v>
      </c>
      <c r="I5" s="445">
        <f>tertiair!I16</f>
        <v>0</v>
      </c>
      <c r="J5" s="445">
        <f>tertiair!J16</f>
        <v>0</v>
      </c>
      <c r="K5" s="445">
        <f>tertiair!K16</f>
        <v>0</v>
      </c>
      <c r="L5" s="445">
        <f ca="1">tertiair!L16</f>
        <v>0</v>
      </c>
      <c r="M5" s="445">
        <f>tertiair!M16</f>
        <v>0</v>
      </c>
      <c r="N5" s="445">
        <f ca="1">tertiair!N16</f>
        <v>1395.9262875604145</v>
      </c>
      <c r="O5" s="445">
        <f>tertiair!O16</f>
        <v>3.1266666666666669</v>
      </c>
      <c r="P5" s="446">
        <f>tertiair!P16</f>
        <v>0</v>
      </c>
      <c r="Q5" s="444">
        <f t="shared" ref="Q5:Q14" ca="1" si="0">SUM(B5:P5)</f>
        <v>185913.73762545415</v>
      </c>
    </row>
    <row r="6" spans="1:17">
      <c r="A6" s="444" t="s">
        <v>187</v>
      </c>
      <c r="B6" s="445">
        <f>'openbare verlichting'!B8</f>
        <v>2038.8230000000001</v>
      </c>
      <c r="C6" s="445"/>
      <c r="D6" s="445"/>
      <c r="E6" s="445"/>
      <c r="F6" s="445"/>
      <c r="G6" s="445"/>
      <c r="H6" s="445"/>
      <c r="I6" s="445"/>
      <c r="J6" s="445"/>
      <c r="K6" s="445"/>
      <c r="L6" s="445"/>
      <c r="M6" s="445"/>
      <c r="N6" s="445"/>
      <c r="O6" s="445"/>
      <c r="P6" s="446"/>
      <c r="Q6" s="444">
        <f t="shared" si="0"/>
        <v>2038.8230000000001</v>
      </c>
    </row>
    <row r="7" spans="1:17">
      <c r="A7" s="444" t="s">
        <v>105</v>
      </c>
      <c r="B7" s="445">
        <f>landbouw!B8</f>
        <v>1025.2091447885325</v>
      </c>
      <c r="C7" s="445">
        <f>landbouw!C8</f>
        <v>0</v>
      </c>
      <c r="D7" s="445">
        <f>landbouw!D8</f>
        <v>1017.3933955794972</v>
      </c>
      <c r="E7" s="445">
        <f>landbouw!E8</f>
        <v>9.2384352702928485</v>
      </c>
      <c r="F7" s="445">
        <f>landbouw!F8</f>
        <v>3841.4899333661519</v>
      </c>
      <c r="G7" s="445">
        <f>landbouw!G8</f>
        <v>0</v>
      </c>
      <c r="H7" s="445">
        <f>landbouw!H8</f>
        <v>0</v>
      </c>
      <c r="I7" s="445">
        <f>landbouw!I8</f>
        <v>0</v>
      </c>
      <c r="J7" s="445">
        <f>landbouw!J8</f>
        <v>103.7469253059754</v>
      </c>
      <c r="K7" s="445">
        <f>landbouw!K8</f>
        <v>0</v>
      </c>
      <c r="L7" s="445">
        <f>landbouw!L8</f>
        <v>0</v>
      </c>
      <c r="M7" s="445">
        <f>landbouw!M8</f>
        <v>0</v>
      </c>
      <c r="N7" s="445">
        <f>landbouw!N8</f>
        <v>0</v>
      </c>
      <c r="O7" s="445">
        <f>landbouw!O8</f>
        <v>0</v>
      </c>
      <c r="P7" s="446">
        <f>landbouw!P8</f>
        <v>0</v>
      </c>
      <c r="Q7" s="444">
        <f t="shared" si="0"/>
        <v>5997.0778343104503</v>
      </c>
    </row>
    <row r="8" spans="1:17">
      <c r="A8" s="444" t="s">
        <v>613</v>
      </c>
      <c r="B8" s="445">
        <f>industrie!B18</f>
        <v>11387.564425253779</v>
      </c>
      <c r="C8" s="445">
        <f>industrie!C18</f>
        <v>0</v>
      </c>
      <c r="D8" s="445">
        <f>industrie!D18</f>
        <v>11590.914232317147</v>
      </c>
      <c r="E8" s="445">
        <f>industrie!E18</f>
        <v>115.74655285817039</v>
      </c>
      <c r="F8" s="445">
        <f>industrie!F18</f>
        <v>2981.511312127458</v>
      </c>
      <c r="G8" s="445">
        <f>industrie!G18</f>
        <v>0</v>
      </c>
      <c r="H8" s="445">
        <f>industrie!H18</f>
        <v>0</v>
      </c>
      <c r="I8" s="445">
        <f>industrie!I18</f>
        <v>0</v>
      </c>
      <c r="J8" s="445">
        <f>industrie!J18</f>
        <v>55.908233734028272</v>
      </c>
      <c r="K8" s="445">
        <f>industrie!K18</f>
        <v>0</v>
      </c>
      <c r="L8" s="445">
        <f>industrie!L18</f>
        <v>0</v>
      </c>
      <c r="M8" s="445">
        <f>industrie!M18</f>
        <v>0</v>
      </c>
      <c r="N8" s="445">
        <f>industrie!N18</f>
        <v>273.56794479137216</v>
      </c>
      <c r="O8" s="445">
        <f>industrie!O18</f>
        <v>0</v>
      </c>
      <c r="P8" s="446">
        <f>industrie!P18</f>
        <v>0</v>
      </c>
      <c r="Q8" s="444">
        <f t="shared" si="0"/>
        <v>26405.212701081957</v>
      </c>
    </row>
    <row r="9" spans="1:17" s="450" customFormat="1">
      <c r="A9" s="448" t="s">
        <v>555</v>
      </c>
      <c r="B9" s="449">
        <f>transport!B14</f>
        <v>3.8625273596926673</v>
      </c>
      <c r="C9" s="449">
        <f>transport!C14</f>
        <v>0</v>
      </c>
      <c r="D9" s="449">
        <f>transport!D14</f>
        <v>12.986113062024957</v>
      </c>
      <c r="E9" s="449">
        <f>transport!E14</f>
        <v>1442.287747697754</v>
      </c>
      <c r="F9" s="449">
        <f>transport!F14</f>
        <v>0</v>
      </c>
      <c r="G9" s="449">
        <f>transport!G14</f>
        <v>269020.4740974977</v>
      </c>
      <c r="H9" s="449">
        <f>transport!H14</f>
        <v>45625.033823951075</v>
      </c>
      <c r="I9" s="449">
        <f>transport!I14</f>
        <v>0</v>
      </c>
      <c r="J9" s="449">
        <f>transport!J14</f>
        <v>0</v>
      </c>
      <c r="K9" s="449">
        <f>transport!K14</f>
        <v>0</v>
      </c>
      <c r="L9" s="449">
        <f>transport!L14</f>
        <v>0</v>
      </c>
      <c r="M9" s="449">
        <f>transport!M14</f>
        <v>13689.075613077035</v>
      </c>
      <c r="N9" s="449">
        <f>transport!N14</f>
        <v>0</v>
      </c>
      <c r="O9" s="449">
        <f>transport!O14</f>
        <v>0</v>
      </c>
      <c r="P9" s="449">
        <f>transport!P14</f>
        <v>0</v>
      </c>
      <c r="Q9" s="448">
        <f>SUM(B9:P9)</f>
        <v>329793.71992264531</v>
      </c>
    </row>
    <row r="10" spans="1:17">
      <c r="A10" s="444" t="s">
        <v>545</v>
      </c>
      <c r="B10" s="445">
        <f>transport!B54</f>
        <v>24.237675008138595</v>
      </c>
      <c r="C10" s="445">
        <f>transport!C54</f>
        <v>0</v>
      </c>
      <c r="D10" s="445">
        <f>transport!D54</f>
        <v>0</v>
      </c>
      <c r="E10" s="445">
        <f>transport!E54</f>
        <v>0</v>
      </c>
      <c r="F10" s="445">
        <f>transport!F54</f>
        <v>0</v>
      </c>
      <c r="G10" s="445">
        <f>transport!G54</f>
        <v>5258.1202501917496</v>
      </c>
      <c r="H10" s="445">
        <f>transport!H54</f>
        <v>0</v>
      </c>
      <c r="I10" s="445">
        <f>transport!I54</f>
        <v>0</v>
      </c>
      <c r="J10" s="445">
        <f>transport!J54</f>
        <v>0</v>
      </c>
      <c r="K10" s="445">
        <f>transport!K54</f>
        <v>0</v>
      </c>
      <c r="L10" s="445">
        <f>transport!L54</f>
        <v>0</v>
      </c>
      <c r="M10" s="445">
        <f>transport!M54</f>
        <v>225.13251136391193</v>
      </c>
      <c r="N10" s="445">
        <f>transport!N54</f>
        <v>0</v>
      </c>
      <c r="O10" s="445">
        <f>transport!O54</f>
        <v>0</v>
      </c>
      <c r="P10" s="446">
        <f>transport!P54</f>
        <v>0</v>
      </c>
      <c r="Q10" s="444">
        <f t="shared" si="0"/>
        <v>5507.4904365638004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2606.7984776907697</v>
      </c>
      <c r="C14" s="452"/>
      <c r="D14" s="452">
        <f>'SEAP template'!E25</f>
        <v>6840.4368920848001</v>
      </c>
      <c r="E14" s="452"/>
      <c r="F14" s="452"/>
      <c r="G14" s="452"/>
      <c r="H14" s="452"/>
      <c r="I14" s="452"/>
      <c r="J14" s="452"/>
      <c r="K14" s="452"/>
      <c r="L14" s="452"/>
      <c r="M14" s="452"/>
      <c r="N14" s="452"/>
      <c r="O14" s="452"/>
      <c r="P14" s="453"/>
      <c r="Q14" s="444">
        <f t="shared" si="0"/>
        <v>9447.2353697755698</v>
      </c>
    </row>
    <row r="15" spans="1:17" s="457" customFormat="1">
      <c r="A15" s="454" t="s">
        <v>549</v>
      </c>
      <c r="B15" s="455">
        <f ca="1">SUM(B4:B14)</f>
        <v>162201.27240065622</v>
      </c>
      <c r="C15" s="455">
        <f t="shared" ref="C15:Q15" ca="1" si="1">SUM(C4:C14)</f>
        <v>0</v>
      </c>
      <c r="D15" s="455">
        <f t="shared" ca="1" si="1"/>
        <v>201462.57532592354</v>
      </c>
      <c r="E15" s="455">
        <f t="shared" si="1"/>
        <v>5857.769040124861</v>
      </c>
      <c r="F15" s="455">
        <f t="shared" ca="1" si="1"/>
        <v>120873.67301570276</v>
      </c>
      <c r="G15" s="455">
        <f t="shared" si="1"/>
        <v>274278.59434768948</v>
      </c>
      <c r="H15" s="455">
        <f t="shared" si="1"/>
        <v>45625.033823951075</v>
      </c>
      <c r="I15" s="455">
        <f t="shared" si="1"/>
        <v>0</v>
      </c>
      <c r="J15" s="455">
        <f t="shared" si="1"/>
        <v>2374.4880348254637</v>
      </c>
      <c r="K15" s="455">
        <f t="shared" si="1"/>
        <v>0</v>
      </c>
      <c r="L15" s="455">
        <f t="shared" ca="1" si="1"/>
        <v>0</v>
      </c>
      <c r="M15" s="455">
        <f t="shared" si="1"/>
        <v>13914.208124440947</v>
      </c>
      <c r="N15" s="455">
        <f t="shared" ca="1" si="1"/>
        <v>17156.379303871032</v>
      </c>
      <c r="O15" s="455">
        <f t="shared" si="1"/>
        <v>87.546666666666667</v>
      </c>
      <c r="P15" s="455">
        <f t="shared" si="1"/>
        <v>552.93333333333339</v>
      </c>
      <c r="Q15" s="455">
        <f t="shared" ca="1" si="1"/>
        <v>844384.47341718536</v>
      </c>
    </row>
    <row r="17" spans="1:17">
      <c r="A17" s="458" t="s">
        <v>550</v>
      </c>
      <c r="B17" s="725">
        <f ca="1">huishoudens!B10</f>
        <v>0.1764467932280335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9307.2002627829934</v>
      </c>
      <c r="C22" s="445">
        <f t="shared" ref="C22:C32" ca="1" si="3">C4*$C$17</f>
        <v>0</v>
      </c>
      <c r="D22" s="445">
        <f t="shared" ref="D22:D32" si="4">D4*$D$17</f>
        <v>21604.294419834809</v>
      </c>
      <c r="E22" s="445">
        <f t="shared" ref="E22:E32" si="5">E4*$E$17</f>
        <v>654.1165081865779</v>
      </c>
      <c r="F22" s="445">
        <f t="shared" ref="F22:F32" si="6">F4*$F$17</f>
        <v>26262.298414888312</v>
      </c>
      <c r="G22" s="445">
        <f t="shared" ref="G22:G32" si="7">G4*$G$17</f>
        <v>0</v>
      </c>
      <c r="H22" s="445">
        <f t="shared" ref="H22:H32" si="8">H4*$H$17</f>
        <v>0</v>
      </c>
      <c r="I22" s="445">
        <f t="shared" ref="I22:I32" si="9">I4*$I$17</f>
        <v>0</v>
      </c>
      <c r="J22" s="445">
        <f t="shared" ref="J22:J32" si="10">J4*$J$17</f>
        <v>784.05083802805279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58611.960443720745</v>
      </c>
    </row>
    <row r="23" spans="1:17">
      <c r="A23" s="444" t="s">
        <v>149</v>
      </c>
      <c r="B23" s="445">
        <f t="shared" ca="1" si="2"/>
        <v>16297.8368154332</v>
      </c>
      <c r="C23" s="445">
        <f t="shared" ca="1" si="3"/>
        <v>0</v>
      </c>
      <c r="D23" s="445">
        <f t="shared" ca="1" si="4"/>
        <v>15159.876208126967</v>
      </c>
      <c r="E23" s="445">
        <f t="shared" si="5"/>
        <v>319.82615288921431</v>
      </c>
      <c r="F23" s="445">
        <f t="shared" ca="1" si="6"/>
        <v>4189.2309477575345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35966.770124206916</v>
      </c>
    </row>
    <row r="24" spans="1:17">
      <c r="A24" s="444" t="s">
        <v>187</v>
      </c>
      <c r="B24" s="445">
        <f t="shared" ca="1" si="2"/>
        <v>359.74378030955899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359.74378030955899</v>
      </c>
    </row>
    <row r="25" spans="1:17">
      <c r="A25" s="444" t="s">
        <v>105</v>
      </c>
      <c r="B25" s="445">
        <f t="shared" ca="1" si="2"/>
        <v>180.89486598599126</v>
      </c>
      <c r="C25" s="445">
        <f t="shared" ca="1" si="3"/>
        <v>0</v>
      </c>
      <c r="D25" s="445">
        <f t="shared" si="4"/>
        <v>205.51346590705845</v>
      </c>
      <c r="E25" s="445">
        <f t="shared" si="5"/>
        <v>2.0971248063564767</v>
      </c>
      <c r="F25" s="445">
        <f t="shared" si="6"/>
        <v>1025.6778122087626</v>
      </c>
      <c r="G25" s="445">
        <f t="shared" si="7"/>
        <v>0</v>
      </c>
      <c r="H25" s="445">
        <f t="shared" si="8"/>
        <v>0</v>
      </c>
      <c r="I25" s="445">
        <f t="shared" si="9"/>
        <v>0</v>
      </c>
      <c r="J25" s="445">
        <f t="shared" si="10"/>
        <v>36.726411558315291</v>
      </c>
      <c r="K25" s="445">
        <f t="shared" si="11"/>
        <v>0</v>
      </c>
      <c r="L25" s="445">
        <f t="shared" si="12"/>
        <v>0</v>
      </c>
      <c r="M25" s="445">
        <f t="shared" si="13"/>
        <v>0</v>
      </c>
      <c r="N25" s="445">
        <f t="shared" si="14"/>
        <v>0</v>
      </c>
      <c r="O25" s="445">
        <f t="shared" si="15"/>
        <v>0</v>
      </c>
      <c r="P25" s="446">
        <f t="shared" si="16"/>
        <v>0</v>
      </c>
      <c r="Q25" s="444">
        <f t="shared" ca="1" si="17"/>
        <v>1450.9096804664841</v>
      </c>
    </row>
    <row r="26" spans="1:17">
      <c r="A26" s="444" t="s">
        <v>613</v>
      </c>
      <c r="B26" s="445">
        <f t="shared" ca="1" si="2"/>
        <v>2009.2992255136637</v>
      </c>
      <c r="C26" s="445">
        <f t="shared" ca="1" si="3"/>
        <v>0</v>
      </c>
      <c r="D26" s="445">
        <f t="shared" si="4"/>
        <v>2341.3646749280638</v>
      </c>
      <c r="E26" s="445">
        <f t="shared" si="5"/>
        <v>26.274467498804679</v>
      </c>
      <c r="F26" s="445">
        <f t="shared" si="6"/>
        <v>796.06352033803137</v>
      </c>
      <c r="G26" s="445">
        <f t="shared" si="7"/>
        <v>0</v>
      </c>
      <c r="H26" s="445">
        <f t="shared" si="8"/>
        <v>0</v>
      </c>
      <c r="I26" s="445">
        <f t="shared" si="9"/>
        <v>0</v>
      </c>
      <c r="J26" s="445">
        <f t="shared" si="10"/>
        <v>19.791514741846008</v>
      </c>
      <c r="K26" s="445">
        <f t="shared" si="11"/>
        <v>0</v>
      </c>
      <c r="L26" s="445">
        <f t="shared" si="12"/>
        <v>0</v>
      </c>
      <c r="M26" s="445">
        <f t="shared" si="13"/>
        <v>0</v>
      </c>
      <c r="N26" s="445">
        <f t="shared" si="14"/>
        <v>0</v>
      </c>
      <c r="O26" s="445">
        <f t="shared" si="15"/>
        <v>0</v>
      </c>
      <c r="P26" s="446">
        <f t="shared" si="16"/>
        <v>0</v>
      </c>
      <c r="Q26" s="444">
        <f t="shared" ca="1" si="17"/>
        <v>5192.7934030204096</v>
      </c>
    </row>
    <row r="27" spans="1:17" s="450" customFormat="1">
      <c r="A27" s="448" t="s">
        <v>555</v>
      </c>
      <c r="B27" s="719">
        <f t="shared" ca="1" si="2"/>
        <v>0.68153056637331422</v>
      </c>
      <c r="C27" s="449">
        <f t="shared" ca="1" si="3"/>
        <v>0</v>
      </c>
      <c r="D27" s="449">
        <f t="shared" si="4"/>
        <v>2.6231948385290416</v>
      </c>
      <c r="E27" s="449">
        <f t="shared" si="5"/>
        <v>327.39931872739015</v>
      </c>
      <c r="F27" s="449">
        <f t="shared" si="6"/>
        <v>0</v>
      </c>
      <c r="G27" s="449">
        <f t="shared" si="7"/>
        <v>71828.466584031892</v>
      </c>
      <c r="H27" s="449">
        <f t="shared" si="8"/>
        <v>11360.633422163817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83519.804050328006</v>
      </c>
    </row>
    <row r="28" spans="1:17">
      <c r="A28" s="444" t="s">
        <v>545</v>
      </c>
      <c r="B28" s="445">
        <f t="shared" ca="1" si="2"/>
        <v>4.2766600304893059</v>
      </c>
      <c r="C28" s="445">
        <f t="shared" ca="1" si="3"/>
        <v>0</v>
      </c>
      <c r="D28" s="445">
        <f t="shared" si="4"/>
        <v>0</v>
      </c>
      <c r="E28" s="445">
        <f t="shared" si="5"/>
        <v>0</v>
      </c>
      <c r="F28" s="445">
        <f t="shared" si="6"/>
        <v>0</v>
      </c>
      <c r="G28" s="445">
        <f t="shared" si="7"/>
        <v>1403.9181068011972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1408.1947668316864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459.96123198025572</v>
      </c>
      <c r="C32" s="445">
        <f t="shared" ca="1" si="3"/>
        <v>0</v>
      </c>
      <c r="D32" s="445">
        <f t="shared" si="4"/>
        <v>1381.7682522011296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1841.7294841813853</v>
      </c>
    </row>
    <row r="33" spans="1:17" s="457" customFormat="1">
      <c r="A33" s="454" t="s">
        <v>549</v>
      </c>
      <c r="B33" s="455">
        <f ca="1">SUM(B22:B32)</f>
        <v>28619.894372602525</v>
      </c>
      <c r="C33" s="455">
        <f t="shared" ref="C33:Q33" ca="1" si="19">SUM(C22:C32)</f>
        <v>0</v>
      </c>
      <c r="D33" s="455">
        <f t="shared" ca="1" si="19"/>
        <v>40695.44021583657</v>
      </c>
      <c r="E33" s="455">
        <f t="shared" si="19"/>
        <v>1329.7135721083437</v>
      </c>
      <c r="F33" s="455">
        <f t="shared" ca="1" si="19"/>
        <v>32273.270695192638</v>
      </c>
      <c r="G33" s="455">
        <f t="shared" si="19"/>
        <v>73232.384690833089</v>
      </c>
      <c r="H33" s="455">
        <f t="shared" si="19"/>
        <v>11360.633422163817</v>
      </c>
      <c r="I33" s="455">
        <f t="shared" si="19"/>
        <v>0</v>
      </c>
      <c r="J33" s="455">
        <f t="shared" si="19"/>
        <v>840.568764328214</v>
      </c>
      <c r="K33" s="455">
        <f t="shared" si="19"/>
        <v>0</v>
      </c>
      <c r="L33" s="455">
        <f t="shared" ca="1" si="19"/>
        <v>0</v>
      </c>
      <c r="M33" s="455">
        <f t="shared" si="19"/>
        <v>0</v>
      </c>
      <c r="N33" s="455">
        <f t="shared" ca="1" si="19"/>
        <v>0</v>
      </c>
      <c r="O33" s="455">
        <f t="shared" si="19"/>
        <v>0</v>
      </c>
      <c r="P33" s="455">
        <f t="shared" si="19"/>
        <v>0</v>
      </c>
      <c r="Q33" s="455">
        <f t="shared" ca="1" si="19"/>
        <v>188351.90573306521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4889.4879092421024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27810</v>
      </c>
      <c r="C9" s="963">
        <f>'SEAP template'!C77</f>
        <v>0</v>
      </c>
      <c r="D9" s="963">
        <f>'SEAP template'!D77</f>
        <v>0</v>
      </c>
      <c r="E9" s="963">
        <f>'SEAP template'!E77</f>
        <v>0</v>
      </c>
      <c r="F9" s="963">
        <f>'SEAP template'!F77</f>
        <v>0</v>
      </c>
      <c r="G9" s="963">
        <f>'SEAP template'!G77</f>
        <v>0</v>
      </c>
      <c r="H9" s="963">
        <f>'SEAP template'!H77</f>
        <v>0</v>
      </c>
      <c r="I9" s="963">
        <f>'SEAP template'!I77</f>
        <v>69525</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32699.487909242103</v>
      </c>
      <c r="C10" s="967">
        <f>SUM(C4:C9)</f>
        <v>0</v>
      </c>
      <c r="D10" s="967">
        <f t="shared" ref="D10:H10" si="0">SUM(D8:D9)</f>
        <v>0</v>
      </c>
      <c r="E10" s="967">
        <f t="shared" si="0"/>
        <v>0</v>
      </c>
      <c r="F10" s="967">
        <f t="shared" si="0"/>
        <v>0</v>
      </c>
      <c r="G10" s="967">
        <f t="shared" si="0"/>
        <v>0</v>
      </c>
      <c r="H10" s="967">
        <f t="shared" si="0"/>
        <v>0</v>
      </c>
      <c r="I10" s="967">
        <f>SUM(I8:I9)</f>
        <v>69525</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0.1764467932280335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0.1764467932280335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2022-07-26T12:48:02Z</dcterms:modified>
</cp:coreProperties>
</file>