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DD0672A8-05E2-4CC6-B5AA-2AD8193D6B6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<sst xmlns="http://schemas.openxmlformats.org/spreadsheetml/2006/main" count="2513" uniqueCount="962">
  <si>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</si>
  <si>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</si>
  <si>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</si>
  <si>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</si>
  <si>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</si>
  <si>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</si>
  <si>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</si>
  <si>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</si>
  <si>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</si>
  <si>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</si>
  <si>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</si>
  <si>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</si>
  <si>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</si>
  <si>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</si>
  <si>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</si>
  <si>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</si>
  <si>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</si>
  <si>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</si>
  <si>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</si>
  <si>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</si>
  <si>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</si>
  <si>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</si>
  <si>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</si>
  <si>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</si>
  <si>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</si>
  <si>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</si>
  <si>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</si>
  <si>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</si>
  <si>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</si>
  <si>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</si>
  <si>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</si>
  <si>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</si>
  <si>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</si>
  <si>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</si>
  <si>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</si>
  <si>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</si>
  <si>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</si>
  <si>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</si>
  <si>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</si>
  <si>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</si>
  <si>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</si>
  <si>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</si>
  <si>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</si>
  <si>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</si>
  <si>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</si>
  <si>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</si>
  <si>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</si>
  <si>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</si>
  <si>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</si>
  <si>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</si>
  <si>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</si>
  <si>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</si>
  <si>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</si>
  <si>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</si>
  <si>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</si>
  <si>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</si>
  <si>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</si>
  <si>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</si>
  <si>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</si>
  <si>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</si>
  <si>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</si>
  <si>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</si>
  <si>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</si>
  <si>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</si>
  <si>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</si>
  <si>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</si>
  <si>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</si>
  <si>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</si>
  <si>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</si>
  <si>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</si>
  <si>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</si>
  <si>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</si>
  <si>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</si>
  <si>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</si>
  <si>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</si>
  <si>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</si>
  <si>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</si>
  <si>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</si>
  <si>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</si>
  <si>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</si>
  <si>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</si>
  <si>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</si>
  <si>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</si>
  <si>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</si>
  <si>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</si>
  <si>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</si>
  <si>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</si>
  <si>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</si>
  <si>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</si>
  <si>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</si>
  <si>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</si>
  <si>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</si>
  <si>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</si>
  <si>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</si>
  <si>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</si>
  <si>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</si>
  <si>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</si>
  <si>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</si>
  <si>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</si>
  <si>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</si>
  <si>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</si>
  <si>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</si>
  <si>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</si>
  <si>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</si>
  <si>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</si>
  <si>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</si>
  <si>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</si>
  <si>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</si>
  <si>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</si>
  <si>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</si>
  <si>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</si>
  <si>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</si>
  <si>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</si>
  <si>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</si>
  <si>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</si>
  <si>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</si>
  <si>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</si>
  <si>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</si>
  <si>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</si>
  <si>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</si>
  <si>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</si>
  <si>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</si>
  <si>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</si>
  <si>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</si>
  <si>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</si>
  <si>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</si>
  <si>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</si>
  <si>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</si>
  <si>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</si>
  <si>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</si>
  <si>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</si>
  <si>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</si>
  <si>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</si>
  <si>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</si>
  <si>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</si>
  <si>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</si>
  <si>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</si>
  <si>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</si>
  <si>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</si>
  <si>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</si>
  <si>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</si>
  <si>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</si>
  <si>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</si>
  <si>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</si>
  <si>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</si>
  <si>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</si>
  <si>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</si>
  <si>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</si>
  <si>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</si>
  <si>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</si>
  <si>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</si>
  <si>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</si>
  <si>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</si>
  <si>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</si>
  <si>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</si>
  <si>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</si>
  <si>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</si>
  <si>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</si>
  <si>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</si>
  <si>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</si>
  <si>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</si>
  <si>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</si>
  <si>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</si>
  <si>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</si>
  <si>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</si>
  <si>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</si>
  <si>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</si>
  <si>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</si>
  <si>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</si>
  <si>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</si>
  <si>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</si>
  <si>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</si>
  <si>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</si>
  <si>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</si>
  <si>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</si>
  <si>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</si>
  <si>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</si>
  <si>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</si>
  <si>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</si>
  <si>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</si>
  <si>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</si>
  <si>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</si>
  <si>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</si>
  <si>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</si>
  <si>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</si>
  <si>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</si>
  <si>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</si>
  <si>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</si>
  <si>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</si>
  <si>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</si>
  <si>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</si>
  <si>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</si>
  <si>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</si>
  <si>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</si>
  <si>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</si>
  <si>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</si>
  <si>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</si>
  <si>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</si>
  <si>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</si>
  <si>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</si>
  <si>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</si>
  <si>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</si>
  <si>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</si>
  <si>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</si>
  <si>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</si>
  <si>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</si>
  <si>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</si>
  <si>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</si>
  <si>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</si>
  <si>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</si>
  <si>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</si>
  <si>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</si>
  <si>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</si>
  <si>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</si>
  <si>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</si>
  <si>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</si>
  <si>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</si>
  <si>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</si>
  <si>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</si>
  <si>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</si>
  <si>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</si>
  <si>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</si>
  <si>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</si>
  <si>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</si>
  <si>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</si>
  <si>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</si>
  <si>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</si>
  <si>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</si>
  <si>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</si>
  <si>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</si>
  <si>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</si>
  <si>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</si>
  <si>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</si>
  <si>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</si>
  <si>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</si>
  <si>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</si>
  <si>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</si>
  <si>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</si>
  <si>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</si>
  <si>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</si>
  <si>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</si>
  <si>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</si>
  <si>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</si>
  <si>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</si>
  <si>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</si>
  <si>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</si>
  <si>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</si>
  <si>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</si>
  <si>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</si>
  <si>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</si>
  <si>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</si>
  <si>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</si>
  <si>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</si>
  <si>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</si>
  <si>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</si>
  <si>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</si>
  <si>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</si>
  <si>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</si>
  <si>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</si>
  <si>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</si>
  <si>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</si>
  <si>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</si>
  <si>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</si>
  <si>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</si>
  <si>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</si>
  <si>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</si>
  <si>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</si>
  <si>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</si>
  <si>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</si>
  <si>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</si>
  <si>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</si>
  <si>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</si>
  <si>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</si>
  <si>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</si>
  <si>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</si>
  <si>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</si>
  <si>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</si>
  <si>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</si>
  <si>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</si>
  <si>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</si>
  <si>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</si>
  <si>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</si>
  <si>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</si>
  <si>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</si>
  <si>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</si>
  <si>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</si>
  <si>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</si>
  <si>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</si>
  <si>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</si>
  <si>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</si>
  <si>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</si>
  <si>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</si>
  <si>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</si>
  <si>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</si>
  <si>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</si>
  <si>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</si>
  <si>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</si>
  <si>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</si>
  <si>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</si>
  <si>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</si>
  <si>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</si>
  <si>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</si>
  <si>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</si>
  <si>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</si>
  <si>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</si>
  <si>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</si>
  <si>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</si>
  <si>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</si>
  <si>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</si>
  <si>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</si>
  <si>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</si>
  <si>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</si>
  <si>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</si>
  <si>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</si>
  <si>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</si>
  <si>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</si>
  <si>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</si>
  <si>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</si>
  <si>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</si>
  <si>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</si>
  <si>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</si>
  <si>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</si>
  <si>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</si>
  <si>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</si>
  <si>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</si>
  <si>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</si>
  <si>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</si>
  <si>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</si>
  <si>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</si>
  <si>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</si>
  <si>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</si>
  <si>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</si>
  <si>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</si>
  <si>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</si>
  <si>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</si>
  <si>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</si>
  <si>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</si>
  <si>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</si>
  <si>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</si>
  <si>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</si>
  <si>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</si>
  <si>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</si>
  <si>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</si>
  <si>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</si>
  <si>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</si>
  <si>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</si>
  <si>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</si>
  <si>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</si>
  <si>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</si>
  <si>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</si>
  <si>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</si>
  <si>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</si>
  <si>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</si>
  <si>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</si>
  <si>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</si>
  <si>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</si>
  <si>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</si>
  <si>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</si>
  <si>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</si>
  <si>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</si>
  <si>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</si>
  <si>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</si>
  <si>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</si>
  <si>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</si>
  <si>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</si>
  <si>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</si>
  <si>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</si>
  <si>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</si>
  <si>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</si>
  <si>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</si>
  <si>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</si>
  <si>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</si>
  <si>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</si>
  <si>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</si>
  <si>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</si>
  <si>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</si>
  <si>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</si>
  <si>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</si>
  <si>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</si>
  <si>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</si>
  <si>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</si>
  <si>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</si>
  <si>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</si>
  <si>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</si>
  <si>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</si>
  <si>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</si>
  <si>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</si>
  <si>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</si>
  <si>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</si>
  <si>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</si>
  <si>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</si>
  <si>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</si>
  <si>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</si>
  <si>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</si>
  <si>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</si>
  <si>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</si>
  <si>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</si>
  <si>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</si>
  <si>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</si>
  <si>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</si>
  <si>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</si>
  <si>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</si>
  <si>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</si>
  <si>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</si>
  <si>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</si>
  <si>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</si>
  <si>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</si>
  <si>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</si>
  <si>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</si>
  <si>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</si>
  <si>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</si>
  <si>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</si>
  <si>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</si>
  <si>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</si>
  <si>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</si>
  <si>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</si>
  <si>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</si>
  <si>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</si>
  <si>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</si>
  <si>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</si>
  <si>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</si>
  <si>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</si>
  <si>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</si>
  <si>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</si>
  <si>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</si>
  <si>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</si>
  <si>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</si>
  <si>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</si>
  <si>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</si>
  <si>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</si>
  <si>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</si>
  <si>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</si>
  <si>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</si>
  <si>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</si>
  <si>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</si>
  <si>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</si>
  <si>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</si>
  <si>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</si>
  <si>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</si>
  <si>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</si>
  <si>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</si>
  <si>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</si>
  <si>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</si>
  <si>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</si>
  <si>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</si>
  <si>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</si>
  <si>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</si>
  <si>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</si>
  <si>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</si>
  <si>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</si>
  <si>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</si>
  <si>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</si>
  <si>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</si>
  <si>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</si>
  <si>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</si>
  <si>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</si>
  <si>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</si>
  <si>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</si>
  <si>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</si>
  <si>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</si>
  <si>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</si>
  <si>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</si>
  <si>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</si>
  <si>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</si>
  <si>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</si>
  <si>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</si>
  <si>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</si>
  <si>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</si>
  <si>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</si>
  <si>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</si>
  <si>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</si>
  <si>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</si>
  <si>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</si>
  <si>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</si>
  <si>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</si>
  <si>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</si>
  <si>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</si>
  <si>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</si>
  <si>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</si>
  <si>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</si>
  <si>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</si>
  <si>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</si>
  <si>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</si>
  <si>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</si>
  <si>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</si>
  <si>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</si>
  <si>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</si>
  <si>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</si>
  <si>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</si>
  <si>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</si>
  <si>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</si>
  <si>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</si>
  <si>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</si>
  <si>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</si>
  <si>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</si>
  <si>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</si>
  <si>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</si>
  <si>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</si>
  <si>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</si>
  <si>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</si>
  <si>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</si>
  <si>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</si>
  <si>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</si>
  <si>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</si>
  <si>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</si>
  <si>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</si>
  <si>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</si>
  <si>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</si>
  <si>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</si>
  <si>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</si>
  <si>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</si>
  <si>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</si>
  <si>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</si>
  <si>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</si>
  <si>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</si>
  <si>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</si>
  <si>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</si>
  <si>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</si>
  <si>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</si>
  <si>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</si>
  <si>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</si>
  <si>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</si>
  <si>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</si>
  <si>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</si>
  <si>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</si>
  <si>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</si>
  <si>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</si>
  <si>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</si>
  <si>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</si>
  <si>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</si>
  <si>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</si>
  <si>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</si>
  <si>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</si>
  <si>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</si>
  <si>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</si>
  <si>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</si>
  <si>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</si>
  <si>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</si>
  <si>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</si>
  <si>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</si>
  <si>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</si>
  <si>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</si>
  <si>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</si>
  <si>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</si>
  <si>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</si>
  <si>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</si>
  <si>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</si>
  <si>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</si>
  <si>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</si>
  <si>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</si>
  <si>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</si>
  <si>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</si>
  <si>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</si>
  <si>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</si>
  <si>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</si>
  <si>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</si>
  <si>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</si>
  <si>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</si>
  <si>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</si>
  <si>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</si>
  <si>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</si>
  <si>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</si>
  <si>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</si>
  <si>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</si>
  <si>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</si>
  <si>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</si>
  <si>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</si>
  <si>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</si>
  <si>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</si>
  <si>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</si>
  <si>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</si>
  <si>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</si>
  <si>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</si>
  <si>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</si>
  <si>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</si>
  <si>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</si>
  <si>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</si>
  <si>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</si>
  <si>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</si>
  <si>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</si>
  <si>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</si>
  <si>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</si>
  <si>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</si>
  <si>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</si>
  <si>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</si>
  <si>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</si>
  <si>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</si>
  <si>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</si>
  <si>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</si>
  <si>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</si>
  <si>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</si>
  <si>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</si>
  <si>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</si>
  <si>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</si>
  <si>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</si>
  <si>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</si>
  <si>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</si>
  <si>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</si>
  <si>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</si>
  <si>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</si>
  <si>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</si>
  <si>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</si>
  <si>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</si>
  <si>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</si>
  <si>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</si>
  <si>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</si>
  <si>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</si>
  <si>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</si>
  <si>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</si>
  <si>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</si>
  <si>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</si>
  <si>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</si>
  <si>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</si>
  <si>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</si>
  <si>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</si>
  <si>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</si>
  <si>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</si>
  <si>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</si>
  <si>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</si>
  <si>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</si>
  <si>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</si>
  <si>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</si>
  <si>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</si>
  <si>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</si>
  <si>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</si>
  <si>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</si>
  <si>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</si>
  <si>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</si>
  <si>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</si>
  <si>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</si>
  <si>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</si>
  <si>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</si>
  <si>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</si>
  <si>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</si>
  <si>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</si>
  <si>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</si>
  <si>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</si>
  <si>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</si>
  <si>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</si>
  <si>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</si>
  <si>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</si>
  <si>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</si>
  <si>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</si>
  <si>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</si>
  <si>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</si>
  <si>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</si>
  <si>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</si>
  <si>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</si>
  <si>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</si>
  <si>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</si>
  <si>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</si>
  <si>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</si>
  <si>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</si>
  <si>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</si>
  <si>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</si>
  <si>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</si>
  <si>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</si>
  <si>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</si>
  <si>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</si>
  <si>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</si>
  <si>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</si>
  <si>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</si>
  <si>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</si>
  <si>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</si>
  <si>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</si>
  <si>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</si>
  <si>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</si>
  <si>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</si>
  <si>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</si>
  <si>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</si>
  <si>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</si>
  <si>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</si>
  <si>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</si>
  <si>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</si>
  <si>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</si>
  <si>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</si>
  <si>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</si>
  <si>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</si>
  <si>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</si>
  <si>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</si>
  <si>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</si>
  <si>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</si>
  <si>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</si>
  <si>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</si>
  <si>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</si>
  <si>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</si>
  <si>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</si>
  <si>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</si>
  <si>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</si>
  <si>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</si>
  <si>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</si>
  <si>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</si>
  <si>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</si>
  <si>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</si>
  <si>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</si>
  <si>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</si>
  <si>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</si>
  <si>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</si>
  <si>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</si>
  <si>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</si>
  <si>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</si>
  <si>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</si>
  <si>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</si>
  <si>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</si>
  <si>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</si>
  <si>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</si>
  <si>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</si>
  <si>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</si>
  <si>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</si>
  <si>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</si>
  <si>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</si>
  <si>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</si>
  <si>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</si>
  <si>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</si>
  <si>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</si>
  <si>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</si>
  <si>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</si>
  <si>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</si>
  <si>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</si>
  <si>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</si>
  <si>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</si>
  <si>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</si>
  <si>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</si>
  <si>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</si>
  <si>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</si>
  <si>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</si>
  <si>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</si>
  <si>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</si>
  <si>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</si>
  <si>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</si>
  <si>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</si>
  <si>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</si>
  <si>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</si>
  <si>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</si>
  <si>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</si>
  <si>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</si>
  <si>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</si>
  <si>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</si>
  <si>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</si>
  <si>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</si>
  <si>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</si>
  <si>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</si>
  <si>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</si>
  <si>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</si>
  <si>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</si>
  <si>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</si>
  <si>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</si>
  <si>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</si>
  <si>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</si>
  <si>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</si>
  <si>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</si>
  <si>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</si>
  <si>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</si>
  <si>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</si>
  <si>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</si>
  <si>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</si>
  <si>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</si>
  <si>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</si>
  <si>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</si>
  <si>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</si>
  <si>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</si>
  <si>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</si>
  <si>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</si>
  <si>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</si>
  <si>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</si>
  <si>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</si>
  <si>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</si>
  <si>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</si>
  <si>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</si>
  <si>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</si>
  <si>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</si>
  <si>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</si>
  <si>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</si>
  <si>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</si>
  <si>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</si>
  <si>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</si>
  <si>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</si>
  <si>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</si>
  <si>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</si>
  <si>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</si>
  <si>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</si>
  <si>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</si>
  <si>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</si>
  <si>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</si>
  <si>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</si>
  <si>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</si>
  <si>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</si>
  <si>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</si>
  <si>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</si>
  <si>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</si>
  <si>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</si>
  <si>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</si>
  <si>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</si>
  <si>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</si>
  <si>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</si>
  <si>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</si>
  <si>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</si>
  <si>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</si>
  <si>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</si>
  <si>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</si>
  <si>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</si>
  <si>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</si>
  <si>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</si>
  <si>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</si>
  <si>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</si>
  <si>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</si>
  <si>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</si>
  <si>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</si>
  <si>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</si>
  <si>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</si>
  <si>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</si>
  <si>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</si>
  <si>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</si>
  <si>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</si>
  <si>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</si>
  <si>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</si>
  <si>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</si>
  <si>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</si>
  <si>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</si>
  <si>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</si>
  <si>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</si>
  <si>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</si>
  <si>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</si>
  <si>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</si>
  <si>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</si>
  <si>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</si>
  <si>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</si>
  <si>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</si>
  <si>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</si>
  <si>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</si>
  <si>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</si>
  <si>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</si>
  <si>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</si>
  <si>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</si>
  <si>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</si>
  <si>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</si>
  <si>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</si>
  <si>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</si>
  <si>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</si>
  <si>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</si>
  <si>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</si>
  <si>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</si>
  <si>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</si>
  <si>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</si>
  <si>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</si>
  <si>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</si>
  <si>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</si>
  <si>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</si>
  <si>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</si>
  <si>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</si>
  <si>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</si>
  <si>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</si>
  <si>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</si>
  <si>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</si>
  <si>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</si>
  <si>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</si>
  <si>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</si>
  <si>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</si>
  <si>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</si>
  <si>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</si>
  <si>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</si>
  <si>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</si>
  <si>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</si>
  <si>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</si>
  <si>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</si>
  <si>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</si>
  <si>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</si>
  <si>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</si>
  <si>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</si>
  <si>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</si>
  <si>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</si>
  <si>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</si>
  <si>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</si>
  <si>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</si>
  <si>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</si>
  <si>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</si>
  <si>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</si>
  <si>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</si>
  <si>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</si>
  <si>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</si>
  <si>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</si>
  <si>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</si>
  <si>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</si>
  <si>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</si>
  <si>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</si>
  <si>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</si>
  <si>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</si>
  <si>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</si>
  <si>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</si>
  <si>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</si>
  <si>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</si>
  <si>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</si>
  <si>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</si>
  <si>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</si>
  <si>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</si>
  <si>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</si>
  <si>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</si>
  <si>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</si>
  <si>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</si>
  <si>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</si>
  <si>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</si>
  <si>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</si>
  <si>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</si>
  <si>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</si>
  <si>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</si>
  <si>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</si>
  <si>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</si>
  <si>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</si>
  <si>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</si>
  <si>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</si>
  <si>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</si>
  <si>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</si>
  <si>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</si>
  <si>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</si>
  <si>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</si>
  <si>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</si>
  <si>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</si>
  <si>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</si>
  <si>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</si>
  <si>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</si>
  <si>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</si>
  <si>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</si>
  <si>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</si>
  <si>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</si>
  <si>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</si>
  <si>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</si>
  <si>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</si>
  <si>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</si>
  <si>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</si>
  <si>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</si>
  <si>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</si>
  <si>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</si>
  <si>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</si>
  <si>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</si>
  <si>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</si>
  <si>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</si>
  <si>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</si>
  <si>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</si>
  <si>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</si>
  <si>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</si>
  <si>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</si>
  <si>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</si>
  <si>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</si>
  <si>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</si>
  <si>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</si>
  <si>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</si>
  <si>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</si>
  <si>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</si>
  <si>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</si>
  <si>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</si>
  <si>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</si>
  <si>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</si>
  <si>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</si>
  <si>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</si>
  <si>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</si>
  <si>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</si>
  <si>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</si>
  <si>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13025</t>
  </si>
  <si>
    <t>MOL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</si>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</sst>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5975CF2D-2417-49CE-811E-46ABFCD02600}"/>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13025</v>
      </c>
      <c r="B6" s="382"/>
      <c r="C6" s="383"/>
    </row>
    <row r="7" spans="1:7" s="380" customFormat="1" ht="15.75" customHeight="1">
      <c r="A7" s="384" t="str">
        <f>txtMunicipality</f>
        <v>MOL</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0.21452458768633267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0.21452458768633267</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14495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3145</v>
      </c>
      <c r="C14" s="324"/>
      <c r="D14" s="324"/>
      <c r="E14" s="324"/>
      <c r="F14" s="324"/>
    </row>
    <row r="15" spans="1:6">
      <c r="A15" s="1235" t="s">
        <v>177</v>
      </c>
      <c r="B15" s="1236">
        <v>155</v>
      </c>
      <c r="C15" s="324"/>
      <c r="D15" s="324"/>
      <c r="E15" s="324"/>
      <c r="F15" s="324"/>
    </row>
    <row r="16" spans="1:6">
      <c r="A16" s="1235" t="s">
        <v>6</v>
      </c>
      <c r="B16" s="1236">
        <v>966</v>
      </c>
      <c r="C16" s="324"/>
      <c r="D16" s="324"/>
      <c r="E16" s="324"/>
      <c r="F16" s="324"/>
    </row>
    <row r="17" spans="1:6">
      <c r="A17" s="1235" t="s">
        <v>7</v>
      </c>
      <c r="B17" s="1236">
        <v>288</v>
      </c>
      <c r="C17" s="324"/>
      <c r="D17" s="324"/>
      <c r="E17" s="324"/>
      <c r="F17" s="324"/>
    </row>
    <row r="18" spans="1:6">
      <c r="A18" s="1235" t="s">
        <v>8</v>
      </c>
      <c r="B18" s="1236">
        <v>802</v>
      </c>
      <c r="C18" s="324"/>
      <c r="D18" s="324"/>
      <c r="E18" s="324"/>
      <c r="F18" s="324"/>
    </row>
    <row r="19" spans="1:6">
      <c r="A19" s="1235" t="s">
        <v>9</v>
      </c>
      <c r="B19" s="1236">
        <v>749</v>
      </c>
      <c r="C19" s="324"/>
      <c r="D19" s="324"/>
      <c r="E19" s="324"/>
      <c r="F19" s="324"/>
    </row>
    <row r="20" spans="1:6">
      <c r="A20" s="1235" t="s">
        <v>10</v>
      </c>
      <c r="B20" s="1236">
        <v>353</v>
      </c>
      <c r="C20" s="324"/>
      <c r="D20" s="324"/>
      <c r="E20" s="324"/>
      <c r="F20" s="324"/>
    </row>
    <row r="21" spans="1:6">
      <c r="A21" s="1235" t="s">
        <v>11</v>
      </c>
      <c r="B21" s="1236">
        <v>694</v>
      </c>
      <c r="C21" s="324"/>
      <c r="D21" s="324"/>
      <c r="E21" s="324"/>
      <c r="F21" s="324"/>
    </row>
    <row r="22" spans="1:6">
      <c r="A22" s="1235" t="s">
        <v>12</v>
      </c>
      <c r="B22" s="1236">
        <v>2709</v>
      </c>
      <c r="C22" s="324"/>
      <c r="D22" s="324"/>
      <c r="E22" s="324"/>
      <c r="F22" s="324"/>
    </row>
    <row r="23" spans="1:6">
      <c r="A23" s="1235" t="s">
        <v>13</v>
      </c>
      <c r="B23" s="1236">
        <v>24</v>
      </c>
      <c r="C23" s="324"/>
      <c r="D23" s="324"/>
      <c r="E23" s="324"/>
      <c r="F23" s="324"/>
    </row>
    <row r="24" spans="1:6">
      <c r="A24" s="1235" t="s">
        <v>14</v>
      </c>
      <c r="B24" s="1236">
        <v>1</v>
      </c>
      <c r="C24" s="324"/>
      <c r="D24" s="324"/>
      <c r="E24" s="324"/>
      <c r="F24" s="324"/>
    </row>
    <row r="25" spans="1:6">
      <c r="A25" s="1235" t="s">
        <v>15</v>
      </c>
      <c r="B25" s="1236">
        <v>217</v>
      </c>
      <c r="C25" s="324"/>
      <c r="D25" s="324"/>
      <c r="E25" s="324"/>
      <c r="F25" s="324"/>
    </row>
    <row r="26" spans="1:6">
      <c r="A26" s="1235" t="s">
        <v>16</v>
      </c>
      <c r="B26" s="1236">
        <v>359</v>
      </c>
      <c r="C26" s="324"/>
      <c r="D26" s="324"/>
      <c r="E26" s="324"/>
      <c r="F26" s="324"/>
    </row>
    <row r="27" spans="1:6">
      <c r="A27" s="1235" t="s">
        <v>17</v>
      </c>
      <c r="B27" s="1236">
        <v>0</v>
      </c>
      <c r="C27" s="324"/>
      <c r="D27" s="324"/>
      <c r="E27" s="324"/>
      <c r="F27" s="324"/>
    </row>
    <row r="28" spans="1:6">
      <c r="A28" s="1235" t="s">
        <v>18</v>
      </c>
      <c r="B28" s="1237">
        <v>72713</v>
      </c>
      <c r="C28" s="324"/>
      <c r="D28" s="324"/>
      <c r="E28" s="324"/>
      <c r="F28" s="324"/>
    </row>
    <row r="29" spans="1:6">
      <c r="A29" s="1235" t="s">
        <v>959</v>
      </c>
      <c r="B29" s="1237">
        <v>113</v>
      </c>
      <c r="C29" s="324"/>
      <c r="D29" s="324"/>
      <c r="E29" s="324"/>
      <c r="F29" s="324"/>
    </row>
    <row r="30" spans="1:6">
      <c r="A30" s="1230" t="s">
        <v>960</v>
      </c>
      <c r="B30" s="1238">
        <v>16</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4</v>
      </c>
      <c r="F35" s="1236">
        <v>23524.312995171498</v>
      </c>
    </row>
    <row r="36" spans="1:6">
      <c r="A36" s="1235" t="s">
        <v>24</v>
      </c>
      <c r="B36" s="1235" t="s">
        <v>26</v>
      </c>
      <c r="C36" s="1236">
        <v>0</v>
      </c>
      <c r="D36" s="1236">
        <v>0</v>
      </c>
      <c r="E36" s="1236">
        <v>3</v>
      </c>
      <c r="F36" s="1236">
        <v>17066.143756789501</v>
      </c>
    </row>
    <row r="37" spans="1:6">
      <c r="A37" s="1235" t="s">
        <v>24</v>
      </c>
      <c r="B37" s="1235" t="s">
        <v>27</v>
      </c>
      <c r="C37" s="1236">
        <v>0</v>
      </c>
      <c r="D37" s="1236">
        <v>0</v>
      </c>
      <c r="E37" s="1236">
        <v>0</v>
      </c>
      <c r="F37" s="1236">
        <v>0</v>
      </c>
    </row>
    <row r="38" spans="1:6">
      <c r="A38" s="1235" t="s">
        <v>24</v>
      </c>
      <c r="B38" s="1235" t="s">
        <v>28</v>
      </c>
      <c r="C38" s="1236">
        <v>2</v>
      </c>
      <c r="D38" s="1236">
        <v>436811.326654181</v>
      </c>
      <c r="E38" s="1236">
        <v>1</v>
      </c>
      <c r="F38" s="1236">
        <v>10699.206214499</v>
      </c>
    </row>
    <row r="39" spans="1:6">
      <c r="A39" s="1235" t="s">
        <v>29</v>
      </c>
      <c r="B39" s="1235" t="s">
        <v>30</v>
      </c>
      <c r="C39" s="1236">
        <v>7778</v>
      </c>
      <c r="D39" s="1236">
        <v>128012000.124883</v>
      </c>
      <c r="E39" s="1236">
        <v>14271</v>
      </c>
      <c r="F39" s="1236">
        <v>59722191.668774202</v>
      </c>
    </row>
    <row r="40" spans="1:6">
      <c r="A40" s="1235" t="s">
        <v>29</v>
      </c>
      <c r="B40" s="1235" t="s">
        <v>28</v>
      </c>
      <c r="C40" s="1236">
        <v>1</v>
      </c>
      <c r="D40" s="1236">
        <v>37377.003841375401</v>
      </c>
      <c r="E40" s="1236">
        <v>1</v>
      </c>
      <c r="F40" s="1236">
        <v>12552.5206421724</v>
      </c>
    </row>
    <row r="41" spans="1:6">
      <c r="A41" s="1235" t="s">
        <v>31</v>
      </c>
      <c r="B41" s="1235" t="s">
        <v>32</v>
      </c>
      <c r="C41" s="1236">
        <v>108</v>
      </c>
      <c r="D41" s="1236">
        <v>9816259.8197113592</v>
      </c>
      <c r="E41" s="1236">
        <v>336</v>
      </c>
      <c r="F41" s="1236">
        <v>6131337.4917767802</v>
      </c>
    </row>
    <row r="42" spans="1:6">
      <c r="A42" s="1235" t="s">
        <v>31</v>
      </c>
      <c r="B42" s="1235" t="s">
        <v>33</v>
      </c>
      <c r="C42" s="1236">
        <v>0</v>
      </c>
      <c r="D42" s="1236">
        <v>0</v>
      </c>
      <c r="E42" s="1236">
        <v>3</v>
      </c>
      <c r="F42" s="1236">
        <v>10267.5376857672</v>
      </c>
    </row>
    <row r="43" spans="1:6">
      <c r="A43" s="1235" t="s">
        <v>31</v>
      </c>
      <c r="B43" s="1235" t="s">
        <v>34</v>
      </c>
      <c r="C43" s="1236">
        <v>0</v>
      </c>
      <c r="D43" s="1236">
        <v>0</v>
      </c>
      <c r="E43" s="1236">
        <v>0</v>
      </c>
      <c r="F43" s="1236">
        <v>0</v>
      </c>
    </row>
    <row r="44" spans="1:6">
      <c r="A44" s="1235" t="s">
        <v>31</v>
      </c>
      <c r="B44" s="1235" t="s">
        <v>35</v>
      </c>
      <c r="C44" s="1236">
        <v>0</v>
      </c>
      <c r="D44" s="1236">
        <v>0</v>
      </c>
      <c r="E44" s="1236">
        <v>12</v>
      </c>
      <c r="F44" s="1236">
        <v>1072329.1219798401</v>
      </c>
    </row>
    <row r="45" spans="1:6">
      <c r="A45" s="1235" t="s">
        <v>31</v>
      </c>
      <c r="B45" s="1235" t="s">
        <v>36</v>
      </c>
      <c r="C45" s="1236">
        <v>0</v>
      </c>
      <c r="D45" s="1236">
        <v>0</v>
      </c>
      <c r="E45" s="1236">
        <v>3</v>
      </c>
      <c r="F45" s="1236">
        <v>1278112.2176199199</v>
      </c>
    </row>
    <row r="46" spans="1:6">
      <c r="A46" s="1235" t="s">
        <v>31</v>
      </c>
      <c r="B46" s="1235" t="s">
        <v>37</v>
      </c>
      <c r="C46" s="1236">
        <v>0</v>
      </c>
      <c r="D46" s="1236">
        <v>0</v>
      </c>
      <c r="E46" s="1236">
        <v>0</v>
      </c>
      <c r="F46" s="1236">
        <v>0</v>
      </c>
    </row>
    <row r="47" spans="1:6">
      <c r="A47" s="1235" t="s">
        <v>31</v>
      </c>
      <c r="B47" s="1235" t="s">
        <v>38</v>
      </c>
      <c r="C47" s="1236">
        <v>0</v>
      </c>
      <c r="D47" s="1236">
        <v>0</v>
      </c>
      <c r="E47" s="1236">
        <v>4</v>
      </c>
      <c r="F47" s="1236">
        <v>151051.63802032801</v>
      </c>
    </row>
    <row r="48" spans="1:6">
      <c r="A48" s="1235" t="s">
        <v>31</v>
      </c>
      <c r="B48" s="1235" t="s">
        <v>28</v>
      </c>
      <c r="C48" s="1236">
        <v>32</v>
      </c>
      <c r="D48" s="1236">
        <v>2892711.0310170399</v>
      </c>
      <c r="E48" s="1236">
        <v>29</v>
      </c>
      <c r="F48" s="1236">
        <v>48595922.008829497</v>
      </c>
    </row>
    <row r="49" spans="1:6">
      <c r="A49" s="1235" t="s">
        <v>31</v>
      </c>
      <c r="B49" s="1235" t="s">
        <v>39</v>
      </c>
      <c r="C49" s="1236">
        <v>0</v>
      </c>
      <c r="D49" s="1236">
        <v>0</v>
      </c>
      <c r="E49" s="1236">
        <v>3</v>
      </c>
      <c r="F49" s="1236">
        <v>28390.5988195108</v>
      </c>
    </row>
    <row r="50" spans="1:6">
      <c r="A50" s="1235" t="s">
        <v>31</v>
      </c>
      <c r="B50" s="1235" t="s">
        <v>40</v>
      </c>
      <c r="C50" s="1236">
        <v>8</v>
      </c>
      <c r="D50" s="1236">
        <v>738355.82316831197</v>
      </c>
      <c r="E50" s="1236">
        <v>30</v>
      </c>
      <c r="F50" s="1236">
        <v>1148616.6459407399</v>
      </c>
    </row>
    <row r="51" spans="1:6">
      <c r="A51" s="1235" t="s">
        <v>41</v>
      </c>
      <c r="B51" s="1235" t="s">
        <v>42</v>
      </c>
      <c r="C51" s="1236">
        <v>0</v>
      </c>
      <c r="D51" s="1236">
        <v>0</v>
      </c>
      <c r="E51" s="1236">
        <v>32</v>
      </c>
      <c r="F51" s="1236">
        <v>819243.45987672103</v>
      </c>
    </row>
    <row r="52" spans="1:6">
      <c r="A52" s="1235" t="s">
        <v>41</v>
      </c>
      <c r="B52" s="1235" t="s">
        <v>28</v>
      </c>
      <c r="C52" s="1236">
        <v>8</v>
      </c>
      <c r="D52" s="1236">
        <v>162564.39409191199</v>
      </c>
      <c r="E52" s="1236">
        <v>13</v>
      </c>
      <c r="F52" s="1236">
        <v>468294.20086780097</v>
      </c>
    </row>
    <row r="53" spans="1:6">
      <c r="A53" s="1235" t="s">
        <v>43</v>
      </c>
      <c r="B53" s="1235" t="s">
        <v>44</v>
      </c>
      <c r="C53" s="1236">
        <v>295</v>
      </c>
      <c r="D53" s="1236">
        <v>5761238.75317547</v>
      </c>
      <c r="E53" s="1236">
        <v>555</v>
      </c>
      <c r="F53" s="1236">
        <v>3094651.4534857702</v>
      </c>
    </row>
    <row r="54" spans="1:6">
      <c r="A54" s="1235" t="s">
        <v>45</v>
      </c>
      <c r="B54" s="1235" t="s">
        <v>46</v>
      </c>
      <c r="C54" s="1236">
        <v>0</v>
      </c>
      <c r="D54" s="1236">
        <v>0</v>
      </c>
      <c r="E54" s="1236">
        <v>1</v>
      </c>
      <c r="F54" s="1236">
        <v>1459845</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61</v>
      </c>
      <c r="D57" s="1236">
        <v>1934283.3832010799</v>
      </c>
      <c r="E57" s="1236">
        <v>152</v>
      </c>
      <c r="F57" s="1236">
        <v>8258076.0198704898</v>
      </c>
    </row>
    <row r="58" spans="1:6">
      <c r="A58" s="1235" t="s">
        <v>48</v>
      </c>
      <c r="B58" s="1235" t="s">
        <v>50</v>
      </c>
      <c r="C58" s="1236">
        <v>51</v>
      </c>
      <c r="D58" s="1236">
        <v>4660188.0125793898</v>
      </c>
      <c r="E58" s="1236">
        <v>76</v>
      </c>
      <c r="F58" s="1236">
        <v>1927583.43608966</v>
      </c>
    </row>
    <row r="59" spans="1:6">
      <c r="A59" s="1235" t="s">
        <v>48</v>
      </c>
      <c r="B59" s="1235" t="s">
        <v>51</v>
      </c>
      <c r="C59" s="1236">
        <v>244</v>
      </c>
      <c r="D59" s="1236">
        <v>10912196.5329189</v>
      </c>
      <c r="E59" s="1236">
        <v>482</v>
      </c>
      <c r="F59" s="1236">
        <v>15044357.5294492</v>
      </c>
    </row>
    <row r="60" spans="1:6">
      <c r="A60" s="1235" t="s">
        <v>48</v>
      </c>
      <c r="B60" s="1235" t="s">
        <v>52</v>
      </c>
      <c r="C60" s="1236">
        <v>127</v>
      </c>
      <c r="D60" s="1236">
        <v>6415896.6765926797</v>
      </c>
      <c r="E60" s="1236">
        <v>196</v>
      </c>
      <c r="F60" s="1236">
        <v>5090465.0154354796</v>
      </c>
    </row>
    <row r="61" spans="1:6">
      <c r="A61" s="1235" t="s">
        <v>48</v>
      </c>
      <c r="B61" s="1235" t="s">
        <v>53</v>
      </c>
      <c r="C61" s="1236">
        <v>169</v>
      </c>
      <c r="D61" s="1236">
        <v>53367577.2442782</v>
      </c>
      <c r="E61" s="1236">
        <v>457</v>
      </c>
      <c r="F61" s="1236">
        <v>37810790.129947603</v>
      </c>
    </row>
    <row r="62" spans="1:6">
      <c r="A62" s="1235" t="s">
        <v>48</v>
      </c>
      <c r="B62" s="1235" t="s">
        <v>54</v>
      </c>
      <c r="C62" s="1236">
        <v>12</v>
      </c>
      <c r="D62" s="1236">
        <v>9862722.7393005397</v>
      </c>
      <c r="E62" s="1236">
        <v>27</v>
      </c>
      <c r="F62" s="1236">
        <v>2745912.3540314999</v>
      </c>
    </row>
    <row r="63" spans="1:6">
      <c r="A63" s="1235" t="s">
        <v>48</v>
      </c>
      <c r="B63" s="1235" t="s">
        <v>28</v>
      </c>
      <c r="C63" s="1236">
        <v>85</v>
      </c>
      <c r="D63" s="1236">
        <v>32699211.331364699</v>
      </c>
      <c r="E63" s="1236">
        <v>96</v>
      </c>
      <c r="F63" s="1236">
        <v>11050468.7602078</v>
      </c>
    </row>
    <row r="64" spans="1:6">
      <c r="A64" s="1235" t="s">
        <v>55</v>
      </c>
      <c r="B64" s="1235" t="s">
        <v>56</v>
      </c>
      <c r="C64" s="1236">
        <v>0</v>
      </c>
      <c r="D64" s="1236">
        <v>0</v>
      </c>
      <c r="E64" s="1236">
        <v>0</v>
      </c>
      <c r="F64" s="1236">
        <v>0</v>
      </c>
    </row>
    <row r="65" spans="1:6">
      <c r="A65" s="1235" t="s">
        <v>55</v>
      </c>
      <c r="B65" s="1235" t="s">
        <v>28</v>
      </c>
      <c r="C65" s="1236">
        <v>2</v>
      </c>
      <c r="D65" s="1236">
        <v>44777.239647432601</v>
      </c>
      <c r="E65" s="1236">
        <v>2</v>
      </c>
      <c r="F65" s="1236">
        <v>8203.4926828056996</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6</v>
      </c>
      <c r="D68" s="1238">
        <v>269508.04043440399</v>
      </c>
      <c r="E68" s="1238">
        <v>17</v>
      </c>
      <c r="F68" s="1238">
        <v>653700.21898227301</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158788278</v>
      </c>
      <c r="E73" s="443"/>
      <c r="F73" s="324"/>
    </row>
    <row r="74" spans="1:6">
      <c r="A74" s="1235" t="s">
        <v>63</v>
      </c>
      <c r="B74" s="1235" t="s">
        <v>730</v>
      </c>
      <c r="C74" s="1248" t="s">
        <v>731</v>
      </c>
      <c r="D74" s="1236">
        <v>11242781.14561916</v>
      </c>
      <c r="E74" s="443"/>
      <c r="F74" s="324"/>
    </row>
    <row r="75" spans="1:6">
      <c r="A75" s="1235" t="s">
        <v>64</v>
      </c>
      <c r="B75" s="1235" t="s">
        <v>728</v>
      </c>
      <c r="C75" s="1248" t="s">
        <v>732</v>
      </c>
      <c r="D75" s="1236">
        <v>47831228</v>
      </c>
      <c r="E75" s="443"/>
      <c r="F75" s="324"/>
    </row>
    <row r="76" spans="1:6">
      <c r="A76" s="1235" t="s">
        <v>64</v>
      </c>
      <c r="B76" s="1235" t="s">
        <v>730</v>
      </c>
      <c r="C76" s="1248" t="s">
        <v>733</v>
      </c>
      <c r="D76" s="1236">
        <v>1899406.1456191586</v>
      </c>
      <c r="E76" s="443"/>
      <c r="F76" s="324"/>
    </row>
    <row r="77" spans="1:6">
      <c r="A77" s="1235" t="s">
        <v>65</v>
      </c>
      <c r="B77" s="1235" t="s">
        <v>728</v>
      </c>
      <c r="C77" s="1248" t="s">
        <v>734</v>
      </c>
      <c r="D77" s="1236">
        <v>40547486</v>
      </c>
      <c r="E77" s="443"/>
      <c r="F77" s="324"/>
    </row>
    <row r="78" spans="1:6">
      <c r="A78" s="1230" t="s">
        <v>65</v>
      </c>
      <c r="B78" s="1230" t="s">
        <v>730</v>
      </c>
      <c r="C78" s="1230" t="s">
        <v>735</v>
      </c>
      <c r="D78" s="1238">
        <v>16455168</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837587.7087616825</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4613.0405705728754</v>
      </c>
      <c r="C91" s="324"/>
      <c r="D91" s="324"/>
      <c r="E91" s="324"/>
      <c r="F91" s="324"/>
    </row>
    <row r="92" spans="1:6">
      <c r="A92" s="1230" t="s">
        <v>68</v>
      </c>
      <c r="B92" s="1231">
        <v>1556.1918761080435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4099</v>
      </c>
      <c r="C97" s="324"/>
      <c r="D97" s="324"/>
      <c r="E97" s="324"/>
      <c r="F97" s="324"/>
    </row>
    <row r="98" spans="1:6">
      <c r="A98" s="1235" t="s">
        <v>71</v>
      </c>
      <c r="B98" s="1236">
        <v>23</v>
      </c>
      <c r="C98" s="324"/>
      <c r="D98" s="324"/>
      <c r="E98" s="324"/>
      <c r="F98" s="324"/>
    </row>
    <row r="99" spans="1:6">
      <c r="A99" s="1235" t="s">
        <v>72</v>
      </c>
      <c r="B99" s="1236">
        <v>75</v>
      </c>
      <c r="C99" s="324"/>
      <c r="D99" s="324"/>
      <c r="E99" s="324"/>
      <c r="F99" s="324"/>
    </row>
    <row r="100" spans="1:6">
      <c r="A100" s="1235" t="s">
        <v>73</v>
      </c>
      <c r="B100" s="1236">
        <v>669</v>
      </c>
      <c r="C100" s="324"/>
      <c r="D100" s="324"/>
      <c r="E100" s="324"/>
      <c r="F100" s="324"/>
    </row>
    <row r="101" spans="1:6">
      <c r="A101" s="1235" t="s">
        <v>74</v>
      </c>
      <c r="B101" s="1236">
        <v>148</v>
      </c>
      <c r="C101" s="324"/>
      <c r="D101" s="324"/>
      <c r="E101" s="324"/>
      <c r="F101" s="324"/>
    </row>
    <row r="102" spans="1:6">
      <c r="A102" s="1235" t="s">
        <v>75</v>
      </c>
      <c r="B102" s="1236">
        <v>146</v>
      </c>
      <c r="C102" s="324"/>
      <c r="D102" s="324"/>
      <c r="E102" s="324"/>
      <c r="F102" s="324"/>
    </row>
    <row r="103" spans="1:6">
      <c r="A103" s="1235" t="s">
        <v>76</v>
      </c>
      <c r="B103" s="1236">
        <v>214</v>
      </c>
      <c r="C103" s="324"/>
      <c r="D103" s="324"/>
      <c r="E103" s="324"/>
      <c r="F103" s="324"/>
    </row>
    <row r="104" spans="1:6">
      <c r="A104" s="1235" t="s">
        <v>77</v>
      </c>
      <c r="B104" s="1236">
        <v>6977</v>
      </c>
      <c r="C104" s="324"/>
      <c r="D104" s="324"/>
      <c r="E104" s="324"/>
      <c r="F104" s="324"/>
    </row>
    <row r="105" spans="1:6">
      <c r="A105" s="1230" t="s">
        <v>78</v>
      </c>
      <c r="B105" s="1238">
        <v>15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1</v>
      </c>
      <c r="C110" s="324"/>
      <c r="D110" s="324"/>
      <c r="E110" s="324"/>
      <c r="F110" s="324"/>
    </row>
    <row r="111" spans="1:6">
      <c r="A111" s="1253" t="s">
        <v>628</v>
      </c>
      <c r="B111" s="1254">
        <v>2</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13</v>
      </c>
      <c r="C123" s="1236">
        <v>13</v>
      </c>
      <c r="D123" s="324"/>
      <c r="E123" s="324"/>
      <c r="F123" s="324"/>
    </row>
    <row r="124" spans="1:6">
      <c r="A124" s="1235" t="s">
        <v>88</v>
      </c>
      <c r="B124" s="1236">
        <v>0</v>
      </c>
      <c r="C124" s="1236">
        <v>4</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179</v>
      </c>
      <c r="C129" s="324"/>
      <c r="D129" s="324"/>
      <c r="E129" s="324"/>
      <c r="F129" s="324"/>
    </row>
    <row r="130" spans="1:6">
      <c r="A130" s="1235" t="s">
        <v>284</v>
      </c>
      <c r="B130" s="1236">
        <v>2</v>
      </c>
      <c r="C130" s="324"/>
      <c r="D130" s="324"/>
      <c r="E130" s="324"/>
      <c r="F130" s="324"/>
    </row>
    <row r="131" spans="1:6">
      <c r="A131" s="1235" t="s">
        <v>285</v>
      </c>
      <c r="B131" s="1236">
        <v>0</v>
      </c>
      <c r="C131" s="324"/>
      <c r="D131" s="324"/>
      <c r="E131" s="324"/>
      <c r="F131" s="324"/>
    </row>
    <row r="132" spans="1:6">
      <c r="A132" s="1230" t="s">
        <v>286</v>
      </c>
      <c r="B132" s="1231">
        <v>33</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210550.35643658077</v>
      </c>
      <c r="C3" s="43" t="s">
        <v>163</v>
      </c>
      <c r="D3" s="43"/>
      <c r="E3" s="155"/>
      <c r="F3" s="43"/>
      <c r="G3" s="43"/>
      <c r="H3" s="43"/>
      <c r="I3" s="43"/>
      <c r="J3" s="43"/>
      <c r="K3" s="96"/>
    </row>
    <row r="4" spans="1:11">
      <c r="A4" s="350" t="s">
        <v>164</v>
      </c>
      <c r="B4" s="49">
        <f>IF(ISERROR('SEAP template'!B78+'SEAP template'!C78),0,'SEAP template'!B78+'SEAP template'!C78)</f>
        <v>6169.2324466809187</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0.21452458768633267</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1459.845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1459.845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0.21452458768633267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313.17264671095433</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59734.744189416371</v>
      </c>
      <c r="C5" s="17">
        <f>IF(ISERROR('Eigen informatie GS &amp; warmtenet'!B57),0,'Eigen informatie GS &amp; warmtenet'!B57)</f>
        <v>0</v>
      </c>
      <c r="D5" s="30">
        <f>(SUM(HH_hh_gas_kWh,HH_rest_gas_kWh)/1000)*0.902</f>
        <v>115500.53817010939</v>
      </c>
      <c r="E5" s="17">
        <f>B32*B41</f>
        <v>3407.2366751054606</v>
      </c>
      <c r="F5" s="17">
        <f>B36*B45</f>
        <v>116303.96471222134</v>
      </c>
      <c r="G5" s="18"/>
      <c r="H5" s="17"/>
      <c r="I5" s="17"/>
      <c r="J5" s="17">
        <f>B35*B44+C35*C44</f>
        <v>2618.870421368159</v>
      </c>
      <c r="K5" s="17"/>
      <c r="L5" s="17"/>
      <c r="M5" s="17"/>
      <c r="N5" s="17">
        <f>B34*B43+C34*C43</f>
        <v>17849.54045549659</v>
      </c>
      <c r="O5" s="17">
        <f>B52*B53*B54</f>
        <v>306.41333333333336</v>
      </c>
      <c r="P5" s="17">
        <f>B60*B61*B62/1000-B60*B61*B62/1000/B63</f>
        <v>877.06666666666661</v>
      </c>
    </row>
    <row r="6" spans="1:16">
      <c r="A6" s="16" t="s">
        <v>591</v>
      </c>
      <c r="B6" s="727">
        <f>kWh_PV_kleiner_dan_10kW</f>
        <v>4613.0405705728754</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64347.784759989248</v>
      </c>
      <c r="C8" s="21">
        <f>C5</f>
        <v>0</v>
      </c>
      <c r="D8" s="21">
        <f>D5</f>
        <v>115500.53817010939</v>
      </c>
      <c r="E8" s="21">
        <f>E5</f>
        <v>3407.2366751054606</v>
      </c>
      <c r="F8" s="21">
        <f>F5</f>
        <v>116303.96471222134</v>
      </c>
      <c r="G8" s="21"/>
      <c r="H8" s="21"/>
      <c r="I8" s="21"/>
      <c r="J8" s="21">
        <f>J5</f>
        <v>2618.870421368159</v>
      </c>
      <c r="K8" s="21"/>
      <c r="L8" s="21">
        <f>L5</f>
        <v>0</v>
      </c>
      <c r="M8" s="21">
        <f>M5</f>
        <v>0</v>
      </c>
      <c r="N8" s="21">
        <f>N5</f>
        <v>17849.54045549659</v>
      </c>
      <c r="O8" s="21">
        <f>O5</f>
        <v>306.41333333333336</v>
      </c>
      <c r="P8" s="21">
        <f>P5</f>
        <v>877.06666666666661</v>
      </c>
    </row>
    <row r="9" spans="1:16">
      <c r="B9" s="19"/>
      <c r="C9" s="19"/>
      <c r="D9" s="255"/>
      <c r="E9" s="19"/>
      <c r="F9" s="19"/>
      <c r="G9" s="19"/>
      <c r="H9" s="19"/>
      <c r="I9" s="19"/>
      <c r="J9" s="19"/>
      <c r="K9" s="19"/>
      <c r="L9" s="19"/>
      <c r="M9" s="19"/>
      <c r="N9" s="19"/>
      <c r="O9" s="19"/>
      <c r="P9" s="19"/>
    </row>
    <row r="10" spans="1:16">
      <c r="A10" s="24" t="s">
        <v>207</v>
      </c>
      <c r="B10" s="25">
        <f ca="1">'EF ele_warmte'!B12</f>
        <v>0.21452458768633267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13804.181994165574</v>
      </c>
      <c r="C12" s="23">
        <f ca="1">C10*C8</f>
        <v>0</v>
      </c>
      <c r="D12" s="23">
        <f>D8*D10</f>
        <v>23331.108710362099</v>
      </c>
      <c r="E12" s="23">
        <f>E10*E8</f>
        <v>773.44272524893961</v>
      </c>
      <c r="F12" s="23">
        <f>F10*F8</f>
        <v>31053.158578163097</v>
      </c>
      <c r="G12" s="23"/>
      <c r="H12" s="23"/>
      <c r="I12" s="23"/>
      <c r="J12" s="23">
        <f>J10*J8</f>
        <v>927.08012916432824</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14495</v>
      </c>
      <c r="C26" s="36"/>
      <c r="D26" s="225"/>
    </row>
    <row r="27" spans="1:5" s="15" customFormat="1">
      <c r="A27" s="227" t="s">
        <v>671</v>
      </c>
      <c r="B27" s="37">
        <f>SUM(HH_hh_gas_aantal,HH_rest_gas_aantal)</f>
        <v>7779</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7390.05</v>
      </c>
      <c r="C31" s="34" t="s">
        <v>104</v>
      </c>
      <c r="D31" s="171"/>
    </row>
    <row r="32" spans="1:5">
      <c r="A32" s="168" t="s">
        <v>72</v>
      </c>
      <c r="B32" s="33">
        <f>IF((B21*($B$26-($B$27-0.05*$B$27)-$B$60))&lt;0,0,B21*($B$26-($B$27-0.05*$B$27)-$B$60))</f>
        <v>50.04491063122024</v>
      </c>
      <c r="C32" s="34" t="s">
        <v>104</v>
      </c>
      <c r="D32" s="171"/>
    </row>
    <row r="33" spans="1:6">
      <c r="A33" s="168" t="s">
        <v>73</v>
      </c>
      <c r="B33" s="33">
        <f>IF((B22*($B$26-($B$27-0.05*$B$27)-$B$60))&lt;0,0,B22*($B$26-($B$27-0.05*$B$27)-$B$60))</f>
        <v>1434.2803298593938</v>
      </c>
      <c r="C33" s="34" t="s">
        <v>104</v>
      </c>
      <c r="D33" s="171"/>
    </row>
    <row r="34" spans="1:6">
      <c r="A34" s="168" t="s">
        <v>74</v>
      </c>
      <c r="B34" s="33">
        <f>IF((B24*($B$26-($B$27-0.05*$B$27)-$B$60))&lt;0,0,B24*($B$26-($B$27-0.05*$B$27)-$B$60))</f>
        <v>286.01065570617379</v>
      </c>
      <c r="C34" s="33">
        <f>B26*C24</f>
        <v>2963.9030255113389</v>
      </c>
      <c r="D34" s="230"/>
    </row>
    <row r="35" spans="1:6">
      <c r="A35" s="168" t="s">
        <v>76</v>
      </c>
      <c r="B35" s="33">
        <f>IF((B19*($B$26-($B$27-0.05*$B$27)-$B$60))&lt;0,0,B19*($B$26-($B$27-0.05*$B$27)-$B$60))</f>
        <v>148.9431864024412</v>
      </c>
      <c r="C35" s="33">
        <f>B35/2</f>
        <v>74.4715932012206</v>
      </c>
      <c r="D35" s="230"/>
    </row>
    <row r="36" spans="1:6">
      <c r="A36" s="168" t="s">
        <v>77</v>
      </c>
      <c r="B36" s="33">
        <f>IF((B18*($B$26-($B$27-0.05*$B$27)-$B$60))&lt;0,0,B18*($B$26-($B$27-0.05*$B$27)-$B$60))</f>
        <v>5139.670917400771</v>
      </c>
      <c r="C36" s="34" t="s">
        <v>104</v>
      </c>
      <c r="D36" s="171"/>
    </row>
    <row r="37" spans="1:6">
      <c r="A37" s="168" t="s">
        <v>78</v>
      </c>
      <c r="B37" s="33">
        <f>B60</f>
        <v>46</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196</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46</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81927.653245031746</v>
      </c>
      <c r="C5" s="17">
        <f>IF(ISERROR('Eigen informatie GS &amp; warmtenet'!B58),0,'Eigen informatie GS &amp; warmtenet'!B58)</f>
        <v>0</v>
      </c>
      <c r="D5" s="30">
        <f>SUM(D6:D12)</f>
        <v>108106.57248005242</v>
      </c>
      <c r="E5" s="17">
        <f>SUM(E6:E12)</f>
        <v>1954.1840370976865</v>
      </c>
      <c r="F5" s="17">
        <f>SUM(F6:F12)</f>
        <v>16944.207386941929</v>
      </c>
      <c r="G5" s="18"/>
      <c r="H5" s="17"/>
      <c r="I5" s="17"/>
      <c r="J5" s="17">
        <f>SUM(J6:J12)</f>
        <v>0</v>
      </c>
      <c r="K5" s="17"/>
      <c r="L5" s="17"/>
      <c r="M5" s="17"/>
      <c r="N5" s="17">
        <f>SUM(N6:N12)</f>
        <v>2659.3871143345755</v>
      </c>
      <c r="O5" s="17">
        <f>B38*B39*B40</f>
        <v>3.1266666666666669</v>
      </c>
      <c r="P5" s="17">
        <f>B46*B47*B48/1000-B46*B47*B48/1000/B49</f>
        <v>0</v>
      </c>
      <c r="R5" s="32"/>
    </row>
    <row r="6" spans="1:18">
      <c r="A6" s="32" t="s">
        <v>53</v>
      </c>
      <c r="B6" s="37">
        <f>B26</f>
        <v>37810.7901299476</v>
      </c>
      <c r="C6" s="33"/>
      <c r="D6" s="37">
        <f>IF(ISERROR(TER_kantoor_gas_kWh/1000),0,TER_kantoor_gas_kWh/1000)*0.902</f>
        <v>48137.554674338942</v>
      </c>
      <c r="E6" s="33">
        <f>$C$26*'E Balans VL '!I12/100/3.6*1000000</f>
        <v>1307.9512661530998</v>
      </c>
      <c r="F6" s="33">
        <f>$C$26*('E Balans VL '!L12+'E Balans VL '!N12)/100/3.6*1000000</f>
        <v>5772.2186056835208</v>
      </c>
      <c r="G6" s="34"/>
      <c r="H6" s="33"/>
      <c r="I6" s="33"/>
      <c r="J6" s="33">
        <f>$C$26*('E Balans VL '!D12+'E Balans VL '!E12)/100/3.6*1000000</f>
        <v>0</v>
      </c>
      <c r="K6" s="33"/>
      <c r="L6" s="33"/>
      <c r="M6" s="33"/>
      <c r="N6" s="33">
        <f>$C$26*'E Balans VL '!Y12/100/3.6*1000000</f>
        <v>582.87130385289277</v>
      </c>
      <c r="O6" s="33"/>
      <c r="P6" s="33"/>
      <c r="R6" s="32"/>
    </row>
    <row r="7" spans="1:18">
      <c r="A7" s="32" t="s">
        <v>52</v>
      </c>
      <c r="B7" s="37">
        <f t="shared" ref="B7:B12" si="0">B27</f>
        <v>5090.4650154354795</v>
      </c>
      <c r="C7" s="33"/>
      <c r="D7" s="37">
        <f>IF(ISERROR(TER_horeca_gas_kWh/1000),0,TER_horeca_gas_kWh/1000)*0.902</f>
        <v>5787.1388022865976</v>
      </c>
      <c r="E7" s="33">
        <f>$C$27*'E Balans VL '!I9/100/3.6*1000000</f>
        <v>278.97365847584035</v>
      </c>
      <c r="F7" s="33">
        <f>$C$27*('E Balans VL '!L9+'E Balans VL '!N9)/100/3.6*1000000</f>
        <v>861.47695589992441</v>
      </c>
      <c r="G7" s="34"/>
      <c r="H7" s="33"/>
      <c r="I7" s="33"/>
      <c r="J7" s="33">
        <f>$C$27*('E Balans VL '!D9+'E Balans VL '!E9)/100/3.6*1000000</f>
        <v>0</v>
      </c>
      <c r="K7" s="33"/>
      <c r="L7" s="33"/>
      <c r="M7" s="33"/>
      <c r="N7" s="33">
        <f>$C$27*'E Balans VL '!Y9/100/3.6*1000000</f>
        <v>0</v>
      </c>
      <c r="O7" s="33"/>
      <c r="P7" s="33"/>
      <c r="R7" s="32"/>
    </row>
    <row r="8" spans="1:18">
      <c r="A8" s="6" t="s">
        <v>51</v>
      </c>
      <c r="B8" s="37">
        <f t="shared" si="0"/>
        <v>15044.3575294492</v>
      </c>
      <c r="C8" s="33"/>
      <c r="D8" s="37">
        <f>IF(ISERROR(TER_handel_gas_kWh/1000),0,TER_handel_gas_kWh/1000)*0.902</f>
        <v>9842.8012726928482</v>
      </c>
      <c r="E8" s="33">
        <f>$C$28*'E Balans VL '!I13/100/3.6*1000000</f>
        <v>76.111973557170614</v>
      </c>
      <c r="F8" s="33">
        <f>$C$28*('E Balans VL '!L13+'E Balans VL '!N13)/100/3.6*1000000</f>
        <v>2285.872461348335</v>
      </c>
      <c r="G8" s="34"/>
      <c r="H8" s="33"/>
      <c r="I8" s="33"/>
      <c r="J8" s="33">
        <f>$C$28*('E Balans VL '!D13+'E Balans VL '!E13)/100/3.6*1000000</f>
        <v>0</v>
      </c>
      <c r="K8" s="33"/>
      <c r="L8" s="33"/>
      <c r="M8" s="33"/>
      <c r="N8" s="33">
        <f>$C$28*'E Balans VL '!Y13/100/3.6*1000000</f>
        <v>7.0351443074231481</v>
      </c>
      <c r="O8" s="33"/>
      <c r="P8" s="33"/>
      <c r="R8" s="32"/>
    </row>
    <row r="9" spans="1:18">
      <c r="A9" s="32" t="s">
        <v>50</v>
      </c>
      <c r="B9" s="37">
        <f t="shared" si="0"/>
        <v>1927.5834360896602</v>
      </c>
      <c r="C9" s="33"/>
      <c r="D9" s="37">
        <f>IF(ISERROR(TER_gezond_gas_kWh/1000),0,TER_gezond_gas_kWh/1000)*0.902</f>
        <v>4203.4895873466094</v>
      </c>
      <c r="E9" s="33">
        <f>$C$29*'E Balans VL '!I10/100/3.6*1000000</f>
        <v>0.70095734938240728</v>
      </c>
      <c r="F9" s="33">
        <f>$C$29*('E Balans VL '!L10+'E Balans VL '!N10)/100/3.6*1000000</f>
        <v>416.49869307811019</v>
      </c>
      <c r="G9" s="34"/>
      <c r="H9" s="33"/>
      <c r="I9" s="33"/>
      <c r="J9" s="33">
        <f>$C$29*('E Balans VL '!D10+'E Balans VL '!E10)/100/3.6*1000000</f>
        <v>0</v>
      </c>
      <c r="K9" s="33"/>
      <c r="L9" s="33"/>
      <c r="M9" s="33"/>
      <c r="N9" s="33">
        <f>$C$29*'E Balans VL '!Y10/100/3.6*1000000</f>
        <v>14.615465725988942</v>
      </c>
      <c r="O9" s="33"/>
      <c r="P9" s="33"/>
      <c r="R9" s="32"/>
    </row>
    <row r="10" spans="1:18">
      <c r="A10" s="32" t="s">
        <v>49</v>
      </c>
      <c r="B10" s="37">
        <f t="shared" si="0"/>
        <v>8258.0760198704902</v>
      </c>
      <c r="C10" s="33"/>
      <c r="D10" s="37">
        <f>IF(ISERROR(TER_ander_gas_kWh/1000),0,TER_ander_gas_kWh/1000)*0.902</f>
        <v>1744.7236116473741</v>
      </c>
      <c r="E10" s="33">
        <f>$C$30*'E Balans VL '!I14/100/3.6*1000000</f>
        <v>50.272265920788627</v>
      </c>
      <c r="F10" s="33">
        <f>$C$30*('E Balans VL '!L14+'E Balans VL '!N14)/100/3.6*1000000</f>
        <v>2186.3208948076945</v>
      </c>
      <c r="G10" s="34"/>
      <c r="H10" s="33"/>
      <c r="I10" s="33"/>
      <c r="J10" s="33">
        <f>$C$30*('E Balans VL '!D14+'E Balans VL '!E14)/100/3.6*1000000</f>
        <v>0</v>
      </c>
      <c r="K10" s="33"/>
      <c r="L10" s="33"/>
      <c r="M10" s="33"/>
      <c r="N10" s="33">
        <f>$C$30*'E Balans VL '!Y14/100/3.6*1000000</f>
        <v>1719.9430721533931</v>
      </c>
      <c r="O10" s="33"/>
      <c r="P10" s="33"/>
      <c r="R10" s="32"/>
    </row>
    <row r="11" spans="1:18">
      <c r="A11" s="32" t="s">
        <v>54</v>
      </c>
      <c r="B11" s="37">
        <f t="shared" si="0"/>
        <v>2745.9123540314999</v>
      </c>
      <c r="C11" s="33"/>
      <c r="D11" s="37">
        <f>IF(ISERROR(TER_onderwijs_gas_kWh/1000),0,TER_onderwijs_gas_kWh/1000)*0.902</f>
        <v>8896.1759108490878</v>
      </c>
      <c r="E11" s="33">
        <f>$C$31*'E Balans VL '!I11/100/3.6*1000000</f>
        <v>3.4079149723621192</v>
      </c>
      <c r="F11" s="33">
        <f>$C$31*('E Balans VL '!L11+'E Balans VL '!N11)/100/3.6*1000000</f>
        <v>3236.2014760123288</v>
      </c>
      <c r="G11" s="34"/>
      <c r="H11" s="33"/>
      <c r="I11" s="33"/>
      <c r="J11" s="33">
        <f>$C$31*('E Balans VL '!D11+'E Balans VL '!E11)/100/3.6*1000000</f>
        <v>0</v>
      </c>
      <c r="K11" s="33"/>
      <c r="L11" s="33"/>
      <c r="M11" s="33"/>
      <c r="N11" s="33">
        <f>$C$31*'E Balans VL '!Y11/100/3.6*1000000</f>
        <v>13.180122840080898</v>
      </c>
      <c r="O11" s="33"/>
      <c r="P11" s="33"/>
      <c r="R11" s="32"/>
    </row>
    <row r="12" spans="1:18">
      <c r="A12" s="32" t="s">
        <v>249</v>
      </c>
      <c r="B12" s="37">
        <f t="shared" si="0"/>
        <v>11050.468760207801</v>
      </c>
      <c r="C12" s="33"/>
      <c r="D12" s="37">
        <f>IF(ISERROR(TER_rest_gas_kWh/1000),0,TER_rest_gas_kWh/1000)*0.902</f>
        <v>29494.68862089096</v>
      </c>
      <c r="E12" s="33">
        <f>$C$32*'E Balans VL '!I8/100/3.6*1000000</f>
        <v>236.7660006690428</v>
      </c>
      <c r="F12" s="33">
        <f>$C$32*('E Balans VL '!L8+'E Balans VL '!N8)/100/3.6*1000000</f>
        <v>2185.618300112013</v>
      </c>
      <c r="G12" s="34"/>
      <c r="H12" s="33"/>
      <c r="I12" s="33"/>
      <c r="J12" s="33">
        <f>$C$32*('E Balans VL '!D8+'E Balans VL '!E8)/100/3.6*1000000</f>
        <v>0</v>
      </c>
      <c r="K12" s="33"/>
      <c r="L12" s="33"/>
      <c r="M12" s="33"/>
      <c r="N12" s="33">
        <f>$C$32*'E Balans VL '!Y8/100/3.6*1000000</f>
        <v>321.74200545479636</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81927.653245031746</v>
      </c>
      <c r="C16" s="21">
        <f ca="1">C5+C13+C14</f>
        <v>0</v>
      </c>
      <c r="D16" s="21">
        <f t="shared" ref="D16:N16" ca="1" si="1">MAX((D5+D13+D14),0)</f>
        <v>108106.57248005242</v>
      </c>
      <c r="E16" s="21">
        <f t="shared" si="1"/>
        <v>1954.1840370976865</v>
      </c>
      <c r="F16" s="21">
        <f t="shared" ca="1" si="1"/>
        <v>16944.207386941929</v>
      </c>
      <c r="G16" s="21">
        <f t="shared" si="1"/>
        <v>0</v>
      </c>
      <c r="H16" s="21">
        <f t="shared" si="1"/>
        <v>0</v>
      </c>
      <c r="I16" s="21">
        <f t="shared" si="1"/>
        <v>0</v>
      </c>
      <c r="J16" s="21">
        <f t="shared" si="1"/>
        <v>0</v>
      </c>
      <c r="K16" s="21">
        <f t="shared" si="1"/>
        <v>0</v>
      </c>
      <c r="L16" s="21">
        <f t="shared" ca="1" si="1"/>
        <v>0</v>
      </c>
      <c r="M16" s="21">
        <f t="shared" si="1"/>
        <v>0</v>
      </c>
      <c r="N16" s="21">
        <f t="shared" ca="1" si="1"/>
        <v>2659.3871143345755</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0.21452458768633267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17575.496032499272</v>
      </c>
      <c r="C20" s="23">
        <f t="shared" ref="C20:P20" ca="1" si="2">C16*C18</f>
        <v>0</v>
      </c>
      <c r="D20" s="23">
        <f t="shared" ca="1" si="2"/>
        <v>21837.527640970591</v>
      </c>
      <c r="E20" s="23">
        <f t="shared" si="2"/>
        <v>443.59977642117485</v>
      </c>
      <c r="F20" s="23">
        <f t="shared" ca="1" si="2"/>
        <v>4524.1033723134951</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37810.7901299476</v>
      </c>
      <c r="C26" s="39">
        <f>IF(ISERROR(B26*3.6/1000000/'E Balans VL '!Z12*100),0,B26*3.6/1000000/'E Balans VL '!Z12*100)</f>
        <v>0.78630206311981199</v>
      </c>
      <c r="D26" s="233" t="s">
        <v>676</v>
      </c>
      <c r="F26" s="6"/>
    </row>
    <row r="27" spans="1:18">
      <c r="A27" s="228" t="s">
        <v>52</v>
      </c>
      <c r="B27" s="33">
        <f>IF(ISERROR(TER_horeca_ele_kWh/1000),0,TER_horeca_ele_kWh/1000)</f>
        <v>5090.4650154354795</v>
      </c>
      <c r="C27" s="39">
        <f>IF(ISERROR(B27*3.6/1000000/'E Balans VL '!Z9*100),0,B27*3.6/1000000/'E Balans VL '!Z9*100)</f>
        <v>0.418694359967547</v>
      </c>
      <c r="D27" s="233" t="s">
        <v>676</v>
      </c>
      <c r="F27" s="6"/>
    </row>
    <row r="28" spans="1:18">
      <c r="A28" s="168" t="s">
        <v>51</v>
      </c>
      <c r="B28" s="33">
        <f>IF(ISERROR(TER_handel_ele_kWh/1000),0,TER_handel_ele_kWh/1000)</f>
        <v>15044.3575294492</v>
      </c>
      <c r="C28" s="39">
        <f>IF(ISERROR(B28*3.6/1000000/'E Balans VL '!Z13*100),0,B28*3.6/1000000/'E Balans VL '!Z13*100)</f>
        <v>0.41642487532211736</v>
      </c>
      <c r="D28" s="233" t="s">
        <v>676</v>
      </c>
      <c r="F28" s="6"/>
    </row>
    <row r="29" spans="1:18">
      <c r="A29" s="228" t="s">
        <v>50</v>
      </c>
      <c r="B29" s="33">
        <f>IF(ISERROR(TER_gezond_ele_kWh/1000),0,TER_gezond_ele_kWh/1000)</f>
        <v>1927.5834360896602</v>
      </c>
      <c r="C29" s="39">
        <f>IF(ISERROR(B29*3.6/1000000/'E Balans VL '!Z10*100),0,B29*3.6/1000000/'E Balans VL '!Z10*100)</f>
        <v>0.21982689976488617</v>
      </c>
      <c r="D29" s="233" t="s">
        <v>676</v>
      </c>
      <c r="F29" s="6"/>
    </row>
    <row r="30" spans="1:18">
      <c r="A30" s="228" t="s">
        <v>49</v>
      </c>
      <c r="B30" s="33">
        <f>IF(ISERROR(TER_ander_ele_kWh/1000),0,TER_ander_ele_kWh/1000)</f>
        <v>8258.0760198704902</v>
      </c>
      <c r="C30" s="39">
        <f>IF(ISERROR(B30*3.6/1000000/'E Balans VL '!Z14*100),0,B30*3.6/1000000/'E Balans VL '!Z14*100)</f>
        <v>0.63919748418077094</v>
      </c>
      <c r="D30" s="233" t="s">
        <v>676</v>
      </c>
      <c r="F30" s="6"/>
    </row>
    <row r="31" spans="1:18">
      <c r="A31" s="228" t="s">
        <v>54</v>
      </c>
      <c r="B31" s="33">
        <f>IF(ISERROR(TER_onderwijs_ele_kWh/1000),0,TER_onderwijs_ele_kWh/1000)</f>
        <v>2745.9123540314999</v>
      </c>
      <c r="C31" s="39">
        <f>IF(ISERROR(B31*3.6/1000000/'E Balans VL '!Z11*100),0,B31*3.6/1000000/'E Balans VL '!Z11*100)</f>
        <v>0.85557434859337211</v>
      </c>
      <c r="D31" s="233" t="s">
        <v>676</v>
      </c>
    </row>
    <row r="32" spans="1:18">
      <c r="A32" s="228" t="s">
        <v>249</v>
      </c>
      <c r="B32" s="33">
        <f>IF(ISERROR(TER_rest_ele_kWh/1000),0,TER_rest_ele_kWh/1000)</f>
        <v>11050.468760207801</v>
      </c>
      <c r="C32" s="39">
        <f>IF(ISERROR(B32*3.6/1000000/'E Balans VL '!Z8*100),0,B32*3.6/1000000/'E Balans VL '!Z8*100)</f>
        <v>9.1123046122764229E-2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2</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58416.027260672388</v>
      </c>
      <c r="C5" s="17">
        <f>IF(ISERROR('Eigen informatie GS &amp; warmtenet'!B59),0,'Eigen informatie GS &amp; warmtenet'!B59)</f>
        <v>0</v>
      </c>
      <c r="D5" s="30">
        <f>SUM(D6:D15)</f>
        <v>12129.488659854833</v>
      </c>
      <c r="E5" s="17">
        <f>SUM(E6:E15)</f>
        <v>596.01291932142567</v>
      </c>
      <c r="F5" s="17">
        <f>SUM(F6:F15)</f>
        <v>14979.41374830946</v>
      </c>
      <c r="G5" s="18"/>
      <c r="H5" s="17"/>
      <c r="I5" s="17"/>
      <c r="J5" s="17">
        <f>SUM(J6:J15)</f>
        <v>361.8820968372662</v>
      </c>
      <c r="K5" s="17"/>
      <c r="L5" s="17"/>
      <c r="M5" s="17"/>
      <c r="N5" s="17">
        <f>SUM(N6:N15)</f>
        <v>1350.0276663548934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1072.32912197984</v>
      </c>
      <c r="C8" s="33"/>
      <c r="D8" s="37">
        <f>IF( ISERROR(IND_metaal_Gas_kWH/1000),0,IND_metaal_Gas_kWH/1000)*0.902</f>
        <v>0</v>
      </c>
      <c r="E8" s="33">
        <f>C30*'E Balans VL '!I18/100/3.6*1000000</f>
        <v>7.5350201414637494</v>
      </c>
      <c r="F8" s="33">
        <f>C30*'E Balans VL '!L18/100/3.6*1000000+C30*'E Balans VL '!N18/100/3.6*1000000</f>
        <v>117.7354638505075</v>
      </c>
      <c r="G8" s="34"/>
      <c r="H8" s="33"/>
      <c r="I8" s="33"/>
      <c r="J8" s="40">
        <f>C30*'E Balans VL '!D18/100/3.6*1000000+C30*'E Balans VL '!E18/100/3.6*1000000</f>
        <v>22.124461075810931</v>
      </c>
      <c r="K8" s="33"/>
      <c r="L8" s="33"/>
      <c r="M8" s="33"/>
      <c r="N8" s="33">
        <f>C30*'E Balans VL '!Y18/100/3.6*1000000</f>
        <v>4.0191667782409679</v>
      </c>
      <c r="O8" s="33"/>
      <c r="P8" s="33"/>
      <c r="R8" s="32"/>
    </row>
    <row r="9" spans="1:18">
      <c r="A9" s="6" t="s">
        <v>32</v>
      </c>
      <c r="B9" s="37">
        <f t="shared" si="0"/>
        <v>6131.3374917767806</v>
      </c>
      <c r="C9" s="33"/>
      <c r="D9" s="37">
        <f>IF( ISERROR(IND_andere_gas_kWh/1000),0,IND_andere_gas_kWh/1000)*0.902</f>
        <v>8854.2663573796453</v>
      </c>
      <c r="E9" s="33">
        <f>C31*'E Balans VL '!I19/100/3.6*1000000</f>
        <v>102.98332430263545</v>
      </c>
      <c r="F9" s="33">
        <f>C31*'E Balans VL '!L19/100/3.6*1000000+C31*'E Balans VL '!N19/100/3.6*1000000</f>
        <v>4793.1304361625862</v>
      </c>
      <c r="G9" s="34"/>
      <c r="H9" s="33"/>
      <c r="I9" s="33"/>
      <c r="J9" s="40">
        <f>C31*'E Balans VL '!D19/100/3.6*1000000+C31*'E Balans VL '!E19/100/3.6*1000000</f>
        <v>0.55299251808218985</v>
      </c>
      <c r="K9" s="33"/>
      <c r="L9" s="33"/>
      <c r="M9" s="33"/>
      <c r="N9" s="33">
        <f>C31*'E Balans VL '!Y19/100/3.6*1000000</f>
        <v>454.43047679060788</v>
      </c>
      <c r="O9" s="33"/>
      <c r="P9" s="33"/>
      <c r="R9" s="32"/>
    </row>
    <row r="10" spans="1:18">
      <c r="A10" s="6" t="s">
        <v>40</v>
      </c>
      <c r="B10" s="37">
        <f t="shared" si="0"/>
        <v>1148.61664594074</v>
      </c>
      <c r="C10" s="33"/>
      <c r="D10" s="37">
        <f>IF( ISERROR(IND_voed_gas_kWh/1000),0,IND_voed_gas_kWh/1000)*0.902</f>
        <v>665.99695249781746</v>
      </c>
      <c r="E10" s="33">
        <f>C32*'E Balans VL '!I20/100/3.6*1000000</f>
        <v>10.479500969939039</v>
      </c>
      <c r="F10" s="33">
        <f>C32*'E Balans VL '!L20/100/3.6*1000000+C32*'E Balans VL '!N20/100/3.6*1000000</f>
        <v>185.30779161642704</v>
      </c>
      <c r="G10" s="34"/>
      <c r="H10" s="33"/>
      <c r="I10" s="33"/>
      <c r="J10" s="40">
        <f>C32*'E Balans VL '!D20/100/3.6*1000000+C32*'E Balans VL '!E20/100/3.6*1000000</f>
        <v>4.7307564175094381</v>
      </c>
      <c r="K10" s="33"/>
      <c r="L10" s="33"/>
      <c r="M10" s="33"/>
      <c r="N10" s="33">
        <f>C32*'E Balans VL '!Y20/100/3.6*1000000</f>
        <v>16.803355820467996</v>
      </c>
      <c r="O10" s="33"/>
      <c r="P10" s="33"/>
      <c r="R10" s="32"/>
    </row>
    <row r="11" spans="1:18">
      <c r="A11" s="6" t="s">
        <v>39</v>
      </c>
      <c r="B11" s="37">
        <f t="shared" si="0"/>
        <v>28.390598819510799</v>
      </c>
      <c r="C11" s="33"/>
      <c r="D11" s="37">
        <f>IF( ISERROR(IND_textiel_gas_kWh/1000),0,IND_textiel_gas_kWh/1000)*0.902</f>
        <v>0</v>
      </c>
      <c r="E11" s="33">
        <f>C33*'E Balans VL '!I21/100/3.6*1000000</f>
        <v>6.4753689676382051E-2</v>
      </c>
      <c r="F11" s="33">
        <f>C33*'E Balans VL '!L21/100/3.6*1000000+C33*'E Balans VL '!N21/100/3.6*1000000</f>
        <v>0.6068753819288184</v>
      </c>
      <c r="G11" s="34"/>
      <c r="H11" s="33"/>
      <c r="I11" s="33"/>
      <c r="J11" s="40">
        <f>C33*'E Balans VL '!D21/100/3.6*1000000+C33*'E Balans VL '!E21/100/3.6*1000000</f>
        <v>0</v>
      </c>
      <c r="K11" s="33"/>
      <c r="L11" s="33"/>
      <c r="M11" s="33"/>
      <c r="N11" s="33">
        <f>C33*'E Balans VL '!Y21/100/3.6*1000000</f>
        <v>0.20139907786281702</v>
      </c>
      <c r="O11" s="33"/>
      <c r="P11" s="33"/>
      <c r="R11" s="32"/>
    </row>
    <row r="12" spans="1:18">
      <c r="A12" s="6" t="s">
        <v>36</v>
      </c>
      <c r="B12" s="37">
        <f t="shared" si="0"/>
        <v>1278.1122176199199</v>
      </c>
      <c r="C12" s="33"/>
      <c r="D12" s="37">
        <f>IF( ISERROR(IND_min_gas_kWh/1000),0,IND_min_gas_kWh/1000)*0.902</f>
        <v>0</v>
      </c>
      <c r="E12" s="33">
        <f>C34*'E Balans VL '!I22/100/3.6*1000000</f>
        <v>31.701338201546729</v>
      </c>
      <c r="F12" s="33">
        <f>C34*'E Balans VL '!L22/100/3.6*1000000+C34*'E Balans VL '!N22/100/3.6*1000000</f>
        <v>135.81166104182051</v>
      </c>
      <c r="G12" s="34"/>
      <c r="H12" s="33"/>
      <c r="I12" s="33"/>
      <c r="J12" s="40">
        <f>C34*'E Balans VL '!D22/100/3.6*1000000+C34*'E Balans VL '!E22/100/3.6*1000000</f>
        <v>7.2604273440205462</v>
      </c>
      <c r="K12" s="33"/>
      <c r="L12" s="33"/>
      <c r="M12" s="33"/>
      <c r="N12" s="33">
        <f>C34*'E Balans VL '!Y22/100/3.6*1000000</f>
        <v>0</v>
      </c>
      <c r="O12" s="33"/>
      <c r="P12" s="33"/>
      <c r="R12" s="32"/>
    </row>
    <row r="13" spans="1:18">
      <c r="A13" s="6" t="s">
        <v>38</v>
      </c>
      <c r="B13" s="37">
        <f t="shared" si="0"/>
        <v>151.051638020328</v>
      </c>
      <c r="C13" s="33"/>
      <c r="D13" s="37">
        <f>IF( ISERROR(IND_papier_gas_kWh/1000),0,IND_papier_gas_kWh/1000)*0.902</f>
        <v>0</v>
      </c>
      <c r="E13" s="33">
        <f>C35*'E Balans VL '!I23/100/3.6*1000000</f>
        <v>4.6474646922195584</v>
      </c>
      <c r="F13" s="33">
        <f>C35*'E Balans VL '!L23/100/3.6*1000000+C35*'E Balans VL '!N23/100/3.6*1000000</f>
        <v>32.073541694571901</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10.2675376857672</v>
      </c>
      <c r="C14" s="33"/>
      <c r="D14" s="37">
        <f>IF( ISERROR(IND_chemie_gas_kWh/1000),0,IND_chemie_gas_kWh/1000)*0.902</f>
        <v>0</v>
      </c>
      <c r="E14" s="33">
        <f>C36*'E Balans VL '!I24/100/3.6*1000000</f>
        <v>3.4814024692746845E-2</v>
      </c>
      <c r="F14" s="33">
        <f>C36*'E Balans VL '!L24/100/3.6*1000000+C36*'E Balans VL '!N24/100/3.6*1000000</f>
        <v>3.2951016115177867E-2</v>
      </c>
      <c r="G14" s="34"/>
      <c r="H14" s="33"/>
      <c r="I14" s="33"/>
      <c r="J14" s="40">
        <f>C36*'E Balans VL '!D24/100/3.6*1000000+C36*'E Balans VL '!E24/100/3.6*1000000</f>
        <v>0</v>
      </c>
      <c r="K14" s="33"/>
      <c r="L14" s="33"/>
      <c r="M14" s="33"/>
      <c r="N14" s="33">
        <f>C36*'E Balans VL '!Y24/100/3.6*1000000</f>
        <v>4.8008223666425459E-2</v>
      </c>
      <c r="O14" s="33"/>
      <c r="P14" s="33"/>
      <c r="R14" s="32"/>
    </row>
    <row r="15" spans="1:18">
      <c r="A15" s="6" t="s">
        <v>259</v>
      </c>
      <c r="B15" s="37">
        <f t="shared" si="0"/>
        <v>48595.922008829497</v>
      </c>
      <c r="C15" s="33"/>
      <c r="D15" s="37">
        <f>IF( ISERROR(IND_rest_gas_kWh/1000),0,IND_rest_gas_kWh/1000)*0.902</f>
        <v>2609.2253499773701</v>
      </c>
      <c r="E15" s="33">
        <f>C37*'E Balans VL '!I15/100/3.6*1000000</f>
        <v>438.56670329925208</v>
      </c>
      <c r="F15" s="33">
        <f>C37*'E Balans VL '!L15/100/3.6*1000000+C37*'E Balans VL '!N15/100/3.6*1000000</f>
        <v>9714.7150275455024</v>
      </c>
      <c r="G15" s="34"/>
      <c r="H15" s="33"/>
      <c r="I15" s="33"/>
      <c r="J15" s="40">
        <f>C37*'E Balans VL '!D15/100/3.6*1000000+C37*'E Balans VL '!E15/100/3.6*1000000</f>
        <v>327.21345948184307</v>
      </c>
      <c r="K15" s="33"/>
      <c r="L15" s="33"/>
      <c r="M15" s="33"/>
      <c r="N15" s="33">
        <f>C37*'E Balans VL '!Y15/100/3.6*1000000</f>
        <v>874.52525966404721</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58416.027260672388</v>
      </c>
      <c r="C18" s="21">
        <f>C5+C16</f>
        <v>0</v>
      </c>
      <c r="D18" s="21">
        <f>MAX((D5+D16),0)</f>
        <v>12129.488659854833</v>
      </c>
      <c r="E18" s="21">
        <f>MAX((E5+E16),0)</f>
        <v>596.01291932142567</v>
      </c>
      <c r="F18" s="21">
        <f>MAX((F5+F16),0)</f>
        <v>14979.41374830946</v>
      </c>
      <c r="G18" s="21"/>
      <c r="H18" s="21"/>
      <c r="I18" s="21"/>
      <c r="J18" s="21">
        <f>MAX((J5+J16),0)</f>
        <v>361.8820968372662</v>
      </c>
      <c r="K18" s="21"/>
      <c r="L18" s="21">
        <f>MAX((L5+L16),0)</f>
        <v>0</v>
      </c>
      <c r="M18" s="21"/>
      <c r="N18" s="21">
        <f>MAX((N5+N16),0)</f>
        <v>1350.0276663548934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0.21452458768633267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12531.674162369314</v>
      </c>
      <c r="C22" s="23">
        <f ca="1">C18*C20</f>
        <v>0</v>
      </c>
      <c r="D22" s="23">
        <f>D18*D20</f>
        <v>2450.1567092906762</v>
      </c>
      <c r="E22" s="23">
        <f>E18*E20</f>
        <v>135.29493268596363</v>
      </c>
      <c r="F22" s="23">
        <f>F18*F20</f>
        <v>3999.503470798626</v>
      </c>
      <c r="G22" s="23"/>
      <c r="H22" s="23"/>
      <c r="I22" s="23"/>
      <c r="J22" s="23">
        <f>J18*J20</f>
        <v>128.10626228039223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1072.32912197984</v>
      </c>
      <c r="C30" s="39">
        <f>IF(ISERROR(B30*3.6/1000000/'E Balans VL '!Z18*100),0,B30*3.6/1000000/'E Balans VL '!Z18*100)</f>
        <v>7.1385604469232505E-2</v>
      </c>
      <c r="D30" s="233" t="s">
        <v>676</v>
      </c>
    </row>
    <row r="31" spans="1:18">
      <c r="A31" s="6" t="s">
        <v>32</v>
      </c>
      <c r="B31" s="37">
        <f>IF( ISERROR(IND_ander_ele_kWh/1000),0,IND_ander_ele_kWh/1000)</f>
        <v>6131.3374917767806</v>
      </c>
      <c r="C31" s="39">
        <f>IF(ISERROR(B31*3.6/1000000/'E Balans VL '!Z19*100),0,B31*3.6/1000000/'E Balans VL '!Z19*100)</f>
        <v>0.27177789284585441</v>
      </c>
      <c r="D31" s="233" t="s">
        <v>676</v>
      </c>
    </row>
    <row r="32" spans="1:18">
      <c r="A32" s="168" t="s">
        <v>40</v>
      </c>
      <c r="B32" s="37">
        <f>IF( ISERROR(IND_voed_ele_kWh/1000),0,IND_voed_ele_kWh/1000)</f>
        <v>1148.61664594074</v>
      </c>
      <c r="C32" s="39">
        <f>IF(ISERROR(B32*3.6/1000000/'E Balans VL '!Z20*100),0,B32*3.6/1000000/'E Balans VL '!Z20*100)</f>
        <v>3.8367090929127441E-2</v>
      </c>
      <c r="D32" s="233" t="s">
        <v>676</v>
      </c>
    </row>
    <row r="33" spans="1:5">
      <c r="A33" s="168" t="s">
        <v>39</v>
      </c>
      <c r="B33" s="37">
        <f>IF( ISERROR(IND_textiel_ele_kWh/1000),0,IND_textiel_ele_kWh/1000)</f>
        <v>28.390598819510799</v>
      </c>
      <c r="C33" s="39">
        <f>IF(ISERROR(B33*3.6/1000000/'E Balans VL '!Z21*100),0,B33*3.6/1000000/'E Balans VL '!Z21*100)</f>
        <v>3.7376878044444854E-3</v>
      </c>
      <c r="D33" s="233" t="s">
        <v>676</v>
      </c>
    </row>
    <row r="34" spans="1:5">
      <c r="A34" s="168" t="s">
        <v>36</v>
      </c>
      <c r="B34" s="37">
        <f>IF( ISERROR(IND_min_ele_kWh/1000),0,IND_min_ele_kWh/1000)</f>
        <v>1278.1122176199199</v>
      </c>
      <c r="C34" s="39">
        <f>IF(ISERROR(B34*3.6/1000000/'E Balans VL '!Z22*100),0,B34*3.6/1000000/'E Balans VL '!Z22*100)</f>
        <v>0.24857878706240397</v>
      </c>
      <c r="D34" s="233" t="s">
        <v>676</v>
      </c>
    </row>
    <row r="35" spans="1:5">
      <c r="A35" s="168" t="s">
        <v>38</v>
      </c>
      <c r="B35" s="37">
        <f>IF( ISERROR(IND_papier_ele_kWh/1000),0,IND_papier_ele_kWh/1000)</f>
        <v>151.051638020328</v>
      </c>
      <c r="C35" s="39">
        <f>IF(ISERROR(B35*3.6/1000000/'E Balans VL '!Z22*100),0,B35*3.6/1000000/'E Balans VL '!Z22*100)</f>
        <v>2.9377884387025228E-2</v>
      </c>
      <c r="D35" s="233" t="s">
        <v>676</v>
      </c>
    </row>
    <row r="36" spans="1:5">
      <c r="A36" s="168" t="s">
        <v>33</v>
      </c>
      <c r="B36" s="37">
        <f>IF( ISERROR(IND_chemie_ele_kWh/1000),0,IND_chemie_ele_kWh/1000)</f>
        <v>10.2675376857672</v>
      </c>
      <c r="C36" s="39">
        <f>IF(ISERROR(B36*3.6/1000000/'E Balans VL '!Z24*100),0,B36*3.6/1000000/'E Balans VL '!Z24*100)</f>
        <v>2.4110943943132852E-4</v>
      </c>
      <c r="D36" s="233" t="s">
        <v>676</v>
      </c>
    </row>
    <row r="37" spans="1:5">
      <c r="A37" s="168" t="s">
        <v>259</v>
      </c>
      <c r="B37" s="37">
        <f>IF( ISERROR(IND_rest_ele_kWh/1000),0,IND_rest_ele_kWh/1000)</f>
        <v>48595.922008829497</v>
      </c>
      <c r="C37" s="39">
        <f>IF(ISERROR(B37*3.6/1000000/'E Balans VL '!Z15*100),0,B37*3.6/1000000/'E Balans VL '!Z15*100)</f>
        <v>0.36147449021663736</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1287.5376607445221</v>
      </c>
      <c r="C5" s="17">
        <f>'Eigen informatie GS &amp; warmtenet'!B60</f>
        <v>0</v>
      </c>
      <c r="D5" s="30">
        <f>IF(ISERROR(SUM(LB_lb_gas_kWh,LB_rest_gas_kWh)/1000),0,SUM(LB_lb_gas_kWh,LB_rest_gas_kWh)/1000)*0.902</f>
        <v>146.63308347090461</v>
      </c>
      <c r="E5" s="17">
        <f>B17*'E Balans VL '!I25/3.6*1000000/100</f>
        <v>11.602348064604964</v>
      </c>
      <c r="F5" s="17">
        <f>B17*('E Balans VL '!L25/3.6*1000000+'E Balans VL '!N25/3.6*1000000)/100</f>
        <v>4824.4428834080454</v>
      </c>
      <c r="G5" s="18"/>
      <c r="H5" s="17"/>
      <c r="I5" s="17"/>
      <c r="J5" s="17">
        <f>('E Balans VL '!D25+'E Balans VL '!E25)/3.6*1000000*landbouw!B17/100</f>
        <v>130.29348616027517</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1287.5376607445221</v>
      </c>
      <c r="C8" s="21">
        <f>C5+C6</f>
        <v>0</v>
      </c>
      <c r="D8" s="21">
        <f>MAX((D5+D6),0)</f>
        <v>146.63308347090461</v>
      </c>
      <c r="E8" s="21">
        <f>MAX((E5+E6),0)</f>
        <v>11.602348064604964</v>
      </c>
      <c r="F8" s="21">
        <f>MAX((F5+F6),0)</f>
        <v>4824.4428834080454</v>
      </c>
      <c r="G8" s="21"/>
      <c r="H8" s="21"/>
      <c r="I8" s="21"/>
      <c r="J8" s="21">
        <f>MAX((J5+J6),0)</f>
        <v>130.29348616027517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0.21452458768633267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276.20848580184389</v>
      </c>
      <c r="C12" s="23">
        <f ca="1">C8*C10</f>
        <v>0</v>
      </c>
      <c r="D12" s="23">
        <f>D8*D10</f>
        <v>29.619882861122733</v>
      </c>
      <c r="E12" s="23">
        <f>E8*E10</f>
        <v>2.6337330106653272</v>
      </c>
      <c r="F12" s="23">
        <f>F8*F10</f>
        <v>1288.1262498699482</v>
      </c>
      <c r="G12" s="23"/>
      <c r="H12" s="23"/>
      <c r="I12" s="23"/>
      <c r="J12" s="23">
        <f>J8*J10</f>
        <v>46.123894100737409</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0.19817690005842756</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226.09296842932162</v>
      </c>
      <c r="C26" s="243">
        <f>B26*'GWP N2O_CH4'!B5</f>
        <v>4747.952337015754</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55.495201898250976</v>
      </c>
      <c r="C27" s="243">
        <f>B27*'GWP N2O_CH4'!B5</f>
        <v>1165.3992398632704</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3.2284327300068401</v>
      </c>
      <c r="C28" s="243">
        <f>B28*'GWP N2O_CH4'!B4</f>
        <v>1000.8141463021204</v>
      </c>
      <c r="D28" s="50"/>
    </row>
    <row r="29" spans="1:4">
      <c r="A29" s="41" t="s">
        <v>266</v>
      </c>
      <c r="B29" s="243">
        <f>B34*'ha_N2O bodem landbouw'!B4</f>
        <v>18.011123113391161</v>
      </c>
      <c r="C29" s="243">
        <f>B29*'GWP N2O_CH4'!B4</f>
        <v>5583.4481651512597</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4.676246156408167E-3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1.0008209919139595E-5</v>
      </c>
      <c r="C5" s="431" t="s">
        <v>204</v>
      </c>
      <c r="D5" s="416">
        <f>SUM(D6:D11)</f>
        <v>3.358300942822979E-5</v>
      </c>
      <c r="E5" s="416">
        <f>SUM(E6:E11)</f>
        <v>3.5477794536074936E-3</v>
      </c>
      <c r="F5" s="429" t="s">
        <v>204</v>
      </c>
      <c r="G5" s="416">
        <f>SUM(G6:G11)</f>
        <v>0.74040345530957774</v>
      </c>
      <c r="H5" s="416">
        <f>SUM(H6:H11)</f>
        <v>0.11618028650673821</v>
      </c>
      <c r="I5" s="431" t="s">
        <v>204</v>
      </c>
      <c r="J5" s="431" t="s">
        <v>204</v>
      </c>
      <c r="K5" s="431" t="s">
        <v>204</v>
      </c>
      <c r="L5" s="431" t="s">
        <v>204</v>
      </c>
      <c r="M5" s="416">
        <f>SUM(M6:M11)</f>
        <v>3.7243175943619429E-2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6.034192645860954E-6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1.9046789485948472E-5</v>
      </c>
      <c r="E6" s="419">
        <f>vkm_GW_PW*SUMIFS(TableVerdeelsleutelVkm[LPG],TableVerdeelsleutelVkm[Voertuigtype],"Lichte voertuigen")*SUMIFS(TableECFTransport[EnergieConsumptieFactor (PJ per km)],TableECFTransport[Index],CONCATENATE($A6,"_LPG_LPG"))</f>
        <v>1.9781702711113738E-3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0.26405109864926768</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6.631825711540458E-2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1.4427406811347342E-2</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2.3379994939580604E-7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0.10539129564415153</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3.1010707379535392E-6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4.5403122380088794E-3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1.8176583805518602E-6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9.7310990660751222E-6</v>
      </c>
      <c r="E8" s="419">
        <f>vkm_NGW_PW*SUMIFS(TableVerdeelsleutelVkm[LPG],TableVerdeelsleutelVkm[Voertuigtype],"Lichte voertuigen")*SUMIFS(TableECFTransport[EnergieConsumptieFactor (PJ per km)],TableECFTransport[Index],CONCATENATE($A8,"_LPG_LPG"))</f>
        <v>9.5121631153372553E-4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0.12078531236755488</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3.2000454850152855E-2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6.6761552516403661E-3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3.9499217762580217E-8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2.4663110120955241E-2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6.3237137280525907E-7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1.0624954114104967E-3</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1.5408652635514441E-6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4.8051208762061982E-6</v>
      </c>
      <c r="E10" s="419">
        <f>vkm_SW_PW*SUMIFS(TableVerdeelsleutelVkm[LPG],TableVerdeelsleutelVkm[Voertuigtype],"Lichte voertuigen")*SUMIFS(TableECFTransport[EnergieConsumptieFactor (PJ per km)],TableECFTransport[Index],CONCATENATE($A10,"_LPG_LPG"))</f>
        <v>6.1839287096239438E-4</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7.6671460435446814E-2</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1.7853169445001069E-2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4.124636847126547E-3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3.4219446201695263E-7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0.14884117809220171</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4.67165406895632E-6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6.412169384085801E-3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2.7800583108721098</v>
      </c>
      <c r="C14" s="21"/>
      <c r="D14" s="21">
        <f t="shared" ref="D14:M14" si="0">((D5)*10^9/3600)+D12</f>
        <v>9.3286137300638305</v>
      </c>
      <c r="E14" s="21">
        <f t="shared" si="0"/>
        <v>985.49429266874824</v>
      </c>
      <c r="F14" s="21"/>
      <c r="G14" s="21">
        <f t="shared" si="0"/>
        <v>205667.62647488271</v>
      </c>
      <c r="H14" s="21">
        <f t="shared" si="0"/>
        <v>32272.30180742728</v>
      </c>
      <c r="I14" s="21"/>
      <c r="J14" s="21"/>
      <c r="K14" s="21"/>
      <c r="L14" s="21"/>
      <c r="M14" s="21">
        <f t="shared" si="0"/>
        <v>10345.326651005396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0.21452458768633267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0.59639086288380183</v>
      </c>
      <c r="C18" s="23"/>
      <c r="D18" s="23">
        <f t="shared" ref="D18:M18" si="1">D14*D16</f>
        <v>1.8843799734728939</v>
      </c>
      <c r="E18" s="23">
        <f t="shared" si="1"/>
        <v>223.70720443580586</v>
      </c>
      <c r="F18" s="23"/>
      <c r="G18" s="23">
        <f t="shared" si="1"/>
        <v>54913.256268793688</v>
      </c>
      <c r="H18" s="23">
        <f t="shared" si="1"/>
        <v>8035.8031500493926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5.067719404645788E-5</v>
      </c>
      <c r="C50" s="313">
        <f t="shared" ref="C50:P50" si="2">SUM(C51:C52)</f>
        <v>0</v>
      </c>
      <c r="D50" s="313">
        <f t="shared" si="2"/>
        <v>0</v>
      </c>
      <c r="E50" s="313">
        <f t="shared" si="2"/>
        <v>0</v>
      </c>
      <c r="F50" s="313">
        <f t="shared" si="2"/>
        <v>0</v>
      </c>
      <c r="G50" s="313">
        <f t="shared" si="2"/>
        <v>1.0993908456529018E-2</v>
      </c>
      <c r="H50" s="313">
        <f t="shared" si="2"/>
        <v>0</v>
      </c>
      <c r="I50" s="313">
        <f t="shared" si="2"/>
        <v>0</v>
      </c>
      <c r="J50" s="313">
        <f t="shared" si="2"/>
        <v>0</v>
      </c>
      <c r="K50" s="313">
        <f t="shared" si="2"/>
        <v>0</v>
      </c>
      <c r="L50" s="313">
        <f t="shared" si="2"/>
        <v>0</v>
      </c>
      <c r="M50" s="313">
        <f t="shared" si="2"/>
        <v>4.7071692976840299E-4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5.067719404645788E-5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1.0993908456529018E-2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4.7071692976840299E-4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14.0769983462383</v>
      </c>
      <c r="C54" s="21">
        <f t="shared" ref="C54:P54" si="3">(C50)*10^9/3600</f>
        <v>0</v>
      </c>
      <c r="D54" s="21">
        <f t="shared" si="3"/>
        <v>0</v>
      </c>
      <c r="E54" s="21">
        <f t="shared" si="3"/>
        <v>0</v>
      </c>
      <c r="F54" s="21">
        <f t="shared" si="3"/>
        <v>0</v>
      </c>
      <c r="G54" s="21">
        <f t="shared" si="3"/>
        <v>3053.8634601469494</v>
      </c>
      <c r="H54" s="21">
        <f t="shared" si="3"/>
        <v>0</v>
      </c>
      <c r="I54" s="21">
        <f t="shared" si="3"/>
        <v>0</v>
      </c>
      <c r="J54" s="21">
        <f t="shared" si="3"/>
        <v>0</v>
      </c>
      <c r="K54" s="21">
        <f t="shared" si="3"/>
        <v>0</v>
      </c>
      <c r="L54" s="21">
        <f t="shared" si="3"/>
        <v>0</v>
      </c>
      <c r="M54" s="21">
        <f t="shared" si="3"/>
        <v>130.75470271344528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0.21452458768633267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3.0198622660879582</v>
      </c>
      <c r="C58" s="23">
        <f t="shared" ref="C58:P58" ca="1" si="4">C54*C56</f>
        <v>0</v>
      </c>
      <c r="D58" s="23">
        <f t="shared" si="4"/>
        <v>0</v>
      </c>
      <c r="E58" s="23">
        <f t="shared" si="4"/>
        <v>0</v>
      </c>
      <c r="F58" s="23">
        <f t="shared" si="4"/>
        <v>0</v>
      </c>
      <c r="G58" s="23">
        <f t="shared" si="4"/>
        <v>815.38154385923553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6169.2324466809187</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6169.2324466809187</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83387.498245031748</v>
      </c>
      <c r="D10" s="635">
        <f ca="1">tertiair!C16</f>
        <v>0</v>
      </c>
      <c r="E10" s="635">
        <f ca="1">tertiair!D16</f>
        <v>108106.57248005242</v>
      </c>
      <c r="F10" s="635">
        <f>tertiair!E16</f>
        <v>1954.1840370976865</v>
      </c>
      <c r="G10" s="635">
        <f ca="1">tertiair!F16</f>
        <v>16944.207386941929</v>
      </c>
      <c r="H10" s="635">
        <f>tertiair!G16</f>
        <v>0</v>
      </c>
      <c r="I10" s="635">
        <f>tertiair!H16</f>
        <v>0</v>
      </c>
      <c r="J10" s="635">
        <f>tertiair!I16</f>
        <v>0</v>
      </c>
      <c r="K10" s="635">
        <f>tertiair!J16</f>
        <v>0</v>
      </c>
      <c r="L10" s="635">
        <f>tertiair!K16</f>
        <v>0</v>
      </c>
      <c r="M10" s="635">
        <f ca="1">tertiair!L16</f>
        <v>0</v>
      </c>
      <c r="N10" s="635">
        <f>tertiair!M16</f>
        <v>0</v>
      </c>
      <c r="O10" s="635">
        <f ca="1">tertiair!N16</f>
        <v>2659.3871143345755</v>
      </c>
      <c r="P10" s="635">
        <f>tertiair!O16</f>
        <v>3.1266666666666669</v>
      </c>
      <c r="Q10" s="636">
        <f>tertiair!P16</f>
        <v>0</v>
      </c>
      <c r="R10" s="638">
        <f ca="1">SUM(C10:Q10)</f>
        <v>213054.97593012507</v>
      </c>
      <c r="S10" s="67"/>
    </row>
    <row r="11" spans="1:19" s="441" customFormat="1">
      <c r="A11" s="749" t="s">
        <v>214</v>
      </c>
      <c r="B11" s="754"/>
      <c r="C11" s="635">
        <f>huishoudens!B8</f>
        <v>64347.784759989248</v>
      </c>
      <c r="D11" s="635">
        <f>huishoudens!C8</f>
        <v>0</v>
      </c>
      <c r="E11" s="635">
        <f>huishoudens!D8</f>
        <v>115500.53817010939</v>
      </c>
      <c r="F11" s="635">
        <f>huishoudens!E8</f>
        <v>3407.2366751054606</v>
      </c>
      <c r="G11" s="635">
        <f>huishoudens!F8</f>
        <v>116303.96471222134</v>
      </c>
      <c r="H11" s="635">
        <f>huishoudens!G8</f>
        <v>0</v>
      </c>
      <c r="I11" s="635">
        <f>huishoudens!H8</f>
        <v>0</v>
      </c>
      <c r="J11" s="635">
        <f>huishoudens!I8</f>
        <v>0</v>
      </c>
      <c r="K11" s="635">
        <f>huishoudens!J8</f>
        <v>2618.870421368159</v>
      </c>
      <c r="L11" s="635">
        <f>huishoudens!K8</f>
        <v>0</v>
      </c>
      <c r="M11" s="635">
        <f>huishoudens!L8</f>
        <v>0</v>
      </c>
      <c r="N11" s="635">
        <f>huishoudens!M8</f>
        <v>0</v>
      </c>
      <c r="O11" s="635">
        <f>huishoudens!N8</f>
        <v>17849.54045549659</v>
      </c>
      <c r="P11" s="635">
        <f>huishoudens!O8</f>
        <v>306.41333333333336</v>
      </c>
      <c r="Q11" s="636">
        <f>huishoudens!P8</f>
        <v>877.06666666666661</v>
      </c>
      <c r="R11" s="638">
        <f>SUM(C11:Q11)</f>
        <v>321211.41519429017</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58416.027260672388</v>
      </c>
      <c r="D13" s="635">
        <f>industrie!C18</f>
        <v>0</v>
      </c>
      <c r="E13" s="635">
        <f>industrie!D18</f>
        <v>12129.488659854833</v>
      </c>
      <c r="F13" s="635">
        <f>industrie!E18</f>
        <v>596.01291932142567</v>
      </c>
      <c r="G13" s="635">
        <f>industrie!F18</f>
        <v>14979.41374830946</v>
      </c>
      <c r="H13" s="635">
        <f>industrie!G18</f>
        <v>0</v>
      </c>
      <c r="I13" s="635">
        <f>industrie!H18</f>
        <v>0</v>
      </c>
      <c r="J13" s="635">
        <f>industrie!I18</f>
        <v>0</v>
      </c>
      <c r="K13" s="635">
        <f>industrie!J18</f>
        <v>361.8820968372662</v>
      </c>
      <c r="L13" s="635">
        <f>industrie!K18</f>
        <v>0</v>
      </c>
      <c r="M13" s="635">
        <f>industrie!L18</f>
        <v>0</v>
      </c>
      <c r="N13" s="635">
        <f>industrie!M18</f>
        <v>0</v>
      </c>
      <c r="O13" s="635">
        <f>industrie!N18</f>
        <v>1350.0276663548934</v>
      </c>
      <c r="P13" s="635">
        <f>industrie!O18</f>
        <v>0</v>
      </c>
      <c r="Q13" s="636">
        <f>industrie!P18</f>
        <v>0</v>
      </c>
      <c r="R13" s="638">
        <f>SUM(C13:Q13)</f>
        <v>87832.852351350244</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206151.31026569338</v>
      </c>
      <c r="D16" s="668">
        <f t="shared" ref="D16:R16" ca="1" si="0">SUM(D9:D15)</f>
        <v>0</v>
      </c>
      <c r="E16" s="668">
        <f t="shared" ca="1" si="0"/>
        <v>235736.59931001664</v>
      </c>
      <c r="F16" s="668">
        <f t="shared" si="0"/>
        <v>5957.4336315245728</v>
      </c>
      <c r="G16" s="668">
        <f t="shared" ca="1" si="0"/>
        <v>148227.58584747271</v>
      </c>
      <c r="H16" s="668">
        <f t="shared" si="0"/>
        <v>0</v>
      </c>
      <c r="I16" s="668">
        <f t="shared" si="0"/>
        <v>0</v>
      </c>
      <c r="J16" s="668">
        <f t="shared" si="0"/>
        <v>0</v>
      </c>
      <c r="K16" s="668">
        <f t="shared" si="0"/>
        <v>2980.7525182054251</v>
      </c>
      <c r="L16" s="668">
        <f t="shared" si="0"/>
        <v>0</v>
      </c>
      <c r="M16" s="668">
        <f t="shared" ca="1" si="0"/>
        <v>0</v>
      </c>
      <c r="N16" s="668">
        <f t="shared" si="0"/>
        <v>0</v>
      </c>
      <c r="O16" s="668">
        <f t="shared" ca="1" si="0"/>
        <v>21858.955236186059</v>
      </c>
      <c r="P16" s="668">
        <f t="shared" si="0"/>
        <v>309.54000000000002</v>
      </c>
      <c r="Q16" s="668">
        <f t="shared" si="0"/>
        <v>877.06666666666661</v>
      </c>
      <c r="R16" s="668">
        <f t="shared" ca="1" si="0"/>
        <v>622099.24347576546</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14.0769983462383</v>
      </c>
      <c r="D19" s="635">
        <f>transport!C54</f>
        <v>0</v>
      </c>
      <c r="E19" s="635">
        <f>transport!D54</f>
        <v>0</v>
      </c>
      <c r="F19" s="635">
        <f>transport!E54</f>
        <v>0</v>
      </c>
      <c r="G19" s="635">
        <f>transport!F54</f>
        <v>0</v>
      </c>
      <c r="H19" s="635">
        <f>transport!G54</f>
        <v>3053.8634601469494</v>
      </c>
      <c r="I19" s="635">
        <f>transport!H54</f>
        <v>0</v>
      </c>
      <c r="J19" s="635">
        <f>transport!I54</f>
        <v>0</v>
      </c>
      <c r="K19" s="635">
        <f>transport!J54</f>
        <v>0</v>
      </c>
      <c r="L19" s="635">
        <f>transport!K54</f>
        <v>0</v>
      </c>
      <c r="M19" s="635">
        <f>transport!L54</f>
        <v>0</v>
      </c>
      <c r="N19" s="635">
        <f>transport!M54</f>
        <v>130.75470271344528</v>
      </c>
      <c r="O19" s="635">
        <f>transport!N54</f>
        <v>0</v>
      </c>
      <c r="P19" s="635">
        <f>transport!O54</f>
        <v>0</v>
      </c>
      <c r="Q19" s="636">
        <f>transport!P54</f>
        <v>0</v>
      </c>
      <c r="R19" s="638">
        <f>SUM(C19:Q19)</f>
        <v>3198.6951612066327</v>
      </c>
      <c r="S19" s="67"/>
    </row>
    <row r="20" spans="1:19" s="441" customFormat="1">
      <c r="A20" s="749" t="s">
        <v>296</v>
      </c>
      <c r="B20" s="754"/>
      <c r="C20" s="635">
        <f>transport!B14</f>
        <v>2.7800583108721098</v>
      </c>
      <c r="D20" s="635">
        <f>transport!C14</f>
        <v>0</v>
      </c>
      <c r="E20" s="635">
        <f>transport!D14</f>
        <v>9.3286137300638305</v>
      </c>
      <c r="F20" s="635">
        <f>transport!E14</f>
        <v>985.49429266874824</v>
      </c>
      <c r="G20" s="635">
        <f>transport!F14</f>
        <v>0</v>
      </c>
      <c r="H20" s="635">
        <f>transport!G14</f>
        <v>205667.62647488271</v>
      </c>
      <c r="I20" s="635">
        <f>transport!H14</f>
        <v>32272.30180742728</v>
      </c>
      <c r="J20" s="635">
        <f>transport!I14</f>
        <v>0</v>
      </c>
      <c r="K20" s="635">
        <f>transport!J14</f>
        <v>0</v>
      </c>
      <c r="L20" s="635">
        <f>transport!K14</f>
        <v>0</v>
      </c>
      <c r="M20" s="635">
        <f>transport!L14</f>
        <v>0</v>
      </c>
      <c r="N20" s="635">
        <f>transport!M14</f>
        <v>10345.326651005396</v>
      </c>
      <c r="O20" s="635">
        <f>transport!N14</f>
        <v>0</v>
      </c>
      <c r="P20" s="635">
        <f>transport!O14</f>
        <v>0</v>
      </c>
      <c r="Q20" s="636">
        <f>transport!P14</f>
        <v>0</v>
      </c>
      <c r="R20" s="638">
        <f>SUM(C20:Q20)</f>
        <v>249282.85789802507</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16.857056657110409</v>
      </c>
      <c r="D22" s="752">
        <f t="shared" ref="D22:R22" si="1">SUM(D18:D21)</f>
        <v>0</v>
      </c>
      <c r="E22" s="752">
        <f t="shared" si="1"/>
        <v>9.3286137300638305</v>
      </c>
      <c r="F22" s="752">
        <f t="shared" si="1"/>
        <v>985.49429266874824</v>
      </c>
      <c r="G22" s="752">
        <f t="shared" si="1"/>
        <v>0</v>
      </c>
      <c r="H22" s="752">
        <f t="shared" si="1"/>
        <v>208721.48993502965</v>
      </c>
      <c r="I22" s="752">
        <f t="shared" si="1"/>
        <v>32272.30180742728</v>
      </c>
      <c r="J22" s="752">
        <f t="shared" si="1"/>
        <v>0</v>
      </c>
      <c r="K22" s="752">
        <f t="shared" si="1"/>
        <v>0</v>
      </c>
      <c r="L22" s="752">
        <f t="shared" si="1"/>
        <v>0</v>
      </c>
      <c r="M22" s="752">
        <f t="shared" si="1"/>
        <v>0</v>
      </c>
      <c r="N22" s="752">
        <f t="shared" si="1"/>
        <v>10476.081353718842</v>
      </c>
      <c r="O22" s="752">
        <f t="shared" si="1"/>
        <v>0</v>
      </c>
      <c r="P22" s="752">
        <f t="shared" si="1"/>
        <v>0</v>
      </c>
      <c r="Q22" s="752">
        <f t="shared" si="1"/>
        <v>0</v>
      </c>
      <c r="R22" s="752">
        <f t="shared" si="1"/>
        <v>252481.55305923169</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1287.5376607445221</v>
      </c>
      <c r="D24" s="635">
        <f>+landbouw!C8</f>
        <v>0</v>
      </c>
      <c r="E24" s="635">
        <f>+landbouw!D8</f>
        <v>146.63308347090461</v>
      </c>
      <c r="F24" s="635">
        <f>+landbouw!E8</f>
        <v>11.602348064604964</v>
      </c>
      <c r="G24" s="635">
        <f>+landbouw!F8</f>
        <v>4824.4428834080454</v>
      </c>
      <c r="H24" s="635">
        <f>+landbouw!G8</f>
        <v>0</v>
      </c>
      <c r="I24" s="635">
        <f>+landbouw!H8</f>
        <v>0</v>
      </c>
      <c r="J24" s="635">
        <f>+landbouw!I8</f>
        <v>0</v>
      </c>
      <c r="K24" s="635">
        <f>+landbouw!J8</f>
        <v>130.29348616027517</v>
      </c>
      <c r="L24" s="635">
        <f>+landbouw!K8</f>
        <v>0</v>
      </c>
      <c r="M24" s="635">
        <f>+landbouw!L8</f>
        <v>0</v>
      </c>
      <c r="N24" s="635">
        <f>+landbouw!M8</f>
        <v>0</v>
      </c>
      <c r="O24" s="635">
        <f>+landbouw!N8</f>
        <v>0</v>
      </c>
      <c r="P24" s="635">
        <f>+landbouw!O8</f>
        <v>0</v>
      </c>
      <c r="Q24" s="636">
        <f>+landbouw!P8</f>
        <v>0</v>
      </c>
      <c r="R24" s="638">
        <f>SUM(C24:Q24)</f>
        <v>6400.5094618483527</v>
      </c>
      <c r="S24" s="67"/>
    </row>
    <row r="25" spans="1:19" s="441" customFormat="1" ht="15" thickBot="1">
      <c r="A25" s="771" t="s">
        <v>864</v>
      </c>
      <c r="B25" s="923"/>
      <c r="C25" s="924">
        <f>IF(Onbekend_ele_kWh="---",0,Onbekend_ele_kWh)/1000+IF(REST_rest_ele_kWh="---",0,REST_rest_ele_kWh)/1000</f>
        <v>3094.6514534857702</v>
      </c>
      <c r="D25" s="924"/>
      <c r="E25" s="924">
        <f>IF(onbekend_gas_kWh="---",0,onbekend_gas_kWh)/1000+IF(REST_rest_gas_kWh="---",0,REST_rest_gas_kWh)/1000</f>
        <v>5761.2387531754703</v>
      </c>
      <c r="F25" s="924"/>
      <c r="G25" s="924"/>
      <c r="H25" s="924"/>
      <c r="I25" s="924"/>
      <c r="J25" s="924"/>
      <c r="K25" s="924"/>
      <c r="L25" s="924"/>
      <c r="M25" s="924"/>
      <c r="N25" s="924"/>
      <c r="O25" s="924"/>
      <c r="P25" s="924"/>
      <c r="Q25" s="925"/>
      <c r="R25" s="638">
        <f>SUM(C25:Q25)</f>
        <v>8855.8902066612409</v>
      </c>
      <c r="S25" s="67"/>
    </row>
    <row r="26" spans="1:19" s="441" customFormat="1" ht="15.75" thickBot="1">
      <c r="A26" s="641" t="s">
        <v>865</v>
      </c>
      <c r="B26" s="757"/>
      <c r="C26" s="752">
        <f>SUM(C24:C25)</f>
        <v>4382.189114230292</v>
      </c>
      <c r="D26" s="752">
        <f t="shared" ref="D26:R26" si="2">SUM(D24:D25)</f>
        <v>0</v>
      </c>
      <c r="E26" s="752">
        <f t="shared" si="2"/>
        <v>5907.8718366463745</v>
      </c>
      <c r="F26" s="752">
        <f t="shared" si="2"/>
        <v>11.602348064604964</v>
      </c>
      <c r="G26" s="752">
        <f t="shared" si="2"/>
        <v>4824.4428834080454</v>
      </c>
      <c r="H26" s="752">
        <f t="shared" si="2"/>
        <v>0</v>
      </c>
      <c r="I26" s="752">
        <f t="shared" si="2"/>
        <v>0</v>
      </c>
      <c r="J26" s="752">
        <f t="shared" si="2"/>
        <v>0</v>
      </c>
      <c r="K26" s="752">
        <f t="shared" si="2"/>
        <v>130.29348616027517</v>
      </c>
      <c r="L26" s="752">
        <f t="shared" si="2"/>
        <v>0</v>
      </c>
      <c r="M26" s="752">
        <f t="shared" si="2"/>
        <v>0</v>
      </c>
      <c r="N26" s="752">
        <f t="shared" si="2"/>
        <v>0</v>
      </c>
      <c r="O26" s="752">
        <f t="shared" si="2"/>
        <v>0</v>
      </c>
      <c r="P26" s="752">
        <f t="shared" si="2"/>
        <v>0</v>
      </c>
      <c r="Q26" s="752">
        <f t="shared" si="2"/>
        <v>0</v>
      </c>
      <c r="R26" s="752">
        <f t="shared" si="2"/>
        <v>15256.399668509594</v>
      </c>
      <c r="S26" s="67"/>
    </row>
    <row r="27" spans="1:19" s="441" customFormat="1" ht="17.25" thickTop="1" thickBot="1">
      <c r="A27" s="642" t="s">
        <v>109</v>
      </c>
      <c r="B27" s="744"/>
      <c r="C27" s="643">
        <f ca="1">C22+C16+C26</f>
        <v>210550.35643658077</v>
      </c>
      <c r="D27" s="643">
        <f t="shared" ref="D27:R27" ca="1" si="3">D22+D16+D26</f>
        <v>0</v>
      </c>
      <c r="E27" s="643">
        <f t="shared" ca="1" si="3"/>
        <v>241653.79976039307</v>
      </c>
      <c r="F27" s="643">
        <f t="shared" si="3"/>
        <v>6954.5302722579263</v>
      </c>
      <c r="G27" s="643">
        <f t="shared" ca="1" si="3"/>
        <v>153052.02873088076</v>
      </c>
      <c r="H27" s="643">
        <f t="shared" si="3"/>
        <v>208721.48993502965</v>
      </c>
      <c r="I27" s="643">
        <f t="shared" si="3"/>
        <v>32272.30180742728</v>
      </c>
      <c r="J27" s="643">
        <f t="shared" si="3"/>
        <v>0</v>
      </c>
      <c r="K27" s="643">
        <f t="shared" si="3"/>
        <v>3111.0460043657004</v>
      </c>
      <c r="L27" s="643">
        <f t="shared" si="3"/>
        <v>0</v>
      </c>
      <c r="M27" s="643">
        <f t="shared" ca="1" si="3"/>
        <v>0</v>
      </c>
      <c r="N27" s="643">
        <f t="shared" si="3"/>
        <v>10476.081353718842</v>
      </c>
      <c r="O27" s="643">
        <f t="shared" ca="1" si="3"/>
        <v>21858.955236186059</v>
      </c>
      <c r="P27" s="643">
        <f t="shared" si="3"/>
        <v>309.54000000000002</v>
      </c>
      <c r="Q27" s="643">
        <f t="shared" si="3"/>
        <v>877.06666666666661</v>
      </c>
      <c r="R27" s="643">
        <f t="shared" ca="1" si="3"/>
        <v>889837.19620350678</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17888.668679210226</v>
      </c>
      <c r="D40" s="635">
        <f ca="1">tertiair!C20</f>
        <v>0</v>
      </c>
      <c r="E40" s="635">
        <f ca="1">tertiair!D20</f>
        <v>21837.527640970591</v>
      </c>
      <c r="F40" s="635">
        <f>tertiair!E20</f>
        <v>443.59977642117485</v>
      </c>
      <c r="G40" s="635">
        <f ca="1">tertiair!F20</f>
        <v>4524.1033723134951</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44693.899468915486</v>
      </c>
    </row>
    <row r="41" spans="1:18">
      <c r="A41" s="762" t="s">
        <v>214</v>
      </c>
      <c r="B41" s="769"/>
      <c r="C41" s="635">
        <f ca="1">huishoudens!B12</f>
        <v>13804.181994165574</v>
      </c>
      <c r="D41" s="635">
        <f ca="1">huishoudens!C12</f>
        <v>0</v>
      </c>
      <c r="E41" s="635">
        <f>huishoudens!D12</f>
        <v>23331.108710362099</v>
      </c>
      <c r="F41" s="635">
        <f>huishoudens!E12</f>
        <v>773.44272524893961</v>
      </c>
      <c r="G41" s="635">
        <f>huishoudens!F12</f>
        <v>31053.158578163097</v>
      </c>
      <c r="H41" s="635">
        <f>huishoudens!G12</f>
        <v>0</v>
      </c>
      <c r="I41" s="635">
        <f>huishoudens!H12</f>
        <v>0</v>
      </c>
      <c r="J41" s="635">
        <f>huishoudens!I12</f>
        <v>0</v>
      </c>
      <c r="K41" s="635">
        <f>huishoudens!J12</f>
        <v>927.08012916432824</v>
      </c>
      <c r="L41" s="635">
        <f>huishoudens!K12</f>
        <v>0</v>
      </c>
      <c r="M41" s="635">
        <f>huishoudens!L12</f>
        <v>0</v>
      </c>
      <c r="N41" s="635">
        <f>huishoudens!M12</f>
        <v>0</v>
      </c>
      <c r="O41" s="635">
        <f>huishoudens!N12</f>
        <v>0</v>
      </c>
      <c r="P41" s="635">
        <f>huishoudens!O12</f>
        <v>0</v>
      </c>
      <c r="Q41" s="710">
        <f>huishoudens!P12</f>
        <v>0</v>
      </c>
      <c r="R41" s="790">
        <f t="shared" ca="1" si="4"/>
        <v>69888.972137104036</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12531.674162369314</v>
      </c>
      <c r="D43" s="635">
        <f ca="1">industrie!C22</f>
        <v>0</v>
      </c>
      <c r="E43" s="635">
        <f>industrie!D22</f>
        <v>2450.1567092906762</v>
      </c>
      <c r="F43" s="635">
        <f>industrie!E22</f>
        <v>135.29493268596363</v>
      </c>
      <c r="G43" s="635">
        <f>industrie!F22</f>
        <v>3999.503470798626</v>
      </c>
      <c r="H43" s="635">
        <f>industrie!G22</f>
        <v>0</v>
      </c>
      <c r="I43" s="635">
        <f>industrie!H22</f>
        <v>0</v>
      </c>
      <c r="J43" s="635">
        <f>industrie!I22</f>
        <v>0</v>
      </c>
      <c r="K43" s="635">
        <f>industrie!J22</f>
        <v>128.10626228039223</v>
      </c>
      <c r="L43" s="635">
        <f>industrie!K22</f>
        <v>0</v>
      </c>
      <c r="M43" s="635">
        <f>industrie!L22</f>
        <v>0</v>
      </c>
      <c r="N43" s="635">
        <f>industrie!M22</f>
        <v>0</v>
      </c>
      <c r="O43" s="635">
        <f>industrie!N22</f>
        <v>0</v>
      </c>
      <c r="P43" s="635">
        <f>industrie!O22</f>
        <v>0</v>
      </c>
      <c r="Q43" s="710">
        <f>industrie!P22</f>
        <v>0</v>
      </c>
      <c r="R43" s="789">
        <f t="shared" ca="1" si="4"/>
        <v>19244.735537424971</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44224.524835745113</v>
      </c>
      <c r="D46" s="668">
        <f t="shared" ref="D46:Q46" ca="1" si="5">SUM(D39:D45)</f>
        <v>0</v>
      </c>
      <c r="E46" s="668">
        <f t="shared" ca="1" si="5"/>
        <v>47618.793060623371</v>
      </c>
      <c r="F46" s="668">
        <f t="shared" si="5"/>
        <v>1352.3374343560781</v>
      </c>
      <c r="G46" s="668">
        <f t="shared" ca="1" si="5"/>
        <v>39576.765421275217</v>
      </c>
      <c r="H46" s="668">
        <f t="shared" si="5"/>
        <v>0</v>
      </c>
      <c r="I46" s="668">
        <f t="shared" si="5"/>
        <v>0</v>
      </c>
      <c r="J46" s="668">
        <f t="shared" si="5"/>
        <v>0</v>
      </c>
      <c r="K46" s="668">
        <f t="shared" si="5"/>
        <v>1055.1863914447204</v>
      </c>
      <c r="L46" s="668">
        <f t="shared" si="5"/>
        <v>0</v>
      </c>
      <c r="M46" s="668">
        <f t="shared" ca="1" si="5"/>
        <v>0</v>
      </c>
      <c r="N46" s="668">
        <f t="shared" si="5"/>
        <v>0</v>
      </c>
      <c r="O46" s="668">
        <f t="shared" ca="1" si="5"/>
        <v>0</v>
      </c>
      <c r="P46" s="668">
        <f t="shared" si="5"/>
        <v>0</v>
      </c>
      <c r="Q46" s="668">
        <f t="shared" si="5"/>
        <v>0</v>
      </c>
      <c r="R46" s="668">
        <f ca="1">SUM(R39:R45)</f>
        <v>133827.6071434445</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3.0198622660879582</v>
      </c>
      <c r="D49" s="635">
        <f ca="1">transport!C58</f>
        <v>0</v>
      </c>
      <c r="E49" s="635">
        <f>transport!D58</f>
        <v>0</v>
      </c>
      <c r="F49" s="635">
        <f>transport!E58</f>
        <v>0</v>
      </c>
      <c r="G49" s="635">
        <f>transport!F58</f>
        <v>0</v>
      </c>
      <c r="H49" s="635">
        <f>transport!G58</f>
        <v>815.38154385923553</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818.40140612532355</v>
      </c>
    </row>
    <row r="50" spans="1:18">
      <c r="A50" s="765" t="s">
        <v>296</v>
      </c>
      <c r="B50" s="775"/>
      <c r="C50" s="930">
        <f ca="1">transport!B18</f>
        <v>0.59639086288380183</v>
      </c>
      <c r="D50" s="930">
        <f>transport!C18</f>
        <v>0</v>
      </c>
      <c r="E50" s="930">
        <f>transport!D18</f>
        <v>1.8843799734728939</v>
      </c>
      <c r="F50" s="930">
        <f>transport!E18</f>
        <v>223.70720443580586</v>
      </c>
      <c r="G50" s="930">
        <f>transport!F18</f>
        <v>0</v>
      </c>
      <c r="H50" s="930">
        <f>transport!G18</f>
        <v>54913.256268793688</v>
      </c>
      <c r="I50" s="930">
        <f>transport!H18</f>
        <v>8035.8031500493926</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63175.247394115242</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3.6162531289717599</v>
      </c>
      <c r="D52" s="668">
        <f t="shared" ref="D52:Q52" ca="1" si="6">SUM(D48:D51)</f>
        <v>0</v>
      </c>
      <c r="E52" s="668">
        <f t="shared" si="6"/>
        <v>1.8843799734728939</v>
      </c>
      <c r="F52" s="668">
        <f t="shared" si="6"/>
        <v>223.70720443580586</v>
      </c>
      <c r="G52" s="668">
        <f t="shared" si="6"/>
        <v>0</v>
      </c>
      <c r="H52" s="668">
        <f t="shared" si="6"/>
        <v>55728.637812652923</v>
      </c>
      <c r="I52" s="668">
        <f t="shared" si="6"/>
        <v>8035.8031500493926</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63993.648800240568</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276.20848580184389</v>
      </c>
      <c r="D54" s="930">
        <f ca="1">+landbouw!C12</f>
        <v>0</v>
      </c>
      <c r="E54" s="930">
        <f>+landbouw!D12</f>
        <v>29.619882861122733</v>
      </c>
      <c r="F54" s="930">
        <f>+landbouw!E12</f>
        <v>2.6337330106653272</v>
      </c>
      <c r="G54" s="930">
        <f>+landbouw!F12</f>
        <v>1288.1262498699482</v>
      </c>
      <c r="H54" s="930">
        <f>+landbouw!G12</f>
        <v>0</v>
      </c>
      <c r="I54" s="930">
        <f>+landbouw!H12</f>
        <v>0</v>
      </c>
      <c r="J54" s="930">
        <f>+landbouw!I12</f>
        <v>0</v>
      </c>
      <c r="K54" s="930">
        <f>+landbouw!J12</f>
        <v>46.123894100737409</v>
      </c>
      <c r="L54" s="930">
        <f>+landbouw!K12</f>
        <v>0</v>
      </c>
      <c r="M54" s="930">
        <f>+landbouw!L12</f>
        <v>0</v>
      </c>
      <c r="N54" s="930">
        <f>+landbouw!M12</f>
        <v>0</v>
      </c>
      <c r="O54" s="930">
        <f>+landbouw!N12</f>
        <v>0</v>
      </c>
      <c r="P54" s="930">
        <f>+landbouw!O12</f>
        <v>0</v>
      </c>
      <c r="Q54" s="931">
        <f>+landbouw!P12</f>
        <v>0</v>
      </c>
      <c r="R54" s="667">
        <f ca="1">SUM(C54:Q54)</f>
        <v>1642.7122456443176</v>
      </c>
    </row>
    <row r="55" spans="1:18" ht="15" thickBot="1">
      <c r="A55" s="765" t="s">
        <v>864</v>
      </c>
      <c r="B55" s="775"/>
      <c r="C55" s="930">
        <f ca="1">C25*'EF ele_warmte'!B12</f>
        <v>663.87882709194491</v>
      </c>
      <c r="D55" s="930"/>
      <c r="E55" s="930">
        <f>E25*EF_CO2_aardgas</f>
        <v>1163.7702281414452</v>
      </c>
      <c r="F55" s="930"/>
      <c r="G55" s="930"/>
      <c r="H55" s="930"/>
      <c r="I55" s="930"/>
      <c r="J55" s="930"/>
      <c r="K55" s="930"/>
      <c r="L55" s="930"/>
      <c r="M55" s="930"/>
      <c r="N55" s="930"/>
      <c r="O55" s="930"/>
      <c r="P55" s="930"/>
      <c r="Q55" s="931"/>
      <c r="R55" s="667">
        <f ca="1">SUM(C55:Q55)</f>
        <v>1827.6490552333901</v>
      </c>
    </row>
    <row r="56" spans="1:18" ht="15.75" thickBot="1">
      <c r="A56" s="763" t="s">
        <v>865</v>
      </c>
      <c r="B56" s="776"/>
      <c r="C56" s="668">
        <f ca="1">SUM(C54:C55)</f>
        <v>940.08731289378875</v>
      </c>
      <c r="D56" s="668">
        <f t="shared" ref="D56:Q56" ca="1" si="7">SUM(D54:D55)</f>
        <v>0</v>
      </c>
      <c r="E56" s="668">
        <f t="shared" si="7"/>
        <v>1193.3901110025679</v>
      </c>
      <c r="F56" s="668">
        <f t="shared" si="7"/>
        <v>2.6337330106653272</v>
      </c>
      <c r="G56" s="668">
        <f t="shared" si="7"/>
        <v>1288.1262498699482</v>
      </c>
      <c r="H56" s="668">
        <f t="shared" si="7"/>
        <v>0</v>
      </c>
      <c r="I56" s="668">
        <f t="shared" si="7"/>
        <v>0</v>
      </c>
      <c r="J56" s="668">
        <f t="shared" si="7"/>
        <v>0</v>
      </c>
      <c r="K56" s="668">
        <f t="shared" si="7"/>
        <v>46.123894100737409</v>
      </c>
      <c r="L56" s="668">
        <f t="shared" si="7"/>
        <v>0</v>
      </c>
      <c r="M56" s="668">
        <f t="shared" si="7"/>
        <v>0</v>
      </c>
      <c r="N56" s="668">
        <f t="shared" si="7"/>
        <v>0</v>
      </c>
      <c r="O56" s="668">
        <f t="shared" si="7"/>
        <v>0</v>
      </c>
      <c r="P56" s="668">
        <f t="shared" si="7"/>
        <v>0</v>
      </c>
      <c r="Q56" s="669">
        <f t="shared" si="7"/>
        <v>0</v>
      </c>
      <c r="R56" s="670">
        <f ca="1">SUM(R54:R55)</f>
        <v>3470.3613008777074</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45168.228401767876</v>
      </c>
      <c r="D61" s="676">
        <f t="shared" ref="D61:Q61" ca="1" si="8">D46+D52+D56</f>
        <v>0</v>
      </c>
      <c r="E61" s="676">
        <f t="shared" ca="1" si="8"/>
        <v>48814.067551599415</v>
      </c>
      <c r="F61" s="676">
        <f t="shared" si="8"/>
        <v>1578.6783718025492</v>
      </c>
      <c r="G61" s="676">
        <f t="shared" ca="1" si="8"/>
        <v>40864.891671145167</v>
      </c>
      <c r="H61" s="676">
        <f t="shared" si="8"/>
        <v>55728.637812652923</v>
      </c>
      <c r="I61" s="676">
        <f t="shared" si="8"/>
        <v>8035.8031500493926</v>
      </c>
      <c r="J61" s="676">
        <f t="shared" si="8"/>
        <v>0</v>
      </c>
      <c r="K61" s="676">
        <f t="shared" si="8"/>
        <v>1101.3102855454579</v>
      </c>
      <c r="L61" s="676">
        <f t="shared" si="8"/>
        <v>0</v>
      </c>
      <c r="M61" s="676">
        <f t="shared" ca="1" si="8"/>
        <v>0</v>
      </c>
      <c r="N61" s="676">
        <f t="shared" si="8"/>
        <v>0</v>
      </c>
      <c r="O61" s="676">
        <f t="shared" ca="1" si="8"/>
        <v>0</v>
      </c>
      <c r="P61" s="676">
        <f t="shared" si="8"/>
        <v>0</v>
      </c>
      <c r="Q61" s="676">
        <f t="shared" si="8"/>
        <v>0</v>
      </c>
      <c r="R61" s="676">
        <f ca="1">R46+R52+R56</f>
        <v>201291.61724456277</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0.2145245876863327</v>
      </c>
      <c r="D63" s="720">
        <f t="shared" ca="1" si="9"/>
        <v>0</v>
      </c>
      <c r="E63" s="932">
        <f t="shared" ca="1" si="9"/>
        <v>0.20200000000000007</v>
      </c>
      <c r="F63" s="720">
        <f t="shared" si="9"/>
        <v>0.22700000000000001</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6169.2324466809187</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6169.2324466809187</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64347.784759989248</v>
      </c>
      <c r="C4" s="445">
        <f>huishoudens!C8</f>
        <v>0</v>
      </c>
      <c r="D4" s="445">
        <f>huishoudens!D8</f>
        <v>115500.53817010939</v>
      </c>
      <c r="E4" s="445">
        <f>huishoudens!E8</f>
        <v>3407.2366751054606</v>
      </c>
      <c r="F4" s="445">
        <f>huishoudens!F8</f>
        <v>116303.96471222134</v>
      </c>
      <c r="G4" s="445">
        <f>huishoudens!G8</f>
        <v>0</v>
      </c>
      <c r="H4" s="445">
        <f>huishoudens!H8</f>
        <v>0</v>
      </c>
      <c r="I4" s="445">
        <f>huishoudens!I8</f>
        <v>0</v>
      </c>
      <c r="J4" s="445">
        <f>huishoudens!J8</f>
        <v>2618.870421368159</v>
      </c>
      <c r="K4" s="445">
        <f>huishoudens!K8</f>
        <v>0</v>
      </c>
      <c r="L4" s="445">
        <f>huishoudens!L8</f>
        <v>0</v>
      </c>
      <c r="M4" s="445">
        <f>huishoudens!M8</f>
        <v>0</v>
      </c>
      <c r="N4" s="445">
        <f>huishoudens!N8</f>
        <v>17849.54045549659</v>
      </c>
      <c r="O4" s="445">
        <f>huishoudens!O8</f>
        <v>306.41333333333336</v>
      </c>
      <c r="P4" s="446">
        <f>huishoudens!P8</f>
        <v>877.06666666666661</v>
      </c>
      <c r="Q4" s="447">
        <f>SUM(B4:P4)</f>
        <v>321211.41519429017</v>
      </c>
    </row>
    <row r="5" spans="1:17">
      <c r="A5" s="444" t="s">
        <v>149</v>
      </c>
      <c r="B5" s="445">
        <f ca="1">tertiair!B16</f>
        <v>81927.653245031746</v>
      </c>
      <c r="C5" s="445">
        <f ca="1">tertiair!C16</f>
        <v>0</v>
      </c>
      <c r="D5" s="445">
        <f ca="1">tertiair!D16</f>
        <v>108106.57248005242</v>
      </c>
      <c r="E5" s="445">
        <f>tertiair!E16</f>
        <v>1954.1840370976865</v>
      </c>
      <c r="F5" s="445">
        <f ca="1">tertiair!F16</f>
        <v>16944.207386941929</v>
      </c>
      <c r="G5" s="445">
        <f>tertiair!G16</f>
        <v>0</v>
      </c>
      <c r="H5" s="445">
        <f>tertiair!H16</f>
        <v>0</v>
      </c>
      <c r="I5" s="445">
        <f>tertiair!I16</f>
        <v>0</v>
      </c>
      <c r="J5" s="445">
        <f>tertiair!J16</f>
        <v>0</v>
      </c>
      <c r="K5" s="445">
        <f>tertiair!K16</f>
        <v>0</v>
      </c>
      <c r="L5" s="445">
        <f ca="1">tertiair!L16</f>
        <v>0</v>
      </c>
      <c r="M5" s="445">
        <f>tertiair!M16</f>
        <v>0</v>
      </c>
      <c r="N5" s="445">
        <f ca="1">tertiair!N16</f>
        <v>2659.3871143345755</v>
      </c>
      <c r="O5" s="445">
        <f>tertiair!O16</f>
        <v>3.1266666666666669</v>
      </c>
      <c r="P5" s="446">
        <f>tertiair!P16</f>
        <v>0</v>
      </c>
      <c r="Q5" s="444">
        <f t="shared" ref="Q5:Q14" ca="1" si="0">SUM(B5:P5)</f>
        <v>211595.13093012507</v>
      </c>
    </row>
    <row r="6" spans="1:17">
      <c r="A6" s="444" t="s">
        <v>187</v>
      </c>
      <c r="B6" s="445">
        <f>'openbare verlichting'!B8</f>
        <v>1459.845</v>
      </c>
      <c r="C6" s="445"/>
      <c r="D6" s="445"/>
      <c r="E6" s="445"/>
      <c r="F6" s="445"/>
      <c r="G6" s="445"/>
      <c r="H6" s="445"/>
      <c r="I6" s="445"/>
      <c r="J6" s="445"/>
      <c r="K6" s="445"/>
      <c r="L6" s="445"/>
      <c r="M6" s="445"/>
      <c r="N6" s="445"/>
      <c r="O6" s="445"/>
      <c r="P6" s="446"/>
      <c r="Q6" s="444">
        <f t="shared" si="0"/>
        <v>1459.845</v>
      </c>
    </row>
    <row r="7" spans="1:17">
      <c r="A7" s="444" t="s">
        <v>105</v>
      </c>
      <c r="B7" s="445">
        <f>landbouw!B8</f>
        <v>1287.5376607445221</v>
      </c>
      <c r="C7" s="445">
        <f>landbouw!C8</f>
        <v>0</v>
      </c>
      <c r="D7" s="445">
        <f>landbouw!D8</f>
        <v>146.63308347090461</v>
      </c>
      <c r="E7" s="445">
        <f>landbouw!E8</f>
        <v>11.602348064604964</v>
      </c>
      <c r="F7" s="445">
        <f>landbouw!F8</f>
        <v>4824.4428834080454</v>
      </c>
      <c r="G7" s="445">
        <f>landbouw!G8</f>
        <v>0</v>
      </c>
      <c r="H7" s="445">
        <f>landbouw!H8</f>
        <v>0</v>
      </c>
      <c r="I7" s="445">
        <f>landbouw!I8</f>
        <v>0</v>
      </c>
      <c r="J7" s="445">
        <f>landbouw!J8</f>
        <v>130.29348616027517</v>
      </c>
      <c r="K7" s="445">
        <f>landbouw!K8</f>
        <v>0</v>
      </c>
      <c r="L7" s="445">
        <f>landbouw!L8</f>
        <v>0</v>
      </c>
      <c r="M7" s="445">
        <f>landbouw!M8</f>
        <v>0</v>
      </c>
      <c r="N7" s="445">
        <f>landbouw!N8</f>
        <v>0</v>
      </c>
      <c r="O7" s="445">
        <f>landbouw!O8</f>
        <v>0</v>
      </c>
      <c r="P7" s="446">
        <f>landbouw!P8</f>
        <v>0</v>
      </c>
      <c r="Q7" s="444">
        <f t="shared" si="0"/>
        <v>6400.5094618483527</v>
      </c>
    </row>
    <row r="8" spans="1:17">
      <c r="A8" s="444" t="s">
        <v>613</v>
      </c>
      <c r="B8" s="445">
        <f>industrie!B18</f>
        <v>58416.027260672388</v>
      </c>
      <c r="C8" s="445">
        <f>industrie!C18</f>
        <v>0</v>
      </c>
      <c r="D8" s="445">
        <f>industrie!D18</f>
        <v>12129.488659854833</v>
      </c>
      <c r="E8" s="445">
        <f>industrie!E18</f>
        <v>596.01291932142567</v>
      </c>
      <c r="F8" s="445">
        <f>industrie!F18</f>
        <v>14979.41374830946</v>
      </c>
      <c r="G8" s="445">
        <f>industrie!G18</f>
        <v>0</v>
      </c>
      <c r="H8" s="445">
        <f>industrie!H18</f>
        <v>0</v>
      </c>
      <c r="I8" s="445">
        <f>industrie!I18</f>
        <v>0</v>
      </c>
      <c r="J8" s="445">
        <f>industrie!J18</f>
        <v>361.8820968372662</v>
      </c>
      <c r="K8" s="445">
        <f>industrie!K18</f>
        <v>0</v>
      </c>
      <c r="L8" s="445">
        <f>industrie!L18</f>
        <v>0</v>
      </c>
      <c r="M8" s="445">
        <f>industrie!M18</f>
        <v>0</v>
      </c>
      <c r="N8" s="445">
        <f>industrie!N18</f>
        <v>1350.0276663548934</v>
      </c>
      <c r="O8" s="445">
        <f>industrie!O18</f>
        <v>0</v>
      </c>
      <c r="P8" s="446">
        <f>industrie!P18</f>
        <v>0</v>
      </c>
      <c r="Q8" s="444">
        <f t="shared" si="0"/>
        <v>87832.852351350244</v>
      </c>
    </row>
    <row r="9" spans="1:17" s="450" customFormat="1">
      <c r="A9" s="448" t="s">
        <v>555</v>
      </c>
      <c r="B9" s="449">
        <f>transport!B14</f>
        <v>2.7800583108721098</v>
      </c>
      <c r="C9" s="449">
        <f>transport!C14</f>
        <v>0</v>
      </c>
      <c r="D9" s="449">
        <f>transport!D14</f>
        <v>9.3286137300638305</v>
      </c>
      <c r="E9" s="449">
        <f>transport!E14</f>
        <v>985.49429266874824</v>
      </c>
      <c r="F9" s="449">
        <f>transport!F14</f>
        <v>0</v>
      </c>
      <c r="G9" s="449">
        <f>transport!G14</f>
        <v>205667.62647488271</v>
      </c>
      <c r="H9" s="449">
        <f>transport!H14</f>
        <v>32272.30180742728</v>
      </c>
      <c r="I9" s="449">
        <f>transport!I14</f>
        <v>0</v>
      </c>
      <c r="J9" s="449">
        <f>transport!J14</f>
        <v>0</v>
      </c>
      <c r="K9" s="449">
        <f>transport!K14</f>
        <v>0</v>
      </c>
      <c r="L9" s="449">
        <f>transport!L14</f>
        <v>0</v>
      </c>
      <c r="M9" s="449">
        <f>transport!M14</f>
        <v>10345.326651005396</v>
      </c>
      <c r="N9" s="449">
        <f>transport!N14</f>
        <v>0</v>
      </c>
      <c r="O9" s="449">
        <f>transport!O14</f>
        <v>0</v>
      </c>
      <c r="P9" s="449">
        <f>transport!P14</f>
        <v>0</v>
      </c>
      <c r="Q9" s="448">
        <f>SUM(B9:P9)</f>
        <v>249282.85789802507</v>
      </c>
    </row>
    <row r="10" spans="1:17">
      <c r="A10" s="444" t="s">
        <v>545</v>
      </c>
      <c r="B10" s="445">
        <f>transport!B54</f>
        <v>14.0769983462383</v>
      </c>
      <c r="C10" s="445">
        <f>transport!C54</f>
        <v>0</v>
      </c>
      <c r="D10" s="445">
        <f>transport!D54</f>
        <v>0</v>
      </c>
      <c r="E10" s="445">
        <f>transport!E54</f>
        <v>0</v>
      </c>
      <c r="F10" s="445">
        <f>transport!F54</f>
        <v>0</v>
      </c>
      <c r="G10" s="445">
        <f>transport!G54</f>
        <v>3053.8634601469494</v>
      </c>
      <c r="H10" s="445">
        <f>transport!H54</f>
        <v>0</v>
      </c>
      <c r="I10" s="445">
        <f>transport!I54</f>
        <v>0</v>
      </c>
      <c r="J10" s="445">
        <f>transport!J54</f>
        <v>0</v>
      </c>
      <c r="K10" s="445">
        <f>transport!K54</f>
        <v>0</v>
      </c>
      <c r="L10" s="445">
        <f>transport!L54</f>
        <v>0</v>
      </c>
      <c r="M10" s="445">
        <f>transport!M54</f>
        <v>130.75470271344528</v>
      </c>
      <c r="N10" s="445">
        <f>transport!N54</f>
        <v>0</v>
      </c>
      <c r="O10" s="445">
        <f>transport!O54</f>
        <v>0</v>
      </c>
      <c r="P10" s="446">
        <f>transport!P54</f>
        <v>0</v>
      </c>
      <c r="Q10" s="444">
        <f t="shared" si="0"/>
        <v>3198.6951612066327</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3094.6514534857702</v>
      </c>
      <c r="C14" s="452"/>
      <c r="D14" s="452">
        <f>'SEAP template'!E25</f>
        <v>5761.2387531754703</v>
      </c>
      <c r="E14" s="452"/>
      <c r="F14" s="452"/>
      <c r="G14" s="452"/>
      <c r="H14" s="452"/>
      <c r="I14" s="452"/>
      <c r="J14" s="452"/>
      <c r="K14" s="452"/>
      <c r="L14" s="452"/>
      <c r="M14" s="452"/>
      <c r="N14" s="452"/>
      <c r="O14" s="452"/>
      <c r="P14" s="453"/>
      <c r="Q14" s="444">
        <f t="shared" si="0"/>
        <v>8855.8902066612409</v>
      </c>
    </row>
    <row r="15" spans="1:17" s="457" customFormat="1">
      <c r="A15" s="454" t="s">
        <v>549</v>
      </c>
      <c r="B15" s="455">
        <f ca="1">SUM(B4:B14)</f>
        <v>210550.3564365808</v>
      </c>
      <c r="C15" s="455">
        <f t="shared" ref="C15:Q15" ca="1" si="1">SUM(C4:C14)</f>
        <v>0</v>
      </c>
      <c r="D15" s="455">
        <f t="shared" ca="1" si="1"/>
        <v>241653.79976039307</v>
      </c>
      <c r="E15" s="455">
        <f t="shared" si="1"/>
        <v>6954.5302722579263</v>
      </c>
      <c r="F15" s="455">
        <f t="shared" ca="1" si="1"/>
        <v>153052.02873088076</v>
      </c>
      <c r="G15" s="455">
        <f t="shared" si="1"/>
        <v>208721.48993502965</v>
      </c>
      <c r="H15" s="455">
        <f t="shared" si="1"/>
        <v>32272.30180742728</v>
      </c>
      <c r="I15" s="455">
        <f t="shared" si="1"/>
        <v>0</v>
      </c>
      <c r="J15" s="455">
        <f t="shared" si="1"/>
        <v>3111.0460043657004</v>
      </c>
      <c r="K15" s="455">
        <f t="shared" si="1"/>
        <v>0</v>
      </c>
      <c r="L15" s="455">
        <f t="shared" ca="1" si="1"/>
        <v>0</v>
      </c>
      <c r="M15" s="455">
        <f t="shared" si="1"/>
        <v>10476.081353718842</v>
      </c>
      <c r="N15" s="455">
        <f t="shared" ca="1" si="1"/>
        <v>21858.955236186059</v>
      </c>
      <c r="O15" s="455">
        <f t="shared" si="1"/>
        <v>309.54000000000002</v>
      </c>
      <c r="P15" s="455">
        <f t="shared" si="1"/>
        <v>877.06666666666661</v>
      </c>
      <c r="Q15" s="455">
        <f t="shared" ca="1" si="1"/>
        <v>889837.19620350667</v>
      </c>
    </row>
    <row r="17" spans="1:17">
      <c r="A17" s="458" t="s">
        <v>550</v>
      </c>
      <c r="B17" s="725">
        <f ca="1">huishoudens!B10</f>
        <v>0.21452458768633267</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13804.181994165574</v>
      </c>
      <c r="C22" s="445">
        <f t="shared" ref="C22:C32" ca="1" si="3">C4*$C$17</f>
        <v>0</v>
      </c>
      <c r="D22" s="445">
        <f t="shared" ref="D22:D32" si="4">D4*$D$17</f>
        <v>23331.108710362099</v>
      </c>
      <c r="E22" s="445">
        <f t="shared" ref="E22:E32" si="5">E4*$E$17</f>
        <v>773.44272524893961</v>
      </c>
      <c r="F22" s="445">
        <f t="shared" ref="F22:F32" si="6">F4*$F$17</f>
        <v>31053.158578163097</v>
      </c>
      <c r="G22" s="445">
        <f t="shared" ref="G22:G32" si="7">G4*$G$17</f>
        <v>0</v>
      </c>
      <c r="H22" s="445">
        <f t="shared" ref="H22:H32" si="8">H4*$H$17</f>
        <v>0</v>
      </c>
      <c r="I22" s="445">
        <f t="shared" ref="I22:I32" si="9">I4*$I$17</f>
        <v>0</v>
      </c>
      <c r="J22" s="445">
        <f t="shared" ref="J22:J32" si="10">J4*$J$17</f>
        <v>927.08012916432824</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69888.972137104036</v>
      </c>
    </row>
    <row r="23" spans="1:17">
      <c r="A23" s="444" t="s">
        <v>149</v>
      </c>
      <c r="B23" s="445">
        <f t="shared" ca="1" si="2"/>
        <v>17575.496032499272</v>
      </c>
      <c r="C23" s="445">
        <f t="shared" ca="1" si="3"/>
        <v>0</v>
      </c>
      <c r="D23" s="445">
        <f t="shared" ca="1" si="4"/>
        <v>21837.527640970591</v>
      </c>
      <c r="E23" s="445">
        <f t="shared" si="5"/>
        <v>443.59977642117485</v>
      </c>
      <c r="F23" s="445">
        <f t="shared" ca="1" si="6"/>
        <v>4524.1033723134951</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44380.726822204531</v>
      </c>
    </row>
    <row r="24" spans="1:17">
      <c r="A24" s="444" t="s">
        <v>187</v>
      </c>
      <c r="B24" s="445">
        <f t="shared" ca="1" si="2"/>
        <v>313.17264671095433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313.17264671095433</v>
      </c>
    </row>
    <row r="25" spans="1:17">
      <c r="A25" s="444" t="s">
        <v>105</v>
      </c>
      <c r="B25" s="445">
        <f t="shared" ca="1" si="2"/>
        <v>276.20848580184389</v>
      </c>
      <c r="C25" s="445">
        <f t="shared" ca="1" si="3"/>
        <v>0</v>
      </c>
      <c r="D25" s="445">
        <f t="shared" si="4"/>
        <v>29.619882861122733</v>
      </c>
      <c r="E25" s="445">
        <f t="shared" si="5"/>
        <v>2.6337330106653272</v>
      </c>
      <c r="F25" s="445">
        <f t="shared" si="6"/>
        <v>1288.1262498699482</v>
      </c>
      <c r="G25" s="445">
        <f t="shared" si="7"/>
        <v>0</v>
      </c>
      <c r="H25" s="445">
        <f t="shared" si="8"/>
        <v>0</v>
      </c>
      <c r="I25" s="445">
        <f t="shared" si="9"/>
        <v>0</v>
      </c>
      <c r="J25" s="445">
        <f t="shared" si="10"/>
        <v>46.123894100737409</v>
      </c>
      <c r="K25" s="445">
        <f t="shared" si="11"/>
        <v>0</v>
      </c>
      <c r="L25" s="445">
        <f t="shared" si="12"/>
        <v>0</v>
      </c>
      <c r="M25" s="445">
        <f t="shared" si="13"/>
        <v>0</v>
      </c>
      <c r="N25" s="445">
        <f t="shared" si="14"/>
        <v>0</v>
      </c>
      <c r="O25" s="445">
        <f t="shared" si="15"/>
        <v>0</v>
      </c>
      <c r="P25" s="446">
        <f t="shared" si="16"/>
        <v>0</v>
      </c>
      <c r="Q25" s="444">
        <f t="shared" ca="1" si="17"/>
        <v>1642.7122456443176</v>
      </c>
    </row>
    <row r="26" spans="1:17">
      <c r="A26" s="444" t="s">
        <v>613</v>
      </c>
      <c r="B26" s="445">
        <f t="shared" ca="1" si="2"/>
        <v>12531.674162369314</v>
      </c>
      <c r="C26" s="445">
        <f t="shared" ca="1" si="3"/>
        <v>0</v>
      </c>
      <c r="D26" s="445">
        <f t="shared" si="4"/>
        <v>2450.1567092906762</v>
      </c>
      <c r="E26" s="445">
        <f t="shared" si="5"/>
        <v>135.29493268596363</v>
      </c>
      <c r="F26" s="445">
        <f t="shared" si="6"/>
        <v>3999.503470798626</v>
      </c>
      <c r="G26" s="445">
        <f t="shared" si="7"/>
        <v>0</v>
      </c>
      <c r="H26" s="445">
        <f t="shared" si="8"/>
        <v>0</v>
      </c>
      <c r="I26" s="445">
        <f t="shared" si="9"/>
        <v>0</v>
      </c>
      <c r="J26" s="445">
        <f t="shared" si="10"/>
        <v>128.10626228039223</v>
      </c>
      <c r="K26" s="445">
        <f t="shared" si="11"/>
        <v>0</v>
      </c>
      <c r="L26" s="445">
        <f t="shared" si="12"/>
        <v>0</v>
      </c>
      <c r="M26" s="445">
        <f t="shared" si="13"/>
        <v>0</v>
      </c>
      <c r="N26" s="445">
        <f t="shared" si="14"/>
        <v>0</v>
      </c>
      <c r="O26" s="445">
        <f t="shared" si="15"/>
        <v>0</v>
      </c>
      <c r="P26" s="446">
        <f t="shared" si="16"/>
        <v>0</v>
      </c>
      <c r="Q26" s="444">
        <f t="shared" ca="1" si="17"/>
        <v>19244.735537424971</v>
      </c>
    </row>
    <row r="27" spans="1:17" s="450" customFormat="1">
      <c r="A27" s="448" t="s">
        <v>555</v>
      </c>
      <c r="B27" s="719">
        <f t="shared" ca="1" si="2"/>
        <v>0.59639086288380183</v>
      </c>
      <c r="C27" s="449">
        <f t="shared" ca="1" si="3"/>
        <v>0</v>
      </c>
      <c r="D27" s="449">
        <f t="shared" si="4"/>
        <v>1.8843799734728939</v>
      </c>
      <c r="E27" s="449">
        <f t="shared" si="5"/>
        <v>223.70720443580586</v>
      </c>
      <c r="F27" s="449">
        <f t="shared" si="6"/>
        <v>0</v>
      </c>
      <c r="G27" s="449">
        <f t="shared" si="7"/>
        <v>54913.256268793688</v>
      </c>
      <c r="H27" s="449">
        <f t="shared" si="8"/>
        <v>8035.8031500493926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63175.247394115242</v>
      </c>
    </row>
    <row r="28" spans="1:17">
      <c r="A28" s="444" t="s">
        <v>545</v>
      </c>
      <c r="B28" s="445">
        <f t="shared" ca="1" si="2"/>
        <v>3.0198622660879582</v>
      </c>
      <c r="C28" s="445">
        <f t="shared" ca="1" si="3"/>
        <v>0</v>
      </c>
      <c r="D28" s="445">
        <f t="shared" si="4"/>
        <v>0</v>
      </c>
      <c r="E28" s="445">
        <f t="shared" si="5"/>
        <v>0</v>
      </c>
      <c r="F28" s="445">
        <f t="shared" si="6"/>
        <v>0</v>
      </c>
      <c r="G28" s="445">
        <f t="shared" si="7"/>
        <v>815.38154385923553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818.40140612532355</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663.87882709194491</v>
      </c>
      <c r="C32" s="445">
        <f t="shared" ca="1" si="3"/>
        <v>0</v>
      </c>
      <c r="D32" s="445">
        <f t="shared" si="4"/>
        <v>1163.7702281414452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1827.6490552333901</v>
      </c>
    </row>
    <row r="33" spans="1:17" s="457" customFormat="1">
      <c r="A33" s="454" t="s">
        <v>549</v>
      </c>
      <c r="B33" s="455">
        <f ca="1">SUM(B22:B32)</f>
        <v>45168.228401767876</v>
      </c>
      <c r="C33" s="455">
        <f t="shared" ref="C33:Q33" ca="1" si="19">SUM(C22:C32)</f>
        <v>0</v>
      </c>
      <c r="D33" s="455">
        <f t="shared" ca="1" si="19"/>
        <v>48814.067551599415</v>
      </c>
      <c r="E33" s="455">
        <f t="shared" si="19"/>
        <v>1578.6783718025492</v>
      </c>
      <c r="F33" s="455">
        <f t="shared" ca="1" si="19"/>
        <v>40864.891671145167</v>
      </c>
      <c r="G33" s="455">
        <f t="shared" si="19"/>
        <v>55728.637812652923</v>
      </c>
      <c r="H33" s="455">
        <f t="shared" si="19"/>
        <v>8035.8031500493926</v>
      </c>
      <c r="I33" s="455">
        <f t="shared" si="19"/>
        <v>0</v>
      </c>
      <c r="J33" s="455">
        <f t="shared" si="19"/>
        <v>1101.3102855454579</v>
      </c>
      <c r="K33" s="455">
        <f t="shared" si="19"/>
        <v>0</v>
      </c>
      <c r="L33" s="455">
        <f t="shared" ca="1" si="19"/>
        <v>0</v>
      </c>
      <c r="M33" s="455">
        <f t="shared" si="19"/>
        <v>0</v>
      </c>
      <c r="N33" s="455">
        <f t="shared" ca="1" si="19"/>
        <v>0</v>
      </c>
      <c r="O33" s="455">
        <f t="shared" si="19"/>
        <v>0</v>
      </c>
      <c r="P33" s="455">
        <f t="shared" si="19"/>
        <v>0</v>
      </c>
      <c r="Q33" s="455">
        <f t="shared" ca="1" si="19"/>
        <v>201291.61724456275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6169.2324466809187</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6169.2324466809187</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0.21452458768633267</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0.21452458768633267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1</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1.5633333333333335</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2</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38.133333333333333</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2022-07-26T12:47:02Z</dcterms:modified>
</cp:coreProperties>
</file>