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6E303468-21F6-4743-9180-1C9D4D6C5D5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H9" i="18"/>
  <c r="V43" i="18"/>
  <c r="U43" i="18"/>
  <c r="T43" i="18"/>
  <c r="I9" i="18"/>
  <c r="S43" i="18"/>
  <c r="E9" i="18"/>
  <c r="R43" i="18"/>
  <c r="Q43" i="18"/>
  <c r="P43" i="18"/>
  <c r="C9" i="18"/>
  <c r="O43" i="18"/>
  <c r="N43" i="18"/>
  <c r="B9" i="18"/>
  <c r="M43"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S36" i="18"/>
  <c r="R36" i="18"/>
  <c r="Q36" i="18"/>
  <c r="P36" i="18"/>
  <c r="O36" i="18"/>
  <c r="N36" i="18"/>
  <c r="B8" i="18"/>
  <c r="M36" i="18"/>
  <c r="G22" i="18"/>
  <c r="F22" i="18"/>
  <c r="E22" i="18"/>
  <c r="D22" i="18"/>
  <c r="C22" i="18"/>
  <c r="D20" i="18"/>
  <c r="G12" i="18"/>
  <c r="F12" i="18"/>
  <c r="E12" i="18"/>
  <c r="D12" i="18"/>
  <c r="C12" i="18"/>
  <c r="L10" i="18"/>
  <c r="K10" i="18"/>
  <c r="G10" i="18"/>
  <c r="D10" i="18"/>
  <c r="B6" i="18"/>
  <c r="B5" i="18"/>
  <c r="B4" i="18"/>
  <c r="G20" i="18"/>
  <c r="K20" i="18"/>
  <c r="B52" i="18"/>
  <c r="I56" i="18"/>
  <c r="H17" i="18"/>
  <c r="J9" i="18"/>
  <c r="O9" i="18"/>
  <c r="B17" i="18"/>
  <c r="B20" i="18"/>
  <c r="C52" i="18"/>
  <c r="H55" i="18"/>
  <c r="O19" i="18"/>
  <c r="O18" i="18"/>
  <c r="L20" i="18"/>
  <c r="B10" i="18"/>
  <c r="D56"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6" i="18"/>
  <c r="C17" i="18"/>
  <c r="D87" i="14"/>
  <c r="D17" i="55"/>
  <c r="D20" i="55"/>
  <c r="L20" i="55"/>
  <c r="F56" i="18"/>
  <c r="G56" i="18"/>
  <c r="I17" i="18"/>
  <c r="J77" i="14"/>
  <c r="J9" i="55"/>
  <c r="H56" i="18"/>
  <c r="H20" i="18"/>
  <c r="M87" i="14"/>
  <c r="M17" i="55"/>
  <c r="M20" i="55"/>
  <c r="C56" i="18"/>
  <c r="E56" i="18"/>
  <c r="E17" i="18"/>
  <c r="K10" i="55"/>
  <c r="C55" i="18"/>
  <c r="E55" i="18"/>
  <c r="E8" i="18"/>
  <c r="G55" i="18"/>
  <c r="I55" i="18"/>
  <c r="H8" i="18"/>
  <c r="B55" i="18"/>
  <c r="C8" i="18"/>
  <c r="D76" i="14"/>
  <c r="D8" i="55"/>
  <c r="D10" i="55"/>
  <c r="D55" i="18"/>
  <c r="F55"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<sst xmlns="http://schemas.openxmlformats.org/spreadsheetml/2006/main" count="2558" uniqueCount="967">
  <si>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</si>
  <si>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</si>
  <si>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</si>
  <si>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</si>
  <si>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</si>
  <si>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</si>
  <si>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</si>
  <si>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</si>
  <si>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</si>
  <si>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</si>
  <si>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</si>
  <si>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</si>
  <si>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</si>
  <si>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</si>
  <si>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</si>
  <si>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</si>
  <si>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</si>
  <si>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</si>
  <si>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</si>
  <si>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</si>
  <si>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</si>
  <si>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</si>
  <si>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</si>
  <si>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</si>
  <si>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</si>
  <si>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</si>
  <si>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</si>
  <si>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</si>
  <si>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</si>
  <si>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</si>
  <si>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</si>
  <si>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</si>
  <si>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</si>
  <si>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</si>
  <si>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</si>
  <si>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</si>
  <si>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</si>
  <si>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</si>
  <si>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</si>
  <si>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</si>
  <si>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</si>
  <si>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</si>
  <si>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</si>
  <si>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</si>
  <si>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</si>
  <si>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</si>
  <si>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</si>
  <si>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</si>
  <si>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</si>
  <si>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</si>
  <si>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</si>
  <si>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</si>
  <si>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</si>
  <si>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</si>
  <si>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</si>
  <si>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</si>
  <si>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</si>
  <si>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</si>
  <si>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</si>
  <si>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</si>
  <si>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</si>
  <si>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</si>
  <si>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</si>
  <si>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</si>
  <si>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</si>
  <si>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</si>
  <si>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</si>
  <si>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</si>
  <si>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</si>
  <si>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</si>
  <si>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</si>
  <si>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</si>
  <si>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</si>
  <si>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</si>
  <si>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</si>
  <si>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</si>
  <si>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</si>
  <si>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</si>
  <si>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</si>
  <si>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</si>
  <si>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</si>
  <si>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</si>
  <si>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</si>
  <si>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</si>
  <si>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</si>
  <si>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</si>
  <si>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</si>
  <si>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</si>
  <si>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</si>
  <si>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</si>
  <si>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</si>
  <si>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</si>
  <si>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</si>
  <si>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</si>
  <si>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</si>
  <si>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</si>
  <si>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</si>
  <si>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</si>
  <si>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</si>
  <si>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</si>
  <si>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</si>
  <si>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</si>
  <si>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</si>
  <si>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</si>
  <si>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</si>
  <si>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</si>
  <si>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</si>
  <si>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</si>
  <si>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</si>
  <si>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</si>
  <si>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</si>
  <si>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</si>
  <si>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</si>
  <si>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</si>
  <si>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</si>
  <si>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</si>
  <si>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</si>
  <si>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</si>
  <si>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</si>
  <si>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</si>
  <si>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</si>
  <si>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</si>
  <si>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</si>
  <si>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</si>
  <si>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</si>
  <si>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</si>
  <si>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</si>
  <si>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</si>
  <si>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</si>
  <si>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</si>
  <si>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</si>
  <si>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</si>
  <si>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</si>
  <si>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</si>
  <si>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</si>
  <si>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</si>
  <si>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</si>
  <si>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</si>
  <si>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</si>
  <si>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</si>
  <si>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</si>
  <si>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</si>
  <si>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</si>
  <si>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</si>
  <si>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</si>
  <si>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</si>
  <si>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</si>
  <si>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</si>
  <si>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</si>
  <si>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</si>
  <si>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</si>
  <si>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</si>
  <si>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</si>
  <si>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</si>
  <si>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</si>
  <si>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</si>
  <si>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</si>
  <si>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</si>
  <si>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</si>
  <si>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</si>
  <si>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</si>
  <si>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</si>
  <si>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</si>
  <si>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</si>
  <si>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</si>
  <si>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</si>
  <si>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</si>
  <si>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</si>
  <si>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</si>
  <si>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</si>
  <si>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</si>
  <si>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</si>
  <si>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</si>
  <si>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</si>
  <si>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</si>
  <si>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</si>
  <si>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</si>
  <si>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</si>
  <si>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</si>
  <si>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</si>
  <si>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</si>
  <si>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</si>
  <si>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</si>
  <si>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</si>
  <si>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</si>
  <si>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</si>
  <si>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</si>
  <si>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</si>
  <si>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</si>
  <si>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</si>
  <si>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</si>
  <si>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</si>
  <si>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</si>
  <si>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</si>
  <si>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</si>
  <si>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</si>
  <si>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</si>
  <si>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</si>
  <si>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</si>
  <si>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</si>
  <si>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</si>
  <si>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</si>
  <si>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</si>
  <si>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</si>
  <si>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</si>
  <si>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</si>
  <si>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</si>
  <si>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</si>
  <si>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</si>
  <si>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</si>
  <si>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</si>
  <si>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</si>
  <si>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</si>
  <si>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</si>
  <si>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</si>
  <si>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</si>
  <si>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</si>
  <si>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</si>
  <si>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</si>
  <si>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</si>
  <si>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</si>
  <si>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</si>
  <si>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</si>
  <si>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</si>
  <si>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</si>
  <si>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</si>
  <si>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</si>
  <si>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</si>
  <si>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</si>
  <si>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</si>
  <si>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</si>
  <si>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</si>
  <si>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</si>
  <si>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</si>
  <si>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</si>
  <si>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</si>
  <si>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</si>
  <si>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</si>
  <si>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</si>
  <si>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</si>
  <si>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</si>
  <si>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</si>
  <si>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</si>
  <si>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</si>
  <si>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</si>
  <si>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</si>
  <si>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</si>
  <si>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</si>
  <si>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</si>
  <si>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</si>
  <si>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</si>
  <si>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</si>
  <si>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</si>
  <si>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</si>
  <si>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</si>
  <si>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</si>
  <si>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</si>
  <si>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</si>
  <si>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</si>
  <si>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</si>
  <si>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</si>
  <si>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</si>
  <si>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</si>
  <si>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</si>
  <si>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</si>
  <si>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</si>
  <si>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</si>
  <si>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</si>
  <si>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</si>
  <si>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</si>
  <si>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</si>
  <si>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</si>
  <si>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</si>
  <si>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</si>
  <si>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</si>
  <si>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</si>
  <si>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</si>
  <si>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</si>
  <si>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</si>
  <si>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</si>
  <si>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</si>
  <si>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</si>
  <si>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</si>
  <si>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</si>
  <si>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</si>
  <si>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</si>
  <si>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</si>
  <si>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</si>
  <si>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</si>
  <si>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</si>
  <si>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</si>
  <si>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</si>
  <si>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</si>
  <si>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</si>
  <si>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</si>
  <si>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</si>
  <si>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</si>
  <si>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</si>
  <si>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</si>
  <si>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</si>
  <si>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</si>
  <si>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</si>
  <si>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</si>
  <si>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</si>
  <si>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</si>
  <si>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</si>
  <si>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</si>
  <si>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</si>
  <si>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</si>
  <si>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</si>
  <si>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</si>
  <si>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</si>
  <si>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</si>
  <si>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</si>
  <si>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</si>
  <si>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</si>
  <si>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</si>
  <si>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</si>
  <si>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</si>
  <si>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</si>
  <si>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</si>
  <si>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</si>
  <si>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</si>
  <si>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</si>
  <si>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</si>
  <si>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</si>
  <si>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</si>
  <si>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</si>
  <si>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</si>
  <si>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</si>
  <si>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</si>
  <si>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</si>
  <si>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</si>
  <si>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</si>
  <si>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</si>
  <si>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</si>
  <si>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</si>
  <si>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</si>
  <si>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</si>
  <si>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</si>
  <si>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</si>
  <si>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</si>
  <si>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</si>
  <si>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</si>
  <si>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</si>
  <si>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</si>
  <si>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</si>
  <si>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</si>
  <si>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</si>
  <si>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</si>
  <si>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</si>
  <si>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</si>
  <si>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</si>
  <si>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</si>
  <si>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</si>
  <si>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</si>
  <si>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</si>
  <si>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</si>
  <si>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</si>
  <si>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</si>
  <si>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</si>
  <si>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</si>
  <si>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</si>
  <si>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</si>
  <si>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</si>
  <si>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</si>
  <si>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</si>
  <si>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</si>
  <si>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</si>
  <si>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</si>
  <si>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</si>
  <si>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</si>
  <si>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</si>
  <si>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</si>
  <si>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</si>
  <si>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</si>
  <si>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</si>
  <si>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</si>
  <si>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</si>
  <si>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</si>
  <si>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</si>
  <si>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</si>
  <si>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</si>
  <si>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</si>
  <si>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</si>
  <si>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</si>
  <si>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</si>
  <si>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</si>
  <si>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</si>
  <si>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</si>
  <si>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</si>
  <si>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</si>
  <si>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</si>
  <si>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</si>
  <si>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</si>
  <si>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</si>
  <si>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</si>
  <si>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</si>
  <si>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</si>
  <si>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</si>
  <si>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</si>
  <si>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</si>
  <si>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</si>
  <si>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</si>
  <si>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</si>
  <si>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</si>
  <si>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</si>
  <si>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</si>
  <si>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</si>
  <si>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</si>
  <si>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</si>
  <si>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</si>
  <si>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</si>
  <si>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</si>
  <si>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</si>
  <si>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</si>
  <si>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</si>
  <si>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</si>
  <si>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</si>
  <si>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</si>
  <si>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</si>
  <si>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</si>
  <si>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</si>
  <si>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</si>
  <si>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</si>
  <si>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</si>
  <si>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</si>
  <si>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</si>
  <si>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</si>
  <si>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</si>
  <si>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</si>
  <si>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</si>
  <si>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</si>
  <si>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</si>
  <si>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</si>
  <si>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</si>
  <si>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</si>
  <si>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</si>
  <si>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</si>
  <si>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</si>
  <si>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</si>
  <si>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</si>
  <si>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</si>
  <si>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</si>
  <si>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</si>
  <si>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</si>
  <si>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</si>
  <si>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</si>
  <si>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</si>
  <si>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</si>
  <si>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</si>
  <si>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</si>
  <si>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</si>
  <si>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</si>
  <si>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</si>
  <si>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</si>
  <si>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</si>
  <si>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</si>
  <si>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</si>
  <si>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</si>
  <si>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</si>
  <si>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</si>
  <si>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</si>
  <si>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</si>
  <si>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</si>
  <si>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</si>
  <si>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</si>
  <si>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</si>
  <si>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</si>
  <si>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</si>
  <si>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</si>
  <si>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</si>
  <si>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</si>
  <si>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</si>
  <si>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</si>
  <si>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</si>
  <si>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</si>
  <si>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</si>
  <si>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</si>
  <si>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</si>
  <si>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</si>
  <si>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</si>
  <si>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</si>
  <si>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</si>
  <si>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</si>
  <si>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</si>
  <si>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</si>
  <si>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</si>
  <si>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</si>
  <si>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</si>
  <si>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</si>
  <si>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</si>
  <si>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</si>
  <si>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</si>
  <si>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</si>
  <si>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</si>
  <si>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</si>
  <si>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</si>
  <si>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</si>
  <si>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</si>
  <si>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</si>
  <si>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</si>
  <si>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</si>
  <si>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</si>
  <si>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</si>
  <si>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</si>
  <si>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</si>
  <si>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</si>
  <si>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</si>
  <si>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</si>
  <si>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</si>
  <si>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</si>
  <si>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</si>
  <si>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</si>
  <si>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</si>
  <si>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</si>
  <si>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</si>
  <si>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</si>
  <si>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</si>
  <si>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</si>
  <si>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</si>
  <si>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</si>
  <si>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</si>
  <si>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</si>
  <si>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</si>
  <si>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</si>
  <si>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</si>
  <si>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</si>
  <si>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</si>
  <si>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</si>
  <si>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</si>
  <si>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</si>
  <si>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</si>
  <si>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</si>
  <si>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</si>
  <si>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</si>
  <si>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</si>
  <si>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</si>
  <si>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</si>
  <si>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</si>
  <si>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</si>
  <si>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</si>
  <si>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</si>
  <si>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</si>
  <si>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</si>
  <si>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</si>
  <si>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</si>
  <si>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</si>
  <si>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</si>
  <si>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</si>
  <si>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</si>
  <si>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</si>
  <si>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</si>
  <si>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</si>
  <si>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</si>
  <si>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</si>
  <si>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</si>
  <si>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</si>
  <si>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</si>
  <si>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</si>
  <si>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</si>
  <si>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</si>
  <si>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</si>
  <si>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</si>
  <si>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</si>
  <si>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</si>
  <si>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</si>
  <si>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</si>
  <si>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</si>
  <si>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</si>
  <si>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</si>
  <si>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</si>
  <si>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</si>
  <si>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</si>
  <si>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</si>
  <si>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</si>
  <si>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</si>
  <si>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</si>
  <si>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</si>
  <si>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</si>
  <si>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</si>
  <si>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</si>
  <si>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</si>
  <si>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</si>
  <si>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</si>
  <si>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</si>
  <si>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</si>
  <si>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</si>
  <si>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</si>
  <si>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</si>
  <si>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</si>
  <si>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</si>
  <si>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</si>
  <si>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</si>
  <si>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</si>
  <si>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</si>
  <si>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</si>
  <si>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</si>
  <si>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</si>
  <si>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</si>
  <si>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</si>
  <si>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</si>
  <si>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</si>
  <si>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</si>
  <si>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</si>
  <si>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</si>
  <si>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</si>
  <si>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</si>
  <si>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</si>
  <si>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</si>
  <si>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</si>
  <si>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</si>
  <si>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</si>
  <si>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</si>
  <si>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</si>
  <si>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</si>
  <si>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</si>
  <si>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</si>
  <si>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</si>
  <si>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</si>
  <si>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</si>
  <si>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</si>
  <si>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</si>
  <si>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</si>
  <si>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</si>
  <si>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</si>
  <si>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</si>
  <si>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</si>
  <si>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</si>
  <si>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</si>
  <si>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</si>
  <si>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</si>
  <si>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</si>
  <si>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</si>
  <si>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</si>
  <si>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</si>
  <si>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</si>
  <si>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</si>
  <si>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</si>
  <si>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</si>
  <si>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</si>
  <si>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</si>
  <si>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</si>
  <si>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</si>
  <si>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</si>
  <si>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</si>
  <si>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</si>
  <si>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</si>
  <si>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</si>
  <si>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</si>
  <si>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</si>
  <si>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</si>
  <si>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</si>
  <si>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</si>
  <si>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</si>
  <si>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</si>
  <si>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</si>
  <si>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</si>
  <si>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</si>
  <si>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</si>
  <si>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</si>
  <si>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</si>
  <si>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</si>
  <si>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</si>
  <si>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</si>
  <si>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</si>
  <si>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</si>
  <si>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</si>
  <si>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</si>
  <si>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</si>
  <si>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</si>
  <si>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</si>
  <si>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</si>
  <si>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</si>
  <si>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</si>
  <si>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</si>
  <si>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</si>
  <si>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</si>
  <si>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</si>
  <si>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</si>
  <si>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</si>
  <si>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</si>
  <si>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</si>
  <si>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</si>
  <si>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</si>
  <si>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</si>
  <si>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</si>
  <si>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</si>
  <si>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</si>
  <si>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</si>
  <si>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</si>
  <si>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</si>
  <si>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</si>
  <si>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</si>
  <si>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</si>
  <si>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</si>
  <si>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</si>
  <si>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</si>
  <si>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</si>
  <si>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</si>
  <si>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</si>
  <si>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</si>
  <si>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</si>
  <si>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</si>
  <si>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</si>
  <si>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</si>
  <si>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</si>
  <si>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</si>
  <si>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</si>
  <si>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</si>
  <si>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</si>
  <si>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</si>
  <si>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</si>
  <si>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</si>
  <si>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</si>
  <si>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</si>
  <si>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</si>
  <si>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</si>
  <si>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</si>
  <si>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</si>
  <si>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</si>
  <si>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</si>
  <si>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</si>
  <si>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</si>
  <si>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</si>
  <si>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</si>
  <si>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</si>
  <si>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</si>
  <si>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</si>
  <si>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</si>
  <si>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</si>
  <si>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</si>
  <si>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</si>
  <si>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</si>
  <si>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</si>
  <si>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</si>
  <si>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</si>
  <si>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</si>
  <si>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</si>
  <si>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</si>
  <si>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</si>
  <si>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</si>
  <si>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</si>
  <si>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</si>
  <si>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</si>
  <si>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</si>
  <si>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</si>
  <si>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</si>
  <si>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</si>
  <si>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</si>
  <si>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</si>
  <si>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</si>
  <si>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</si>
  <si>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</si>
  <si>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</si>
  <si>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</si>
  <si>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</si>
  <si>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</si>
  <si>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</si>
  <si>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</si>
  <si>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</si>
  <si>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</si>
  <si>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</si>
  <si>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</si>
  <si>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</si>
  <si>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</si>
  <si>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</si>
  <si>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</si>
  <si>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</si>
  <si>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</si>
  <si>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</si>
  <si>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</si>
  <si>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</si>
  <si>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</si>
  <si>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</si>
  <si>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</si>
  <si>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</si>
  <si>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</si>
  <si>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</si>
  <si>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</si>
  <si>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</si>
  <si>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</si>
  <si>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</si>
  <si>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</si>
  <si>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</si>
  <si>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</si>
  <si>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</si>
  <si>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</si>
  <si>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</si>
  <si>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</si>
  <si>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</si>
  <si>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</si>
  <si>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</si>
  <si>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</si>
  <si>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</si>
  <si>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</si>
  <si>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</si>
  <si>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</si>
  <si>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</si>
  <si>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</si>
  <si>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</si>
  <si>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</si>
  <si>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</si>
  <si>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</si>
  <si>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</si>
  <si>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</si>
  <si>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</si>
  <si>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</si>
  <si>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</si>
  <si>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</si>
  <si>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</si>
  <si>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</si>
  <si>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</si>
  <si>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</si>
  <si>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</si>
  <si>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</si>
  <si>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</si>
  <si>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</si>
  <si>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</si>
  <si>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</si>
  <si>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</si>
  <si>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</si>
  <si>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</si>
  <si>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</si>
  <si>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</si>
  <si>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</si>
  <si>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</si>
  <si>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</si>
  <si>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</si>
  <si>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</si>
  <si>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</si>
  <si>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</si>
  <si>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</si>
  <si>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</si>
  <si>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</si>
  <si>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</si>
  <si>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</si>
  <si>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</si>
  <si>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</si>
  <si>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</si>
  <si>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</si>
  <si>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</si>
  <si>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</si>
  <si>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</si>
  <si>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</si>
  <si>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</si>
  <si>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</si>
  <si>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</si>
  <si>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</si>
  <si>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</si>
  <si>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</si>
  <si>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</si>
  <si>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</si>
  <si>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</si>
  <si>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</si>
  <si>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</si>
  <si>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</si>
  <si>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</si>
  <si>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</si>
  <si>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</si>
  <si>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</si>
  <si>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</si>
  <si>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</si>
  <si>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</si>
  <si>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</si>
  <si>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</si>
  <si>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</si>
  <si>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</si>
  <si>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</si>
  <si>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</si>
  <si>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</si>
  <si>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</si>
  <si>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</si>
  <si>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</si>
  <si>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</si>
  <si>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</si>
  <si>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</si>
  <si>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</si>
  <si>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</si>
  <si>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</si>
  <si>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</si>
  <si>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</si>
  <si>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</si>
  <si>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</si>
  <si>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</si>
  <si>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</si>
  <si>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</si>
  <si>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</si>
  <si>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</si>
  <si>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</si>
  <si>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</si>
  <si>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</si>
  <si>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</si>
  <si>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</si>
  <si>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</si>
  <si>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</si>
  <si>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</si>
  <si>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</si>
  <si>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</si>
  <si>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</si>
  <si>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</si>
  <si>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</si>
  <si>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</si>
  <si>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</si>
  <si>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</si>
  <si>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</si>
  <si>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</si>
  <si>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</si>
  <si>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</si>
  <si>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</si>
  <si>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</si>
  <si>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</si>
  <si>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</si>
  <si>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</si>
  <si>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</si>
  <si>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</si>
  <si>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</si>
  <si>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</si>
  <si>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</si>
  <si>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</si>
  <si>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</si>
  <si>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</si>
  <si>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</si>
  <si>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</si>
  <si>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</si>
  <si>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</si>
  <si>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</si>
  <si>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</si>
  <si>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</si>
  <si>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</si>
  <si>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</si>
  <si>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</si>
  <si>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</si>
  <si>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</si>
  <si>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</si>
  <si>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</si>
  <si>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</si>
  <si>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</si>
  <si>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</si>
  <si>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</si>
  <si>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</si>
  <si>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</si>
  <si>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</si>
  <si>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</si>
  <si>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</si>
  <si>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</si>
  <si>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</si>
  <si>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</si>
  <si>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</si>
  <si>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</si>
  <si>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</si>
  <si>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</si>
  <si>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</si>
  <si>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</si>
  <si>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</si>
  <si>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</si>
  <si>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</si>
  <si>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13023</t>
  </si>
  <si>
    <t>MERKSPLAS</t>
  </si>
  <si>
    <t>Paarden&amp;pony's 200 - 600 kg</t>
  </si>
  <si>
    <t>Paarden&amp;pony's &lt; 200 kg</t>
  </si>
  <si>
    <t>vloeibaar gas (MWh)</t>
  </si>
  <si>
    <t>interne verbrandingsmotor</t>
  </si>
  <si>
    <t>WKK interne verbrandinsgmotor (gas)</t>
  </si>
  <si>
    <t>IVEG</t>
  </si>
  <si>
    <t>biogas - stortgas</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</si>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</sst>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11D53FC2-8BED-49E9-ACF1-F113745EE851}"/>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13023</v>
      </c>
      <c r="B6" s="382"/>
      <c r="C6" s="383"/>
    </row>
    <row r="7" spans="1:7" s="380" customFormat="1" ht="15.75" customHeight="1">
      <c r="A7" s="384" t="str">
        <f>txtMunicipality</f>
        <v>MERKSPLAS</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0.23306503404567602</v>
      </c>
      <c r="C17" s="494">
        <f ca="1">'EF ele_warmte'!B22</f>
        <v>0.23764705882352941</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0.23306503404567602</v>
      </c>
      <c r="C29" s="495">
        <f ca="1">'EF ele_warmte'!B22</f>
        <v>0.23764705882352941</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3107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2382</v>
      </c>
      <c r="C14" s="324"/>
      <c r="D14" s="324"/>
      <c r="E14" s="324"/>
      <c r="F14" s="324"/>
    </row>
    <row r="15" spans="1:6">
      <c r="A15" s="1235" t="s">
        <v>177</v>
      </c>
      <c r="B15" s="1236">
        <v>11968</v>
      </c>
      <c r="C15" s="324"/>
      <c r="D15" s="324"/>
      <c r="E15" s="324"/>
      <c r="F15" s="324"/>
    </row>
    <row r="16" spans="1:6">
      <c r="A16" s="1235" t="s">
        <v>6</v>
      </c>
      <c r="B16" s="1236">
        <v>2984</v>
      </c>
      <c r="C16" s="324"/>
      <c r="D16" s="324"/>
      <c r="E16" s="324"/>
      <c r="F16" s="324"/>
    </row>
    <row r="17" spans="1:6">
      <c r="A17" s="1235" t="s">
        <v>7</v>
      </c>
      <c r="B17" s="1236">
        <v>599</v>
      </c>
      <c r="C17" s="324"/>
      <c r="D17" s="324"/>
      <c r="E17" s="324"/>
      <c r="F17" s="324"/>
    </row>
    <row r="18" spans="1:6">
      <c r="A18" s="1235" t="s">
        <v>8</v>
      </c>
      <c r="B18" s="1236">
        <v>1851</v>
      </c>
      <c r="C18" s="324"/>
      <c r="D18" s="324"/>
      <c r="E18" s="324"/>
      <c r="F18" s="324"/>
    </row>
    <row r="19" spans="1:6">
      <c r="A19" s="1235" t="s">
        <v>9</v>
      </c>
      <c r="B19" s="1236">
        <v>1729</v>
      </c>
      <c r="C19" s="324"/>
      <c r="D19" s="324"/>
      <c r="E19" s="324"/>
      <c r="F19" s="324"/>
    </row>
    <row r="20" spans="1:6">
      <c r="A20" s="1235" t="s">
        <v>10</v>
      </c>
      <c r="B20" s="1236">
        <v>1023</v>
      </c>
      <c r="C20" s="324"/>
      <c r="D20" s="324"/>
      <c r="E20" s="324"/>
      <c r="F20" s="324"/>
    </row>
    <row r="21" spans="1:6">
      <c r="A21" s="1235" t="s">
        <v>11</v>
      </c>
      <c r="B21" s="1236">
        <v>18898</v>
      </c>
      <c r="C21" s="324"/>
      <c r="D21" s="324"/>
      <c r="E21" s="324"/>
      <c r="F21" s="324"/>
    </row>
    <row r="22" spans="1:6">
      <c r="A22" s="1235" t="s">
        <v>12</v>
      </c>
      <c r="B22" s="1236">
        <v>42494</v>
      </c>
      <c r="C22" s="324"/>
      <c r="D22" s="324"/>
      <c r="E22" s="324"/>
      <c r="F22" s="324"/>
    </row>
    <row r="23" spans="1:6">
      <c r="A23" s="1235" t="s">
        <v>13</v>
      </c>
      <c r="B23" s="1236">
        <v>1128</v>
      </c>
      <c r="C23" s="324"/>
      <c r="D23" s="324"/>
      <c r="E23" s="324"/>
      <c r="F23" s="324"/>
    </row>
    <row r="24" spans="1:6">
      <c r="A24" s="1235" t="s">
        <v>14</v>
      </c>
      <c r="B24" s="1236">
        <v>38</v>
      </c>
      <c r="C24" s="324"/>
      <c r="D24" s="324"/>
      <c r="E24" s="324"/>
      <c r="F24" s="324"/>
    </row>
    <row r="25" spans="1:6">
      <c r="A25" s="1235" t="s">
        <v>15</v>
      </c>
      <c r="B25" s="1236">
        <v>4557</v>
      </c>
      <c r="C25" s="324"/>
      <c r="D25" s="324"/>
      <c r="E25" s="324"/>
      <c r="F25" s="324"/>
    </row>
    <row r="26" spans="1:6">
      <c r="A26" s="1235" t="s">
        <v>16</v>
      </c>
      <c r="B26" s="1236">
        <v>7</v>
      </c>
      <c r="C26" s="324"/>
      <c r="D26" s="324"/>
      <c r="E26" s="324"/>
      <c r="F26" s="324"/>
    </row>
    <row r="27" spans="1:6">
      <c r="A27" s="1235" t="s">
        <v>17</v>
      </c>
      <c r="B27" s="1236">
        <v>9</v>
      </c>
      <c r="C27" s="324"/>
      <c r="D27" s="324"/>
      <c r="E27" s="324"/>
      <c r="F27" s="324"/>
    </row>
    <row r="28" spans="1:6">
      <c r="A28" s="1235" t="s">
        <v>18</v>
      </c>
      <c r="B28" s="1237">
        <v>567084</v>
      </c>
      <c r="C28" s="324"/>
      <c r="D28" s="324"/>
      <c r="E28" s="324"/>
      <c r="F28" s="324"/>
    </row>
    <row r="29" spans="1:6">
      <c r="A29" s="1235" t="s">
        <v>959</v>
      </c>
      <c r="B29" s="1237">
        <v>98</v>
      </c>
      <c r="C29" s="324"/>
      <c r="D29" s="324"/>
      <c r="E29" s="324"/>
      <c r="F29" s="324"/>
    </row>
    <row r="30" spans="1:6">
      <c r="A30" s="1230" t="s">
        <v>960</v>
      </c>
      <c r="B30" s="1238">
        <v>7</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4</v>
      </c>
      <c r="D36" s="1236">
        <v>127379453.155027</v>
      </c>
      <c r="E36" s="1236">
        <v>6</v>
      </c>
      <c r="F36" s="1236">
        <v>670334</v>
      </c>
    </row>
    <row r="37" spans="1:6">
      <c r="A37" s="1235" t="s">
        <v>24</v>
      </c>
      <c r="B37" s="1235" t="s">
        <v>27</v>
      </c>
      <c r="C37" s="1236">
        <v>0</v>
      </c>
      <c r="D37" s="1236">
        <v>0</v>
      </c>
      <c r="E37" s="1236">
        <v>0</v>
      </c>
      <c r="F37" s="1236">
        <v>0</v>
      </c>
    </row>
    <row r="38" spans="1:6">
      <c r="A38" s="1235" t="s">
        <v>24</v>
      </c>
      <c r="B38" s="1235" t="s">
        <v>28</v>
      </c>
      <c r="C38" s="1236">
        <v>1</v>
      </c>
      <c r="D38" s="1236">
        <v>1048675.1725685201</v>
      </c>
      <c r="E38" s="1236">
        <v>1</v>
      </c>
      <c r="F38" s="1236">
        <v>7769</v>
      </c>
    </row>
    <row r="39" spans="1:6">
      <c r="A39" s="1235" t="s">
        <v>29</v>
      </c>
      <c r="B39" s="1235" t="s">
        <v>30</v>
      </c>
      <c r="C39" s="1236">
        <v>2160</v>
      </c>
      <c r="D39" s="1236">
        <v>43498903.714026697</v>
      </c>
      <c r="E39" s="1236">
        <v>3058</v>
      </c>
      <c r="F39" s="1236">
        <v>12638604</v>
      </c>
    </row>
    <row r="40" spans="1:6">
      <c r="A40" s="1235" t="s">
        <v>29</v>
      </c>
      <c r="B40" s="1235" t="s">
        <v>28</v>
      </c>
      <c r="C40" s="1236">
        <v>0</v>
      </c>
      <c r="D40" s="1236">
        <v>0</v>
      </c>
      <c r="E40" s="1236">
        <v>0</v>
      </c>
      <c r="F40" s="1236">
        <v>0</v>
      </c>
    </row>
    <row r="41" spans="1:6">
      <c r="A41" s="1235" t="s">
        <v>31</v>
      </c>
      <c r="B41" s="1235" t="s">
        <v>32</v>
      </c>
      <c r="C41" s="1236">
        <v>0</v>
      </c>
      <c r="D41" s="1236">
        <v>0</v>
      </c>
      <c r="E41" s="1236">
        <v>82</v>
      </c>
      <c r="F41" s="1236">
        <v>670740</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12</v>
      </c>
      <c r="F44" s="1236">
        <v>551715</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20</v>
      </c>
      <c r="D48" s="1236">
        <v>828279.58728497103</v>
      </c>
      <c r="E48" s="1236">
        <v>7</v>
      </c>
      <c r="F48" s="1236">
        <v>196943</v>
      </c>
    </row>
    <row r="49" spans="1:6">
      <c r="A49" s="1235" t="s">
        <v>31</v>
      </c>
      <c r="B49" s="1235" t="s">
        <v>39</v>
      </c>
      <c r="C49" s="1236">
        <v>0</v>
      </c>
      <c r="D49" s="1236">
        <v>0</v>
      </c>
      <c r="E49" s="1236">
        <v>0</v>
      </c>
      <c r="F49" s="1236">
        <v>0</v>
      </c>
    </row>
    <row r="50" spans="1:6">
      <c r="A50" s="1235" t="s">
        <v>31</v>
      </c>
      <c r="B50" s="1235" t="s">
        <v>40</v>
      </c>
      <c r="C50" s="1236">
        <v>4</v>
      </c>
      <c r="D50" s="1236">
        <v>547016.20515041298</v>
      </c>
      <c r="E50" s="1236">
        <v>7</v>
      </c>
      <c r="F50" s="1236">
        <v>150654</v>
      </c>
    </row>
    <row r="51" spans="1:6">
      <c r="A51" s="1235" t="s">
        <v>41</v>
      </c>
      <c r="B51" s="1235" t="s">
        <v>42</v>
      </c>
      <c r="C51" s="1236">
        <v>12</v>
      </c>
      <c r="D51" s="1236">
        <v>378654639.83157301</v>
      </c>
      <c r="E51" s="1236">
        <v>154</v>
      </c>
      <c r="F51" s="1236">
        <v>9678842</v>
      </c>
    </row>
    <row r="52" spans="1:6">
      <c r="A52" s="1235" t="s">
        <v>41</v>
      </c>
      <c r="B52" s="1235" t="s">
        <v>28</v>
      </c>
      <c r="C52" s="1236">
        <v>4</v>
      </c>
      <c r="D52" s="1236">
        <v>57442.973744128103</v>
      </c>
      <c r="E52" s="1236">
        <v>0</v>
      </c>
      <c r="F52" s="1236">
        <v>0</v>
      </c>
    </row>
    <row r="53" spans="1:6">
      <c r="A53" s="1235" t="s">
        <v>43</v>
      </c>
      <c r="B53" s="1235" t="s">
        <v>44</v>
      </c>
      <c r="C53" s="1236">
        <v>21</v>
      </c>
      <c r="D53" s="1236">
        <v>436253.24404991599</v>
      </c>
      <c r="E53" s="1236">
        <v>0</v>
      </c>
      <c r="F53" s="1236">
        <v>0</v>
      </c>
    </row>
    <row r="54" spans="1:6">
      <c r="A54" s="1235" t="s">
        <v>45</v>
      </c>
      <c r="B54" s="1235" t="s">
        <v>46</v>
      </c>
      <c r="C54" s="1236">
        <v>0</v>
      </c>
      <c r="D54" s="1236">
        <v>0</v>
      </c>
      <c r="E54" s="1236">
        <v>50</v>
      </c>
      <c r="F54" s="1236">
        <v>342731</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3</v>
      </c>
      <c r="D57" s="1236">
        <v>3682089.6794756302</v>
      </c>
      <c r="E57" s="1236">
        <v>33</v>
      </c>
      <c r="F57" s="1236">
        <v>3570275</v>
      </c>
    </row>
    <row r="58" spans="1:6">
      <c r="A58" s="1235" t="s">
        <v>48</v>
      </c>
      <c r="B58" s="1235" t="s">
        <v>50</v>
      </c>
      <c r="C58" s="1236">
        <v>3</v>
      </c>
      <c r="D58" s="1236">
        <v>551604.84201119398</v>
      </c>
      <c r="E58" s="1236">
        <v>19</v>
      </c>
      <c r="F58" s="1236">
        <v>392777</v>
      </c>
    </row>
    <row r="59" spans="1:6">
      <c r="A59" s="1235" t="s">
        <v>48</v>
      </c>
      <c r="B59" s="1235" t="s">
        <v>51</v>
      </c>
      <c r="C59" s="1236">
        <v>6</v>
      </c>
      <c r="D59" s="1236">
        <v>406848.02554957499</v>
      </c>
      <c r="E59" s="1236">
        <v>100</v>
      </c>
      <c r="F59" s="1236">
        <v>3593049</v>
      </c>
    </row>
    <row r="60" spans="1:6">
      <c r="A60" s="1235" t="s">
        <v>48</v>
      </c>
      <c r="B60" s="1235" t="s">
        <v>52</v>
      </c>
      <c r="C60" s="1236">
        <v>8</v>
      </c>
      <c r="D60" s="1236">
        <v>517551.90949372499</v>
      </c>
      <c r="E60" s="1236">
        <v>19</v>
      </c>
      <c r="F60" s="1236">
        <v>1281770</v>
      </c>
    </row>
    <row r="61" spans="1:6">
      <c r="A61" s="1235" t="s">
        <v>48</v>
      </c>
      <c r="B61" s="1235" t="s">
        <v>53</v>
      </c>
      <c r="C61" s="1236">
        <v>33</v>
      </c>
      <c r="D61" s="1236">
        <v>13965558.7429672</v>
      </c>
      <c r="E61" s="1236">
        <v>122</v>
      </c>
      <c r="F61" s="1236">
        <v>5155862</v>
      </c>
    </row>
    <row r="62" spans="1:6">
      <c r="A62" s="1235" t="s">
        <v>48</v>
      </c>
      <c r="B62" s="1235" t="s">
        <v>54</v>
      </c>
      <c r="C62" s="1236">
        <v>3</v>
      </c>
      <c r="D62" s="1236">
        <v>311981.53046194703</v>
      </c>
      <c r="E62" s="1236">
        <v>4</v>
      </c>
      <c r="F62" s="1236">
        <v>87671</v>
      </c>
    </row>
    <row r="63" spans="1:6">
      <c r="A63" s="1235" t="s">
        <v>48</v>
      </c>
      <c r="B63" s="1235" t="s">
        <v>28</v>
      </c>
      <c r="C63" s="1236">
        <v>52</v>
      </c>
      <c r="D63" s="1236">
        <v>2078195.43989731</v>
      </c>
      <c r="E63" s="1236">
        <v>0</v>
      </c>
      <c r="F63" s="1236">
        <v>0</v>
      </c>
    </row>
    <row r="64" spans="1:6">
      <c r="A64" s="1235" t="s">
        <v>55</v>
      </c>
      <c r="B64" s="1235" t="s">
        <v>56</v>
      </c>
      <c r="C64" s="1236">
        <v>0</v>
      </c>
      <c r="D64" s="1236">
        <v>0</v>
      </c>
      <c r="E64" s="1236">
        <v>0</v>
      </c>
      <c r="F64" s="1236">
        <v>0</v>
      </c>
    </row>
    <row r="65" spans="1:6">
      <c r="A65" s="1235" t="s">
        <v>55</v>
      </c>
      <c r="B65" s="1235" t="s">
        <v>28</v>
      </c>
      <c r="C65" s="1236">
        <v>1</v>
      </c>
      <c r="D65" s="1236">
        <v>26327.779445190499</v>
      </c>
      <c r="E65" s="1236">
        <v>2</v>
      </c>
      <c r="F65" s="1236">
        <v>4732</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5</v>
      </c>
      <c r="F68" s="1238">
        <v>67602</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44711193</v>
      </c>
      <c r="E73" s="443"/>
      <c r="F73" s="324"/>
    </row>
    <row r="74" spans="1:6">
      <c r="A74" s="1235" t="s">
        <v>63</v>
      </c>
      <c r="B74" s="1235" t="s">
        <v>730</v>
      </c>
      <c r="C74" s="1248" t="s">
        <v>731</v>
      </c>
      <c r="D74" s="1236">
        <v>3139399.634062293</v>
      </c>
      <c r="E74" s="443"/>
      <c r="F74" s="324"/>
    </row>
    <row r="75" spans="1:6">
      <c r="A75" s="1235" t="s">
        <v>64</v>
      </c>
      <c r="B75" s="1235" t="s">
        <v>728</v>
      </c>
      <c r="C75" s="1248" t="s">
        <v>732</v>
      </c>
      <c r="D75" s="1236">
        <v>8121047</v>
      </c>
      <c r="E75" s="443"/>
      <c r="F75" s="324"/>
    </row>
    <row r="76" spans="1:6">
      <c r="A76" s="1235" t="s">
        <v>64</v>
      </c>
      <c r="B76" s="1235" t="s">
        <v>730</v>
      </c>
      <c r="C76" s="1248" t="s">
        <v>733</v>
      </c>
      <c r="D76" s="1236">
        <v>183705.6340622931</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259624.73187541377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1000.3496846635065</v>
      </c>
      <c r="C91" s="324"/>
      <c r="D91" s="324"/>
      <c r="E91" s="324"/>
      <c r="F91" s="324"/>
    </row>
    <row r="92" spans="1:6">
      <c r="A92" s="1230" t="s">
        <v>68</v>
      </c>
      <c r="B92" s="1231">
        <v>617.08077083740045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1528</v>
      </c>
      <c r="C97" s="324"/>
      <c r="D97" s="324"/>
      <c r="E97" s="324"/>
      <c r="F97" s="324"/>
    </row>
    <row r="98" spans="1:6">
      <c r="A98" s="1235" t="s">
        <v>71</v>
      </c>
      <c r="B98" s="1236">
        <v>2</v>
      </c>
      <c r="C98" s="324"/>
      <c r="D98" s="324"/>
      <c r="E98" s="324"/>
      <c r="F98" s="324"/>
    </row>
    <row r="99" spans="1:6">
      <c r="A99" s="1235" t="s">
        <v>72</v>
      </c>
      <c r="B99" s="1236">
        <v>75</v>
      </c>
      <c r="C99" s="324"/>
      <c r="D99" s="324"/>
      <c r="E99" s="324"/>
      <c r="F99" s="324"/>
    </row>
    <row r="100" spans="1:6">
      <c r="A100" s="1235" t="s">
        <v>73</v>
      </c>
      <c r="B100" s="1236">
        <v>103</v>
      </c>
      <c r="C100" s="324"/>
      <c r="D100" s="324"/>
      <c r="E100" s="324"/>
      <c r="F100" s="324"/>
    </row>
    <row r="101" spans="1:6">
      <c r="A101" s="1235" t="s">
        <v>74</v>
      </c>
      <c r="B101" s="1236">
        <v>100</v>
      </c>
      <c r="C101" s="324"/>
      <c r="D101" s="324"/>
      <c r="E101" s="324"/>
      <c r="F101" s="324"/>
    </row>
    <row r="102" spans="1:6">
      <c r="A102" s="1235" t="s">
        <v>75</v>
      </c>
      <c r="B102" s="1236">
        <v>31</v>
      </c>
      <c r="C102" s="324"/>
      <c r="D102" s="324"/>
      <c r="E102" s="324"/>
      <c r="F102" s="324"/>
    </row>
    <row r="103" spans="1:6">
      <c r="A103" s="1235" t="s">
        <v>76</v>
      </c>
      <c r="B103" s="1236">
        <v>63</v>
      </c>
      <c r="C103" s="324"/>
      <c r="D103" s="324"/>
      <c r="E103" s="324"/>
      <c r="F103" s="324"/>
    </row>
    <row r="104" spans="1:6">
      <c r="A104" s="1235" t="s">
        <v>77</v>
      </c>
      <c r="B104" s="1236">
        <v>786</v>
      </c>
      <c r="C104" s="324"/>
      <c r="D104" s="324"/>
      <c r="E104" s="324"/>
      <c r="F104" s="324"/>
    </row>
    <row r="105" spans="1:6">
      <c r="A105" s="1230" t="s">
        <v>78</v>
      </c>
      <c r="B105" s="1238">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v>
      </c>
      <c r="C123" s="1236">
        <v>1</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21</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40963.922984393459</v>
      </c>
      <c r="C3" s="43" t="s">
        <v>163</v>
      </c>
      <c r="D3" s="43"/>
      <c r="E3" s="155"/>
      <c r="F3" s="43"/>
      <c r="G3" s="43"/>
      <c r="H3" s="43"/>
      <c r="I3" s="43"/>
      <c r="J3" s="43"/>
      <c r="K3" s="96"/>
    </row>
    <row r="4" spans="1:11">
      <c r="A4" s="350" t="s">
        <v>164</v>
      </c>
      <c r="B4" s="49">
        <f>IF(ISERROR('SEAP template'!B78+'SEAP template'!C78),0,'SEAP template'!B78+'SEAP template'!C78)</f>
        <v>169309.9304555009</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39460.224705882356</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0.23306503404567602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56371.749579831936</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237207.85714285716</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0.23764705882352941</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342.73099999999999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342.73099999999999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0.23306503404567602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79.878612183508594</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12638.603999999999</v>
      </c>
      <c r="C5" s="17">
        <f>IF(ISERROR('Eigen informatie GS &amp; warmtenet'!B57),0,'Eigen informatie GS &amp; warmtenet'!B57)</f>
        <v>0</v>
      </c>
      <c r="D5" s="30">
        <f>(SUM(HH_hh_gas_kWh,HH_rest_gas_kWh)/1000)*0.902</f>
        <v>39236.01115005208</v>
      </c>
      <c r="E5" s="17">
        <f>B32*B41</f>
        <v>508.26542458666654</v>
      </c>
      <c r="F5" s="17">
        <f>B36*B45</f>
        <v>17349.333093727688</v>
      </c>
      <c r="G5" s="18"/>
      <c r="H5" s="17"/>
      <c r="I5" s="17"/>
      <c r="J5" s="17">
        <f>B35*B44+C35*C44</f>
        <v>390.66299572892166</v>
      </c>
      <c r="K5" s="17"/>
      <c r="L5" s="17"/>
      <c r="M5" s="17"/>
      <c r="N5" s="17">
        <f>B34*B43+C34*C43</f>
        <v>3663.3836077521423</v>
      </c>
      <c r="O5" s="17">
        <f>B52*B53*B54</f>
        <v>35.956666666666671</v>
      </c>
      <c r="P5" s="17">
        <f>B60*B61*B62/1000-B60*B61*B62/1000/B63</f>
        <v>38.133333333333333</v>
      </c>
    </row>
    <row r="6" spans="1:16">
      <c r="A6" s="16" t="s">
        <v>591</v>
      </c>
      <c r="B6" s="727">
        <f>kWh_PV_kleiner_dan_10kW</f>
        <v>1000.3496846635065</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13638.953684663506</v>
      </c>
      <c r="C8" s="21">
        <f>C5</f>
        <v>0</v>
      </c>
      <c r="D8" s="21">
        <f>D5</f>
        <v>39236.01115005208</v>
      </c>
      <c r="E8" s="21">
        <f>E5</f>
        <v>508.26542458666654</v>
      </c>
      <c r="F8" s="21">
        <f>F5</f>
        <v>17349.333093727688</v>
      </c>
      <c r="G8" s="21"/>
      <c r="H8" s="21"/>
      <c r="I8" s="21"/>
      <c r="J8" s="21">
        <f>J5</f>
        <v>390.66299572892166</v>
      </c>
      <c r="K8" s="21"/>
      <c r="L8" s="21">
        <f>L5</f>
        <v>0</v>
      </c>
      <c r="M8" s="21">
        <f>M5</f>
        <v>0</v>
      </c>
      <c r="N8" s="21">
        <f>N5</f>
        <v>3663.3836077521423</v>
      </c>
      <c r="O8" s="21">
        <f>O5</f>
        <v>35.956666666666671</v>
      </c>
      <c r="P8" s="21">
        <f>P5</f>
        <v>38.133333333333333</v>
      </c>
    </row>
    <row r="9" spans="1:16">
      <c r="B9" s="19"/>
      <c r="C9" s="19"/>
      <c r="D9" s="255"/>
      <c r="E9" s="19"/>
      <c r="F9" s="19"/>
      <c r="G9" s="19"/>
      <c r="H9" s="19"/>
      <c r="I9" s="19"/>
      <c r="J9" s="19"/>
      <c r="K9" s="19"/>
      <c r="L9" s="19"/>
      <c r="M9" s="19"/>
      <c r="N9" s="19"/>
      <c r="O9" s="19"/>
      <c r="P9" s="19"/>
    </row>
    <row r="10" spans="1:16">
      <c r="A10" s="24" t="s">
        <v>207</v>
      </c>
      <c r="B10" s="25">
        <f ca="1">'EF ele_warmte'!B12</f>
        <v>0.23306503404567602</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3178.7632048634982</v>
      </c>
      <c r="C12" s="23">
        <f ca="1">C10*C8</f>
        <v>0</v>
      </c>
      <c r="D12" s="23">
        <f>D8*D10</f>
        <v>7925.6742523105204</v>
      </c>
      <c r="E12" s="23">
        <f>E10*E8</f>
        <v>115.3762513811733</v>
      </c>
      <c r="F12" s="23">
        <f>F10*F8</f>
        <v>4632.2719360252931</v>
      </c>
      <c r="G12" s="23"/>
      <c r="H12" s="23"/>
      <c r="I12" s="23"/>
      <c r="J12" s="23">
        <f>J10*J8</f>
        <v>138.29470048803827</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3107</v>
      </c>
      <c r="C26" s="36"/>
      <c r="D26" s="225"/>
    </row>
    <row r="27" spans="1:5" s="15" customFormat="1">
      <c r="A27" s="227" t="s">
        <v>671</v>
      </c>
      <c r="B27" s="37">
        <f>SUM(HH_hh_gas_aantal,HH_rest_gas_aantal)</f>
        <v>2160</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2052</v>
      </c>
      <c r="C31" s="34" t="s">
        <v>104</v>
      </c>
      <c r="D31" s="171"/>
    </row>
    <row r="32" spans="1:5">
      <c r="A32" s="168" t="s">
        <v>72</v>
      </c>
      <c r="B32" s="33">
        <f>IF((B21*($B$26-($B$27-0.05*$B$27)-$B$60))&lt;0,0,B21*($B$26-($B$27-0.05*$B$27)-$B$60))</f>
        <v>7.4653157898377112</v>
      </c>
      <c r="C32" s="34" t="s">
        <v>104</v>
      </c>
      <c r="D32" s="171"/>
    </row>
    <row r="33" spans="1:6">
      <c r="A33" s="168" t="s">
        <v>73</v>
      </c>
      <c r="B33" s="33">
        <f>IF((B22*($B$26-($B$27-0.05*$B$27)-$B$60))&lt;0,0,B22*($B$26-($B$27-0.05*$B$27)-$B$60))</f>
        <v>213.95493484752575</v>
      </c>
      <c r="C33" s="34" t="s">
        <v>104</v>
      </c>
      <c r="D33" s="171"/>
    </row>
    <row r="34" spans="1:6">
      <c r="A34" s="168" t="s">
        <v>74</v>
      </c>
      <c r="B34" s="33">
        <f>IF((B24*($B$26-($B$27-0.05*$B$27)-$B$60))&lt;0,0,B24*($B$26-($B$27-0.05*$B$27)-$B$60))</f>
        <v>42.664875152621988</v>
      </c>
      <c r="C34" s="33">
        <f>B26*C24</f>
        <v>635.31194896610759</v>
      </c>
      <c r="D34" s="230"/>
    </row>
    <row r="35" spans="1:6">
      <c r="A35" s="168" t="s">
        <v>76</v>
      </c>
      <c r="B35" s="33">
        <f>IF((B19*($B$26-($B$27-0.05*$B$27)-$B$60))&lt;0,0,B19*($B$26-($B$27-0.05*$B$27)-$B$60))</f>
        <v>22.21820175546938</v>
      </c>
      <c r="C35" s="33">
        <f>B35/2</f>
        <v>11.10910087773469</v>
      </c>
      <c r="D35" s="230"/>
    </row>
    <row r="36" spans="1:6">
      <c r="A36" s="168" t="s">
        <v>77</v>
      </c>
      <c r="B36" s="33">
        <f>IF((B18*($B$26-($B$27-0.05*$B$27)-$B$60))&lt;0,0,B18*($B$26-($B$27-0.05*$B$27)-$B$60))</f>
        <v>766.69667245454514</v>
      </c>
      <c r="C36" s="34" t="s">
        <v>104</v>
      </c>
      <c r="D36" s="171"/>
    </row>
    <row r="37" spans="1:6">
      <c r="A37" s="168" t="s">
        <v>78</v>
      </c>
      <c r="B37" s="33">
        <f>B60</f>
        <v>2</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23</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14081.404</v>
      </c>
      <c r="C5" s="17">
        <f>IF(ISERROR('Eigen informatie GS &amp; warmtenet'!B58),0,'Eigen informatie GS &amp; warmtenet'!B58)</f>
        <v>0</v>
      </c>
      <c r="D5" s="30">
        <f>SUM(D6:D12)</f>
        <v>19405.474813210636</v>
      </c>
      <c r="E5" s="17">
        <f>SUM(E6:E12)</f>
        <v>288.76077114094693</v>
      </c>
      <c r="F5" s="17">
        <f>SUM(F6:F12)</f>
        <v>2683.3727544887602</v>
      </c>
      <c r="G5" s="18"/>
      <c r="H5" s="17"/>
      <c r="I5" s="17"/>
      <c r="J5" s="17">
        <f>SUM(J6:J12)</f>
        <v>0</v>
      </c>
      <c r="K5" s="17"/>
      <c r="L5" s="17"/>
      <c r="M5" s="17"/>
      <c r="N5" s="17">
        <f>SUM(N6:N12)</f>
        <v>828.15491691086686</v>
      </c>
      <c r="O5" s="17">
        <f>B38*B39*B40</f>
        <v>1.5633333333333335</v>
      </c>
      <c r="P5" s="17">
        <f>B46*B47*B48/1000-B46*B47*B48/1000/B49</f>
        <v>0</v>
      </c>
      <c r="R5" s="32"/>
    </row>
    <row r="6" spans="1:18">
      <c r="A6" s="32" t="s">
        <v>53</v>
      </c>
      <c r="B6" s="37">
        <f>B26</f>
        <v>5155.8620000000001</v>
      </c>
      <c r="C6" s="33"/>
      <c r="D6" s="37">
        <f>IF(ISERROR(TER_kantoor_gas_kWh/1000),0,TER_kantoor_gas_kWh/1000)*0.902</f>
        <v>12596.933986156415</v>
      </c>
      <c r="E6" s="33">
        <f>$C$26*'E Balans VL '!I12/100/3.6*1000000</f>
        <v>178.35163475384374</v>
      </c>
      <c r="F6" s="33">
        <f>$C$26*('E Balans VL '!L12+'E Balans VL '!N12)/100/3.6*1000000</f>
        <v>787.09708161229321</v>
      </c>
      <c r="G6" s="34"/>
      <c r="H6" s="33"/>
      <c r="I6" s="33"/>
      <c r="J6" s="33">
        <f>$C$26*('E Balans VL '!D12+'E Balans VL '!E12)/100/3.6*1000000</f>
        <v>0</v>
      </c>
      <c r="K6" s="33"/>
      <c r="L6" s="33"/>
      <c r="M6" s="33"/>
      <c r="N6" s="33">
        <f>$C$26*'E Balans VL '!Y12/100/3.6*1000000</f>
        <v>79.480063656362134</v>
      </c>
      <c r="O6" s="33"/>
      <c r="P6" s="33"/>
      <c r="R6" s="32"/>
    </row>
    <row r="7" spans="1:18">
      <c r="A7" s="32" t="s">
        <v>52</v>
      </c>
      <c r="B7" s="37">
        <f t="shared" ref="B7:B12" si="0">B27</f>
        <v>1281.77</v>
      </c>
      <c r="C7" s="33"/>
      <c r="D7" s="37">
        <f>IF(ISERROR(TER_horeca_gas_kWh/1000),0,TER_horeca_gas_kWh/1000)*0.902</f>
        <v>466.83182236334</v>
      </c>
      <c r="E7" s="33">
        <f>$C$27*'E Balans VL '!I9/100/3.6*1000000</f>
        <v>70.245068994740492</v>
      </c>
      <c r="F7" s="33">
        <f>$C$27*('E Balans VL '!L9+'E Balans VL '!N9)/100/3.6*1000000</f>
        <v>216.9183590134904</v>
      </c>
      <c r="G7" s="34"/>
      <c r="H7" s="33"/>
      <c r="I7" s="33"/>
      <c r="J7" s="33">
        <f>$C$27*('E Balans VL '!D9+'E Balans VL '!E9)/100/3.6*1000000</f>
        <v>0</v>
      </c>
      <c r="K7" s="33"/>
      <c r="L7" s="33"/>
      <c r="M7" s="33"/>
      <c r="N7" s="33">
        <f>$C$27*'E Balans VL '!Y9/100/3.6*1000000</f>
        <v>0</v>
      </c>
      <c r="O7" s="33"/>
      <c r="P7" s="33"/>
      <c r="R7" s="32"/>
    </row>
    <row r="8" spans="1:18">
      <c r="A8" s="6" t="s">
        <v>51</v>
      </c>
      <c r="B8" s="37">
        <f t="shared" si="0"/>
        <v>3593.049</v>
      </c>
      <c r="C8" s="33"/>
      <c r="D8" s="37">
        <f>IF(ISERROR(TER_handel_gas_kWh/1000),0,TER_handel_gas_kWh/1000)*0.902</f>
        <v>366.97691904571661</v>
      </c>
      <c r="E8" s="33">
        <f>$C$28*'E Balans VL '!I13/100/3.6*1000000</f>
        <v>18.177848402119878</v>
      </c>
      <c r="F8" s="33">
        <f>$C$28*('E Balans VL '!L13+'E Balans VL '!N13)/100/3.6*1000000</f>
        <v>545.93569351817143</v>
      </c>
      <c r="G8" s="34"/>
      <c r="H8" s="33"/>
      <c r="I8" s="33"/>
      <c r="J8" s="33">
        <f>$C$28*('E Balans VL '!D13+'E Balans VL '!E13)/100/3.6*1000000</f>
        <v>0</v>
      </c>
      <c r="K8" s="33"/>
      <c r="L8" s="33"/>
      <c r="M8" s="33"/>
      <c r="N8" s="33">
        <f>$C$28*'E Balans VL '!Y13/100/3.6*1000000</f>
        <v>1.6802058957427535</v>
      </c>
      <c r="O8" s="33"/>
      <c r="P8" s="33"/>
      <c r="R8" s="32"/>
    </row>
    <row r="9" spans="1:18">
      <c r="A9" s="32" t="s">
        <v>50</v>
      </c>
      <c r="B9" s="37">
        <f t="shared" si="0"/>
        <v>392.77699999999999</v>
      </c>
      <c r="C9" s="33"/>
      <c r="D9" s="37">
        <f>IF(ISERROR(TER_gezond_gas_kWh/1000),0,TER_gezond_gas_kWh/1000)*0.902</f>
        <v>497.547567494097</v>
      </c>
      <c r="E9" s="33">
        <f>$C$29*'E Balans VL '!I10/100/3.6*1000000</f>
        <v>0.14283165110450113</v>
      </c>
      <c r="F9" s="33">
        <f>$C$29*('E Balans VL '!L10+'E Balans VL '!N10)/100/3.6*1000000</f>
        <v>84.868496018520247</v>
      </c>
      <c r="G9" s="34"/>
      <c r="H9" s="33"/>
      <c r="I9" s="33"/>
      <c r="J9" s="33">
        <f>$C$29*('E Balans VL '!D10+'E Balans VL '!E10)/100/3.6*1000000</f>
        <v>0</v>
      </c>
      <c r="K9" s="33"/>
      <c r="L9" s="33"/>
      <c r="M9" s="33"/>
      <c r="N9" s="33">
        <f>$C$29*'E Balans VL '!Y10/100/3.6*1000000</f>
        <v>2.9781428258702562</v>
      </c>
      <c r="O9" s="33"/>
      <c r="P9" s="33"/>
      <c r="R9" s="32"/>
    </row>
    <row r="10" spans="1:18">
      <c r="A10" s="32" t="s">
        <v>49</v>
      </c>
      <c r="B10" s="37">
        <f t="shared" si="0"/>
        <v>3570.2750000000001</v>
      </c>
      <c r="C10" s="33"/>
      <c r="D10" s="37">
        <f>IF(ISERROR(TER_ander_gas_kWh/1000),0,TER_ander_gas_kWh/1000)*0.902</f>
        <v>3321.2448908870183</v>
      </c>
      <c r="E10" s="33">
        <f>$C$30*'E Balans VL '!I14/100/3.6*1000000</f>
        <v>21.734580037585854</v>
      </c>
      <c r="F10" s="33">
        <f>$C$30*('E Balans VL '!L14+'E Balans VL '!N14)/100/3.6*1000000</f>
        <v>945.22826066597008</v>
      </c>
      <c r="G10" s="34"/>
      <c r="H10" s="33"/>
      <c r="I10" s="33"/>
      <c r="J10" s="33">
        <f>$C$30*('E Balans VL '!D14+'E Balans VL '!E14)/100/3.6*1000000</f>
        <v>0</v>
      </c>
      <c r="K10" s="33"/>
      <c r="L10" s="33"/>
      <c r="M10" s="33"/>
      <c r="N10" s="33">
        <f>$C$30*'E Balans VL '!Y14/100/3.6*1000000</f>
        <v>743.59569192107756</v>
      </c>
      <c r="O10" s="33"/>
      <c r="P10" s="33"/>
      <c r="R10" s="32"/>
    </row>
    <row r="11" spans="1:18">
      <c r="A11" s="32" t="s">
        <v>54</v>
      </c>
      <c r="B11" s="37">
        <f t="shared" si="0"/>
        <v>87.671000000000006</v>
      </c>
      <c r="C11" s="33"/>
      <c r="D11" s="37">
        <f>IF(ISERROR(TER_onderwijs_gas_kWh/1000),0,TER_onderwijs_gas_kWh/1000)*0.902</f>
        <v>281.40734047667627</v>
      </c>
      <c r="E11" s="33">
        <f>$C$31*'E Balans VL '!I11/100/3.6*1000000</f>
        <v>0.10880730155254328</v>
      </c>
      <c r="F11" s="33">
        <f>$C$31*('E Balans VL '!L11+'E Balans VL '!N11)/100/3.6*1000000</f>
        <v>103.32486366031415</v>
      </c>
      <c r="G11" s="34"/>
      <c r="H11" s="33"/>
      <c r="I11" s="33"/>
      <c r="J11" s="33">
        <f>$C$31*('E Balans VL '!D11+'E Balans VL '!E11)/100/3.6*1000000</f>
        <v>0</v>
      </c>
      <c r="K11" s="33"/>
      <c r="L11" s="33"/>
      <c r="M11" s="33"/>
      <c r="N11" s="33">
        <f>$C$31*'E Balans VL '!Y11/100/3.6*1000000</f>
        <v>0.42081261181414853</v>
      </c>
      <c r="O11" s="33"/>
      <c r="P11" s="33"/>
      <c r="R11" s="32"/>
    </row>
    <row r="12" spans="1:18">
      <c r="A12" s="32" t="s">
        <v>249</v>
      </c>
      <c r="B12" s="37">
        <f t="shared" si="0"/>
        <v>0</v>
      </c>
      <c r="C12" s="33"/>
      <c r="D12" s="37">
        <f>IF(ISERROR(TER_rest_gas_kWh/1000),0,TER_rest_gas_kWh/1000)*0.902</f>
        <v>1874.5322867873736</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energieproductie'!N45+'lokale energieproductie'!N38</f>
        <v>1647</v>
      </c>
      <c r="C13" s="243">
        <f ca="1">'lokale energieproductie'!O45+'lokale energieproductie'!O38</f>
        <v>0</v>
      </c>
      <c r="D13" s="302">
        <f ca="1">('lokale energieproductie'!P38+'lokale energieproductie'!P45)*(-1)</f>
        <v>0</v>
      </c>
      <c r="E13" s="244"/>
      <c r="F13" s="302">
        <f ca="1">('lokale energieproductie'!S38+'lokale energieproductie'!S45)*(-1)</f>
        <v>0</v>
      </c>
      <c r="G13" s="245"/>
      <c r="H13" s="244"/>
      <c r="I13" s="244"/>
      <c r="J13" s="244"/>
      <c r="K13" s="244"/>
      <c r="L13" s="302">
        <f ca="1">('lokale energieproductie'!U38+'lokale energieproductie'!T38+'lokale energieproductie'!U45+'lokale energieproductie'!T45)*(-1)</f>
        <v>0</v>
      </c>
      <c r="M13" s="244"/>
      <c r="N13" s="302">
        <f ca="1">('lokale energieproductie'!Q38+'lokale energieproductie'!R38+'lokale energieproductie'!V38+'lokale energieproductie'!Q45+'lokale energieproductie'!R45+'lokale energieproductie'!V45)*(-1)</f>
        <v>-4705.7142857142862</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15728.404</v>
      </c>
      <c r="C16" s="21">
        <f ca="1">C5+C13+C14</f>
        <v>0</v>
      </c>
      <c r="D16" s="21">
        <f t="shared" ref="D16:N16" ca="1" si="1">MAX((D5+D13+D14),0)</f>
        <v>19405.474813210636</v>
      </c>
      <c r="E16" s="21">
        <f t="shared" si="1"/>
        <v>288.76077114094693</v>
      </c>
      <c r="F16" s="21">
        <f t="shared" ca="1" si="1"/>
        <v>2683.3727544887602</v>
      </c>
      <c r="G16" s="21">
        <f t="shared" si="1"/>
        <v>0</v>
      </c>
      <c r="H16" s="21">
        <f t="shared" si="1"/>
        <v>0</v>
      </c>
      <c r="I16" s="21">
        <f t="shared" si="1"/>
        <v>0</v>
      </c>
      <c r="J16" s="21">
        <f t="shared" si="1"/>
        <v>0</v>
      </c>
      <c r="K16" s="21">
        <f t="shared" si="1"/>
        <v>0</v>
      </c>
      <c r="L16" s="21">
        <f t="shared" ca="1" si="1"/>
        <v>0</v>
      </c>
      <c r="M16" s="21">
        <f t="shared" si="1"/>
        <v>0</v>
      </c>
      <c r="N16" s="21">
        <f t="shared" ca="1" si="1"/>
        <v>0</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0.23306503404567602</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3665.741013744147</v>
      </c>
      <c r="C20" s="23">
        <f t="shared" ref="C20:P20" ca="1" si="2">C16*C18</f>
        <v>0</v>
      </c>
      <c r="D20" s="23">
        <f t="shared" ca="1" si="2"/>
        <v>3919.9059122685489</v>
      </c>
      <c r="E20" s="23">
        <f t="shared" si="2"/>
        <v>65.548695048994958</v>
      </c>
      <c r="F20" s="23">
        <f t="shared" ca="1" si="2"/>
        <v>716.46052544849897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5155.8620000000001</v>
      </c>
      <c r="C26" s="39">
        <f>IF(ISERROR(B26*3.6/1000000/'E Balans VL '!Z12*100),0,B26*3.6/1000000/'E Balans VL '!Z12*100)</f>
        <v>0.10721978868540134</v>
      </c>
      <c r="D26" s="233" t="s">
        <v>676</v>
      </c>
      <c r="F26" s="6"/>
    </row>
    <row r="27" spans="1:18">
      <c r="A27" s="228" t="s">
        <v>52</v>
      </c>
      <c r="B27" s="33">
        <f>IF(ISERROR(TER_horeca_ele_kWh/1000),0,TER_horeca_ele_kWh/1000)</f>
        <v>1281.77</v>
      </c>
      <c r="C27" s="39">
        <f>IF(ISERROR(B27*3.6/1000000/'E Balans VL '!Z9*100),0,B27*3.6/1000000/'E Balans VL '!Z9*100)</f>
        <v>0.10542649210794973</v>
      </c>
      <c r="D27" s="233" t="s">
        <v>676</v>
      </c>
      <c r="F27" s="6"/>
    </row>
    <row r="28" spans="1:18">
      <c r="A28" s="168" t="s">
        <v>51</v>
      </c>
      <c r="B28" s="33">
        <f>IF(ISERROR(TER_handel_ele_kWh/1000),0,TER_handel_ele_kWh/1000)</f>
        <v>3593.049</v>
      </c>
      <c r="C28" s="39">
        <f>IF(ISERROR(B28*3.6/1000000/'E Balans VL '!Z13*100),0,B28*3.6/1000000/'E Balans VL '!Z13*100)</f>
        <v>9.9454893897754762E-2</v>
      </c>
      <c r="D28" s="233" t="s">
        <v>676</v>
      </c>
      <c r="F28" s="6"/>
    </row>
    <row r="29" spans="1:18">
      <c r="A29" s="228" t="s">
        <v>50</v>
      </c>
      <c r="B29" s="33">
        <f>IF(ISERROR(TER_gezond_ele_kWh/1000),0,TER_gezond_ele_kWh/1000)</f>
        <v>392.77699999999999</v>
      </c>
      <c r="C29" s="39">
        <f>IF(ISERROR(B29*3.6/1000000/'E Balans VL '!Z10*100),0,B29*3.6/1000000/'E Balans VL '!Z10*100)</f>
        <v>4.4793365927707898E-2</v>
      </c>
      <c r="D29" s="233" t="s">
        <v>676</v>
      </c>
      <c r="F29" s="6"/>
    </row>
    <row r="30" spans="1:18">
      <c r="A30" s="228" t="s">
        <v>49</v>
      </c>
      <c r="B30" s="33">
        <f>IF(ISERROR(TER_ander_ele_kWh/1000),0,TER_ander_ele_kWh/1000)</f>
        <v>3570.2750000000001</v>
      </c>
      <c r="C30" s="39">
        <f>IF(ISERROR(B30*3.6/1000000/'E Balans VL '!Z14*100),0,B30*3.6/1000000/'E Balans VL '!Z14*100)</f>
        <v>0.27634896946241622</v>
      </c>
      <c r="D30" s="233" t="s">
        <v>676</v>
      </c>
      <c r="F30" s="6"/>
    </row>
    <row r="31" spans="1:18">
      <c r="A31" s="228" t="s">
        <v>54</v>
      </c>
      <c r="B31" s="33">
        <f>IF(ISERROR(TER_onderwijs_ele_kWh/1000),0,TER_onderwijs_ele_kWh/1000)</f>
        <v>87.671000000000006</v>
      </c>
      <c r="C31" s="39">
        <f>IF(ISERROR(B31*3.6/1000000/'E Balans VL '!Z11*100),0,B31*3.6/1000000/'E Balans VL '!Z11*100)</f>
        <v>2.7316625239477352E-2</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1570.0519999999999</v>
      </c>
      <c r="C5" s="17">
        <f>IF(ISERROR('Eigen informatie GS &amp; warmtenet'!B59),0,'Eigen informatie GS &amp; warmtenet'!B59)</f>
        <v>0</v>
      </c>
      <c r="D5" s="30">
        <f>SUM(D6:D15)</f>
        <v>1240.5168047767165</v>
      </c>
      <c r="E5" s="17">
        <f>SUM(E6:E15)</f>
        <v>18.294548047481676</v>
      </c>
      <c r="F5" s="17">
        <f>SUM(F6:F15)</f>
        <v>648.59709815579276</v>
      </c>
      <c r="G5" s="18"/>
      <c r="H5" s="17"/>
      <c r="I5" s="17"/>
      <c r="J5" s="17">
        <f>SUM(J6:J15)</f>
        <v>13.390142971468951</v>
      </c>
      <c r="K5" s="17"/>
      <c r="L5" s="17"/>
      <c r="M5" s="17"/>
      <c r="N5" s="17">
        <f>SUM(N6:N15)</f>
        <v>57.528569906984814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551.71500000000003</v>
      </c>
      <c r="C8" s="33"/>
      <c r="D8" s="37">
        <f>IF( ISERROR(IND_metaal_Gas_kWH/1000),0,IND_metaal_Gas_kWH/1000)*0.902</f>
        <v>0</v>
      </c>
      <c r="E8" s="33">
        <f>C30*'E Balans VL '!I18/100/3.6*1000000</f>
        <v>3.8767795746069735</v>
      </c>
      <c r="F8" s="33">
        <f>C30*'E Balans VL '!L18/100/3.6*1000000+C30*'E Balans VL '!N18/100/3.6*1000000</f>
        <v>60.575079149537416</v>
      </c>
      <c r="G8" s="34"/>
      <c r="H8" s="33"/>
      <c r="I8" s="33"/>
      <c r="J8" s="40">
        <f>C30*'E Balans VL '!D18/100/3.6*1000000+C30*'E Balans VL '!E18/100/3.6*1000000</f>
        <v>11.383069611971717</v>
      </c>
      <c r="K8" s="33"/>
      <c r="L8" s="33"/>
      <c r="M8" s="33"/>
      <c r="N8" s="33">
        <f>C30*'E Balans VL '!Y18/100/3.6*1000000</f>
        <v>2.0678675544716807</v>
      </c>
      <c r="O8" s="33"/>
      <c r="P8" s="33"/>
      <c r="R8" s="32"/>
    </row>
    <row r="9" spans="1:18">
      <c r="A9" s="6" t="s">
        <v>32</v>
      </c>
      <c r="B9" s="37">
        <f t="shared" si="0"/>
        <v>670.74</v>
      </c>
      <c r="C9" s="33"/>
      <c r="D9" s="37">
        <f>IF( ISERROR(IND_andere_gas_kWh/1000),0,IND_andere_gas_kWh/1000)*0.902</f>
        <v>0</v>
      </c>
      <c r="E9" s="33">
        <f>C31*'E Balans VL '!I19/100/3.6*1000000</f>
        <v>11.265899982734872</v>
      </c>
      <c r="F9" s="33">
        <f>C31*'E Balans VL '!L19/100/3.6*1000000+C31*'E Balans VL '!N19/100/3.6*1000000</f>
        <v>524.34632950208788</v>
      </c>
      <c r="G9" s="34"/>
      <c r="H9" s="33"/>
      <c r="I9" s="33"/>
      <c r="J9" s="40">
        <f>C31*'E Balans VL '!D19/100/3.6*1000000+C31*'E Balans VL '!E19/100/3.6*1000000</f>
        <v>6.0494827119842984E-2</v>
      </c>
      <c r="K9" s="33"/>
      <c r="L9" s="33"/>
      <c r="M9" s="33"/>
      <c r="N9" s="33">
        <f>C31*'E Balans VL '!Y19/100/3.6*1000000</f>
        <v>49.712595075924284</v>
      </c>
      <c r="O9" s="33"/>
      <c r="P9" s="33"/>
      <c r="R9" s="32"/>
    </row>
    <row r="10" spans="1:18">
      <c r="A10" s="6" t="s">
        <v>40</v>
      </c>
      <c r="B10" s="37">
        <f t="shared" si="0"/>
        <v>150.654</v>
      </c>
      <c r="C10" s="33"/>
      <c r="D10" s="37">
        <f>IF( ISERROR(IND_voed_gas_kWh/1000),0,IND_voed_gas_kWh/1000)*0.902</f>
        <v>493.40861704567249</v>
      </c>
      <c r="E10" s="33">
        <f>C32*'E Balans VL '!I20/100/3.6*1000000</f>
        <v>1.3745044917333098</v>
      </c>
      <c r="F10" s="33">
        <f>C32*'E Balans VL '!L20/100/3.6*1000000+C32*'E Balans VL '!N20/100/3.6*1000000</f>
        <v>24.305202381353553</v>
      </c>
      <c r="G10" s="34"/>
      <c r="H10" s="33"/>
      <c r="I10" s="33"/>
      <c r="J10" s="40">
        <f>C32*'E Balans VL '!D20/100/3.6*1000000+C32*'E Balans VL '!E20/100/3.6*1000000</f>
        <v>0.62049194554354148</v>
      </c>
      <c r="K10" s="33"/>
      <c r="L10" s="33"/>
      <c r="M10" s="33"/>
      <c r="N10" s="33">
        <f>C32*'E Balans VL '!Y20/100/3.6*1000000</f>
        <v>2.2039492259869196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196.94300000000001</v>
      </c>
      <c r="C15" s="33"/>
      <c r="D15" s="37">
        <f>IF( ISERROR(IND_rest_gas_kWh/1000),0,IND_rest_gas_kWh/1000)*0.902</f>
        <v>747.10818773104393</v>
      </c>
      <c r="E15" s="33">
        <f>C37*'E Balans VL '!I15/100/3.6*1000000</f>
        <v>1.7773639984065206</v>
      </c>
      <c r="F15" s="33">
        <f>C37*'E Balans VL '!L15/100/3.6*1000000+C37*'E Balans VL '!N15/100/3.6*1000000</f>
        <v>39.370487122813977</v>
      </c>
      <c r="G15" s="34"/>
      <c r="H15" s="33"/>
      <c r="I15" s="33"/>
      <c r="J15" s="40">
        <f>C37*'E Balans VL '!D15/100/3.6*1000000+C37*'E Balans VL '!E15/100/3.6*1000000</f>
        <v>1.3260865868338489</v>
      </c>
      <c r="K15" s="33"/>
      <c r="L15" s="33"/>
      <c r="M15" s="33"/>
      <c r="N15" s="33">
        <f>C37*'E Balans VL '!Y15/100/3.6*1000000</f>
        <v>3.5441580506019283</v>
      </c>
      <c r="O15" s="33"/>
      <c r="P15" s="33"/>
      <c r="R15" s="32"/>
    </row>
    <row r="16" spans="1:18">
      <c r="A16" s="16" t="s">
        <v>483</v>
      </c>
      <c r="B16" s="243">
        <f>'lokale energieproductie'!N44+'lokale energieproductie'!N37</f>
        <v>0</v>
      </c>
      <c r="C16" s="243">
        <f>'lokale energieproductie'!O44+'lokale energieproductie'!O37</f>
        <v>0</v>
      </c>
      <c r="D16" s="302">
        <f>('lokale energieproductie'!P37+'lokale energieproductie'!P44)*(-1)</f>
        <v>0</v>
      </c>
      <c r="E16" s="244"/>
      <c r="F16" s="302">
        <f>('lokale energieproductie'!S37+'lokale energieproductie'!S44)*(-1)</f>
        <v>0</v>
      </c>
      <c r="G16" s="245"/>
      <c r="H16" s="244"/>
      <c r="I16" s="244"/>
      <c r="J16" s="244"/>
      <c r="K16" s="244"/>
      <c r="L16" s="302">
        <f>('lokale energieproductie'!T37+'lokale energieproductie'!U37+'lokale energieproductie'!T44+'lokale energieproductie'!U44)*(-1)</f>
        <v>0</v>
      </c>
      <c r="M16" s="244"/>
      <c r="N16" s="302">
        <f>('lokale energieproductie'!Q37+'lokale energieproductie'!R37+'lokale energieproductie'!V37+'lokale energieproductie'!Q44+'lokale energieproductie'!R44+'lokale energieproductie'!V44)*(-1)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1570.0519999999999</v>
      </c>
      <c r="C18" s="21">
        <f>C5+C16</f>
        <v>0</v>
      </c>
      <c r="D18" s="21">
        <f>MAX((D5+D16),0)</f>
        <v>1240.5168047767165</v>
      </c>
      <c r="E18" s="21">
        <f>MAX((E5+E16),0)</f>
        <v>18.294548047481676</v>
      </c>
      <c r="F18" s="21">
        <f>MAX((F5+F16),0)</f>
        <v>648.59709815579276</v>
      </c>
      <c r="G18" s="21"/>
      <c r="H18" s="21"/>
      <c r="I18" s="21"/>
      <c r="J18" s="21">
        <f>MAX((J5+J16),0)</f>
        <v>13.390142971468951</v>
      </c>
      <c r="K18" s="21"/>
      <c r="L18" s="21">
        <f>MAX((L5+L16),0)</f>
        <v>0</v>
      </c>
      <c r="M18" s="21"/>
      <c r="N18" s="21">
        <f>MAX((N5+N16),0)</f>
        <v>57.528569906984814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0.23306503404567602</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365.92422283348174</v>
      </c>
      <c r="C22" s="23">
        <f ca="1">C18*C20</f>
        <v>0</v>
      </c>
      <c r="D22" s="23">
        <f>D18*D20</f>
        <v>250.58439456489674</v>
      </c>
      <c r="E22" s="23">
        <f>E18*E20</f>
        <v>4.1528624067783406</v>
      </c>
      <c r="F22" s="23">
        <f>F18*F20</f>
        <v>173.17542520759667</v>
      </c>
      <c r="G22" s="23"/>
      <c r="H22" s="23"/>
      <c r="I22" s="23"/>
      <c r="J22" s="23">
        <f>J18*J20</f>
        <v>4.7401106119000085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551.71500000000003</v>
      </c>
      <c r="C30" s="39">
        <f>IF(ISERROR(B30*3.6/1000000/'E Balans VL '!Z18*100),0,B30*3.6/1000000/'E Balans VL '!Z18*100)</f>
        <v>3.6728004455411085E-2</v>
      </c>
      <c r="D30" s="233" t="s">
        <v>676</v>
      </c>
    </row>
    <row r="31" spans="1:18">
      <c r="A31" s="6" t="s">
        <v>32</v>
      </c>
      <c r="B31" s="37">
        <f>IF( ISERROR(IND_ander_ele_kWh/1000),0,IND_ander_ele_kWh/1000)</f>
        <v>670.74</v>
      </c>
      <c r="C31" s="39">
        <f>IF(ISERROR(B31*3.6/1000000/'E Balans VL '!Z19*100),0,B31*3.6/1000000/'E Balans VL '!Z19*100)</f>
        <v>2.9731246093028633E-2</v>
      </c>
      <c r="D31" s="233" t="s">
        <v>676</v>
      </c>
    </row>
    <row r="32" spans="1:18">
      <c r="A32" s="168" t="s">
        <v>40</v>
      </c>
      <c r="B32" s="37">
        <f>IF( ISERROR(IND_voed_ele_kWh/1000),0,IND_voed_ele_kWh/1000)</f>
        <v>150.654</v>
      </c>
      <c r="C32" s="39">
        <f>IF(ISERROR(B32*3.6/1000000/'E Balans VL '!Z20*100),0,B32*3.6/1000000/'E Balans VL '!Z20*100)</f>
        <v>5.0322757703922206E-3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196.94300000000001</v>
      </c>
      <c r="C37" s="39">
        <f>IF(ISERROR(B37*3.6/1000000/'E Balans VL '!Z15*100),0,B37*3.6/1000000/'E Balans VL '!Z15*100)</f>
        <v>1.4649350724079396E-3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9678.8420000000006</v>
      </c>
      <c r="C5" s="17">
        <f>'Eigen informatie GS &amp; warmtenet'!B60</f>
        <v>0</v>
      </c>
      <c r="D5" s="30">
        <f>IF(ISERROR(SUM(LB_lb_gas_kWh,LB_rest_gas_kWh)/1000),0,SUM(LB_lb_gas_kWh,LB_rest_gas_kWh)/1000)*0.902</f>
        <v>341598.29869039613</v>
      </c>
      <c r="E5" s="17">
        <f>B17*'E Balans VL '!I25/3.6*1000000/100</f>
        <v>87.218647788043</v>
      </c>
      <c r="F5" s="17">
        <f>B17*('E Balans VL '!L25/3.6*1000000+'E Balans VL '!N25/3.6*1000000)/100</f>
        <v>36266.916168905998</v>
      </c>
      <c r="G5" s="18"/>
      <c r="H5" s="17"/>
      <c r="I5" s="17"/>
      <c r="J5" s="17">
        <f>('E Balans VL '!D25+'E Balans VL '!E25)/3.6*1000000*landbouw!B17/100</f>
        <v>979.45877982727256</v>
      </c>
      <c r="K5" s="17"/>
      <c r="L5" s="17">
        <f>L6*(-1)</f>
        <v>0</v>
      </c>
      <c r="M5" s="17"/>
      <c r="N5" s="17">
        <f>N6*(-1)</f>
        <v>0</v>
      </c>
      <c r="O5" s="17"/>
      <c r="P5" s="17"/>
      <c r="R5" s="32"/>
    </row>
    <row r="6" spans="1:18">
      <c r="A6" s="16" t="s">
        <v>483</v>
      </c>
      <c r="B6" s="17" t="s">
        <v>204</v>
      </c>
      <c r="C6" s="17">
        <f>'lokale energieproductie'!O46+'lokale energieproductie'!O39</f>
        <v>237207.85714285716</v>
      </c>
      <c r="D6" s="302">
        <f>('lokale energieproductie'!P39+'lokale energieproductie'!P46)*(-1)</f>
        <v>-474415.71428571432</v>
      </c>
      <c r="E6" s="244"/>
      <c r="F6" s="302">
        <f>('lokale energieproductie'!S39+'lokale energieproductie'!S46)*(-1)</f>
        <v>0</v>
      </c>
      <c r="G6" s="245"/>
      <c r="H6" s="244"/>
      <c r="I6" s="244"/>
      <c r="J6" s="244"/>
      <c r="K6" s="244"/>
      <c r="L6" s="302">
        <f>('lokale energieproductie'!T39+'lokale energieproductie'!U39+'lokale energieproductie'!T46+'lokale energieproductie'!U46)*(-1)</f>
        <v>0</v>
      </c>
      <c r="M6" s="244"/>
      <c r="N6" s="302">
        <f>('lokale energieproductie'!V39+'lokale energieproductie'!R39+'lokale energieproductie'!Q39+'lokale energieproductie'!Q46+'lokale energieproductie'!R46+'lokale energieproductie'!V46)*(-1)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9678.8420000000006</v>
      </c>
      <c r="C8" s="21">
        <f>C5+C6</f>
        <v>237207.85714285716</v>
      </c>
      <c r="D8" s="21">
        <f>MAX((D5+D6),0)</f>
        <v>0</v>
      </c>
      <c r="E8" s="21">
        <f>MAX((E5+E6),0)</f>
        <v>87.218647788043</v>
      </c>
      <c r="F8" s="21">
        <f>MAX((F5+F6),0)</f>
        <v>36266.916168905998</v>
      </c>
      <c r="G8" s="21"/>
      <c r="H8" s="21"/>
      <c r="I8" s="21"/>
      <c r="J8" s="21">
        <f>MAX((J5+J6),0)</f>
        <v>979.45877982727256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0.23306503404567602</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2255.7996402527192</v>
      </c>
      <c r="C12" s="23">
        <f ca="1">C8*C10</f>
        <v>56371.749579831936</v>
      </c>
      <c r="D12" s="23">
        <f>D8*D10</f>
        <v>0</v>
      </c>
      <c r="E12" s="23">
        <f>E8*E10</f>
        <v>19.798633047885762</v>
      </c>
      <c r="F12" s="23">
        <f>F8*F10</f>
        <v>9683.2666170979028</v>
      </c>
      <c r="G12" s="23"/>
      <c r="H12" s="23"/>
      <c r="I12" s="23"/>
      <c r="J12" s="23">
        <f>J8*J10</f>
        <v>346.72840805885448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1.4897606199776339</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744.25265065974702</v>
      </c>
      <c r="C26" s="243">
        <f>B26*'GWP N2O_CH4'!B5</f>
        <v>15629.305663854688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469.43770920209158</v>
      </c>
      <c r="C27" s="243">
        <f>B27*'GWP N2O_CH4'!B5</f>
        <v>9858.1918932439239</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21.203328871217661</v>
      </c>
      <c r="C28" s="243">
        <f>B28*'GWP N2O_CH4'!B4</f>
        <v>6573.0319500774749</v>
      </c>
      <c r="D28" s="50"/>
    </row>
    <row r="29" spans="1:4">
      <c r="A29" s="41" t="s">
        <v>266</v>
      </c>
      <c r="B29" s="243">
        <f>B34*'ha_N2O bodem landbouw'!B4</f>
        <v>13.64149292721709</v>
      </c>
      <c r="C29" s="243">
        <f>B29*'GWP N2O_CH4'!B4</f>
        <v>4228.8628074372982</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3.5417546405609713E-3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2.0768101756607089E-6</v>
      </c>
      <c r="C5" s="431" t="s">
        <v>204</v>
      </c>
      <c r="D5" s="416">
        <f>SUM(D6:D11)</f>
        <v>7.0153448867138243E-6</v>
      </c>
      <c r="E5" s="416">
        <f>SUM(E6:E11)</f>
        <v>7.1851077127069987E-4</v>
      </c>
      <c r="F5" s="429" t="s">
        <v>204</v>
      </c>
      <c r="G5" s="416">
        <f>SUM(G6:G11)</f>
        <v>0.12667290905355666</v>
      </c>
      <c r="H5" s="416">
        <f>SUM(H6:H11)</f>
        <v>2.4107862477238406E-2</v>
      </c>
      <c r="I5" s="431" t="s">
        <v>204</v>
      </c>
      <c r="J5" s="431" t="s">
        <v>204</v>
      </c>
      <c r="K5" s="431" t="s">
        <v>204</v>
      </c>
      <c r="L5" s="431" t="s">
        <v>204</v>
      </c>
      <c r="M5" s="416">
        <f>SUM(M6:M11)</f>
        <v>6.5665306389063082E-3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1.6990923724751885E-6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5.3631457653102896E-6</v>
      </c>
      <c r="E6" s="419">
        <f>vkm_GW_PW*SUMIFS(TableVerdeelsleutelVkm[LPG],TableVerdeelsleutelVkm[Voertuigtype],"Lichte voertuigen")*SUMIFS(TableECFTransport[EnergieConsumptieFactor (PJ per km)],TableECFTransport[Index],CONCATENATE($A6,"_LPG_LPG"))</f>
        <v>5.5700807321887422E-4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7.4350826032444584E-2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1.8673723467865035E-2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4.0624319285814392E-3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6.5285578903488816E-8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2.9429141303486516E-2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8.6593345666309092E-7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1.2678228272803972E-3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3.086119624276747E-7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1.6521991214035349E-6</v>
      </c>
      <c r="E8" s="419">
        <f>vkm_NGW_PW*SUMIFS(TableVerdeelsleutelVkm[LPG],TableVerdeelsleutelVkm[Voertuigtype],"Lichte voertuigen")*SUMIFS(TableECFTransport[EnergieConsumptieFactor (PJ per km)],TableECFTransport[Index],CONCATENATE($A8,"_LPG_LPG"))</f>
        <v>1.6150269805182565E-4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2.0507589699486586E-2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5.4332119145983314E-3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1.1335140836833259E-3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3.8202618543566109E-9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2.3853520181389798E-3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6.1161318379416064E-8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1.0276179936114528E-4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0.57689171546130802</v>
      </c>
      <c r="C14" s="21"/>
      <c r="D14" s="21">
        <f t="shared" ref="D14:M14" si="0">((D5)*10^9/3600)+D12</f>
        <v>1.9487069129760621</v>
      </c>
      <c r="E14" s="21">
        <f t="shared" si="0"/>
        <v>199.58632535297221</v>
      </c>
      <c r="F14" s="21"/>
      <c r="G14" s="21">
        <f t="shared" si="0"/>
        <v>35186.919181543519</v>
      </c>
      <c r="H14" s="21">
        <f t="shared" si="0"/>
        <v>6696.6284658995573</v>
      </c>
      <c r="I14" s="21"/>
      <c r="J14" s="21"/>
      <c r="K14" s="21"/>
      <c r="L14" s="21"/>
      <c r="M14" s="21">
        <f t="shared" si="0"/>
        <v>1824.0362885850857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0.23306503404567602</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0.13445328730465819</v>
      </c>
      <c r="C18" s="23"/>
      <c r="D18" s="23">
        <f t="shared" ref="D18:M18" si="1">D14*D16</f>
        <v>0.39363879642116456</v>
      </c>
      <c r="E18" s="23">
        <f t="shared" si="1"/>
        <v>45.306095855124696</v>
      </c>
      <c r="F18" s="23"/>
      <c r="G18" s="23">
        <f t="shared" si="1"/>
        <v>9394.9074214721204</v>
      </c>
      <c r="H18" s="23">
        <f t="shared" si="1"/>
        <v>1667.4604880089898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1.570826885217999E-5</v>
      </c>
      <c r="C50" s="313">
        <f t="shared" ref="C50:P50" si="2">SUM(C51:C52)</f>
        <v>0</v>
      </c>
      <c r="D50" s="313">
        <f t="shared" si="2"/>
        <v>0</v>
      </c>
      <c r="E50" s="313">
        <f t="shared" si="2"/>
        <v>0</v>
      </c>
      <c r="F50" s="313">
        <f t="shared" si="2"/>
        <v>0</v>
      </c>
      <c r="G50" s="313">
        <f t="shared" si="2"/>
        <v>3.4077512186861817E-3</v>
      </c>
      <c r="H50" s="313">
        <f t="shared" si="2"/>
        <v>0</v>
      </c>
      <c r="I50" s="313">
        <f t="shared" si="2"/>
        <v>0</v>
      </c>
      <c r="J50" s="313">
        <f t="shared" si="2"/>
        <v>0</v>
      </c>
      <c r="K50" s="313">
        <f t="shared" si="2"/>
        <v>0</v>
      </c>
      <c r="L50" s="313">
        <f t="shared" si="2"/>
        <v>0</v>
      </c>
      <c r="M50" s="313">
        <f t="shared" si="2"/>
        <v>1.4590681716308677E-4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1.570826885217999E-5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3.4077512186861817E-3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1.4590681716308677E-4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4.3634080144944418</v>
      </c>
      <c r="C54" s="21">
        <f t="shared" ref="C54:P54" si="3">(C50)*10^9/3600</f>
        <v>0</v>
      </c>
      <c r="D54" s="21">
        <f t="shared" si="3"/>
        <v>0</v>
      </c>
      <c r="E54" s="21">
        <f t="shared" si="3"/>
        <v>0</v>
      </c>
      <c r="F54" s="21">
        <f t="shared" si="3"/>
        <v>0</v>
      </c>
      <c r="G54" s="21">
        <f t="shared" si="3"/>
        <v>946.59756074616155</v>
      </c>
      <c r="H54" s="21">
        <f t="shared" si="3"/>
        <v>0</v>
      </c>
      <c r="I54" s="21">
        <f t="shared" si="3"/>
        <v>0</v>
      </c>
      <c r="J54" s="21">
        <f t="shared" si="3"/>
        <v>0</v>
      </c>
      <c r="K54" s="21">
        <f t="shared" si="3"/>
        <v>0</v>
      </c>
      <c r="L54" s="21">
        <f t="shared" si="3"/>
        <v>0</v>
      </c>
      <c r="M54" s="21">
        <f t="shared" si="3"/>
        <v>40.529671434190767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0.23306503404567602</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1.0169578374533228</v>
      </c>
      <c r="C58" s="23">
        <f t="shared" ref="C58:P58" ca="1" si="4">C54*C56</f>
        <v>0</v>
      </c>
      <c r="D58" s="23">
        <f t="shared" si="4"/>
        <v>0</v>
      </c>
      <c r="E58" s="23">
        <f t="shared" si="4"/>
        <v>0</v>
      </c>
      <c r="F58" s="23">
        <f t="shared" si="4"/>
        <v>0</v>
      </c>
      <c r="G58" s="23">
        <f t="shared" si="4"/>
        <v>252.74154871922514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8"/>
  <sheetViews>
    <sheetView showGridLines="0" zoomScale="65" zoomScaleNormal="65" workbookViewId="0">
      <selection activeCell="A28" sqref="A28:XFD36"/>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1617.4304555009071</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N36</f>
        <v>166045.5</v>
      </c>
      <c r="C8" s="542">
        <f>B55</f>
        <v>195347.64705882352</v>
      </c>
      <c r="D8" s="920"/>
      <c r="E8" s="920">
        <f>E55</f>
        <v>0</v>
      </c>
      <c r="F8" s="921"/>
      <c r="G8" s="543"/>
      <c r="H8" s="920">
        <f>I55</f>
        <v>0</v>
      </c>
      <c r="I8" s="920">
        <f>G55+F55</f>
        <v>0</v>
      </c>
      <c r="J8" s="920">
        <f>H55+D55+C55</f>
        <v>0</v>
      </c>
      <c r="K8" s="920"/>
      <c r="L8" s="920"/>
      <c r="M8" s="920"/>
      <c r="N8" s="544"/>
      <c r="O8" s="545">
        <f>C8*$C$12+D8*$D$12+E8*$E$12+F8*$F$12+G8*$G$12+H8*$H$12+I8*$I$12+J8*$J$12</f>
        <v>39460.224705882356</v>
      </c>
      <c r="P8" s="1181"/>
      <c r="Q8" s="1182"/>
      <c r="S8" s="953"/>
      <c r="T8" s="1169"/>
      <c r="U8" s="1169"/>
    </row>
    <row r="9" spans="1:21" s="530" customFormat="1" ht="17.45" customHeight="1" thickBot="1">
      <c r="A9" s="546" t="s">
        <v>237</v>
      </c>
      <c r="B9" s="957">
        <f>N43+'Eigen informatie GS &amp; warmtenet'!B12</f>
        <v>1647</v>
      </c>
      <c r="C9" s="547">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4705.7142857142862</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169309.9304555009</v>
      </c>
      <c r="C10" s="554">
        <f t="shared" ref="C10:L10" si="0">SUM(C8:C9)</f>
        <v>195347.64705882352</v>
      </c>
      <c r="D10" s="554">
        <f t="shared" si="0"/>
        <v>0</v>
      </c>
      <c r="E10" s="554">
        <f t="shared" si="0"/>
        <v>0</v>
      </c>
      <c r="F10" s="554">
        <f t="shared" si="0"/>
        <v>0</v>
      </c>
      <c r="G10" s="554">
        <f t="shared" si="0"/>
        <v>0</v>
      </c>
      <c r="H10" s="554">
        <f t="shared" si="0"/>
        <v>0</v>
      </c>
      <c r="I10" s="554">
        <f t="shared" si="0"/>
        <v>0</v>
      </c>
      <c r="J10" s="554">
        <f t="shared" si="0"/>
        <v>4705.7142857142862</v>
      </c>
      <c r="K10" s="554">
        <f t="shared" si="0"/>
        <v>0</v>
      </c>
      <c r="L10" s="554">
        <f t="shared" si="0"/>
        <v>0</v>
      </c>
      <c r="M10" s="915"/>
      <c r="N10" s="915"/>
      <c r="O10" s="555">
        <f>SUM(O4:O9)</f>
        <v>39460.224705882356</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O36</f>
        <v>237207.85714285716</v>
      </c>
      <c r="C17" s="566">
        <f>B56</f>
        <v>279068.06722689077</v>
      </c>
      <c r="D17" s="567"/>
      <c r="E17" s="567">
        <f>E56</f>
        <v>0</v>
      </c>
      <c r="F17" s="568"/>
      <c r="G17" s="569"/>
      <c r="H17" s="566">
        <f>I56</f>
        <v>0</v>
      </c>
      <c r="I17" s="567">
        <f>G56+F56</f>
        <v>0</v>
      </c>
      <c r="J17" s="567">
        <f>H56+D56+C56</f>
        <v>0</v>
      </c>
      <c r="K17" s="567"/>
      <c r="L17" s="567"/>
      <c r="M17" s="567"/>
      <c r="N17" s="916"/>
      <c r="O17" s="570">
        <f>C17*$C$22+E17*$E$22+H17*$H$22+I17*$I$22+J17*$J$22+D17*$D$22+F17*$F$22+G17*$G$22+K17*$K$22+L17*$L$22</f>
        <v>56371.749579831936</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237207.85714285716</v>
      </c>
      <c r="C20" s="553">
        <f>SUM(C17:C19)</f>
        <v>279068.06722689077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56371.749579831936</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13023</v>
      </c>
      <c r="C28" s="736">
        <v>2330</v>
      </c>
      <c r="D28" s="626"/>
      <c r="E28" s="625"/>
      <c r="F28" s="625"/>
      <c r="G28" s="625" t="s">
        <v>962</v>
      </c>
      <c r="H28" s="625" t="s">
        <v>963</v>
      </c>
      <c r="I28" s="625"/>
      <c r="J28" s="735"/>
      <c r="K28" s="735"/>
      <c r="L28" s="625" t="s">
        <v>964</v>
      </c>
      <c r="M28" s="625">
        <v>2000</v>
      </c>
      <c r="N28" s="625">
        <v>9000</v>
      </c>
      <c r="O28" s="625">
        <v>12857.142857142857</v>
      </c>
      <c r="P28" s="625">
        <v>25714.285714285717</v>
      </c>
      <c r="Q28" s="625">
        <v>0</v>
      </c>
      <c r="R28" s="625">
        <v>0</v>
      </c>
      <c r="S28" s="625">
        <v>0</v>
      </c>
      <c r="T28" s="625">
        <v>0</v>
      </c>
      <c r="U28" s="625">
        <v>0</v>
      </c>
      <c r="V28" s="625">
        <v>0</v>
      </c>
      <c r="W28" s="625">
        <v>0</v>
      </c>
      <c r="X28" s="625"/>
      <c r="Y28" s="625">
        <v>10</v>
      </c>
      <c r="Z28" s="625" t="s">
        <v>105</v>
      </c>
      <c r="AA28" s="627" t="s">
        <v>105</v>
      </c>
    </row>
    <row r="29" spans="1:27" s="579" customFormat="1" ht="25.5" hidden="1">
      <c r="A29" s="578"/>
      <c r="B29" s="736">
        <v>13023</v>
      </c>
      <c r="C29" s="736">
        <v>2330</v>
      </c>
      <c r="D29" s="626"/>
      <c r="E29" s="625"/>
      <c r="F29" s="625"/>
      <c r="G29" s="625" t="s">
        <v>962</v>
      </c>
      <c r="H29" s="625" t="s">
        <v>963</v>
      </c>
      <c r="I29" s="625"/>
      <c r="J29" s="735"/>
      <c r="K29" s="735"/>
      <c r="L29" s="625" t="s">
        <v>964</v>
      </c>
      <c r="M29" s="625">
        <v>2014</v>
      </c>
      <c r="N29" s="625">
        <v>9062.9999999999982</v>
      </c>
      <c r="O29" s="625">
        <v>12947.142857142855</v>
      </c>
      <c r="P29" s="625">
        <v>25894.28571428571</v>
      </c>
      <c r="Q29" s="625">
        <v>0</v>
      </c>
      <c r="R29" s="625">
        <v>0</v>
      </c>
      <c r="S29" s="625">
        <v>0</v>
      </c>
      <c r="T29" s="625">
        <v>0</v>
      </c>
      <c r="U29" s="625">
        <v>0</v>
      </c>
      <c r="V29" s="625">
        <v>0</v>
      </c>
      <c r="W29" s="625">
        <v>0</v>
      </c>
      <c r="X29" s="625"/>
      <c r="Y29" s="625">
        <v>10</v>
      </c>
      <c r="Z29" s="625" t="s">
        <v>105</v>
      </c>
      <c r="AA29" s="627" t="s">
        <v>105</v>
      </c>
    </row>
    <row r="30" spans="1:27" s="579" customFormat="1" ht="25.5" hidden="1">
      <c r="A30" s="578"/>
      <c r="B30" s="736">
        <v>13023</v>
      </c>
      <c r="C30" s="736">
        <v>2330</v>
      </c>
      <c r="D30" s="626"/>
      <c r="E30" s="625"/>
      <c r="F30" s="625"/>
      <c r="G30" s="625" t="s">
        <v>962</v>
      </c>
      <c r="H30" s="625" t="s">
        <v>963</v>
      </c>
      <c r="I30" s="625"/>
      <c r="J30" s="735"/>
      <c r="K30" s="735"/>
      <c r="L30" s="625" t="s">
        <v>964</v>
      </c>
      <c r="M30" s="625">
        <v>2758</v>
      </c>
      <c r="N30" s="625">
        <v>12411</v>
      </c>
      <c r="O30" s="625">
        <v>17730</v>
      </c>
      <c r="P30" s="625">
        <v>35460</v>
      </c>
      <c r="Q30" s="625">
        <v>0</v>
      </c>
      <c r="R30" s="625">
        <v>0</v>
      </c>
      <c r="S30" s="625">
        <v>0</v>
      </c>
      <c r="T30" s="625">
        <v>0</v>
      </c>
      <c r="U30" s="625">
        <v>0</v>
      </c>
      <c r="V30" s="625">
        <v>0</v>
      </c>
      <c r="W30" s="625">
        <v>0</v>
      </c>
      <c r="X30" s="625"/>
      <c r="Y30" s="625">
        <v>10</v>
      </c>
      <c r="Z30" s="625" t="s">
        <v>105</v>
      </c>
      <c r="AA30" s="627" t="s">
        <v>105</v>
      </c>
    </row>
    <row r="31" spans="1:27" s="579" customFormat="1" ht="25.5" hidden="1">
      <c r="A31" s="578"/>
      <c r="B31" s="736">
        <v>13023</v>
      </c>
      <c r="C31" s="736">
        <v>2330</v>
      </c>
      <c r="D31" s="626"/>
      <c r="E31" s="625"/>
      <c r="F31" s="625"/>
      <c r="G31" s="625" t="s">
        <v>962</v>
      </c>
      <c r="H31" s="625" t="s">
        <v>963</v>
      </c>
      <c r="I31" s="625"/>
      <c r="J31" s="735"/>
      <c r="K31" s="735"/>
      <c r="L31" s="625" t="s">
        <v>964</v>
      </c>
      <c r="M31" s="625">
        <v>3183</v>
      </c>
      <c r="N31" s="625">
        <v>14323.5</v>
      </c>
      <c r="O31" s="625">
        <v>20462.142857142859</v>
      </c>
      <c r="P31" s="625">
        <v>40924.285714285717</v>
      </c>
      <c r="Q31" s="625">
        <v>0</v>
      </c>
      <c r="R31" s="625">
        <v>0</v>
      </c>
      <c r="S31" s="625">
        <v>0</v>
      </c>
      <c r="T31" s="625">
        <v>0</v>
      </c>
      <c r="U31" s="625">
        <v>0</v>
      </c>
      <c r="V31" s="625">
        <v>0</v>
      </c>
      <c r="W31" s="625">
        <v>0</v>
      </c>
      <c r="X31" s="625"/>
      <c r="Y31" s="625">
        <v>10</v>
      </c>
      <c r="Z31" s="625" t="s">
        <v>105</v>
      </c>
      <c r="AA31" s="627" t="s">
        <v>105</v>
      </c>
    </row>
    <row r="32" spans="1:27" s="579" customFormat="1" ht="25.5" hidden="1">
      <c r="A32" s="578"/>
      <c r="B32" s="736">
        <v>13023</v>
      </c>
      <c r="C32" s="736">
        <v>2330</v>
      </c>
      <c r="D32" s="626"/>
      <c r="E32" s="625"/>
      <c r="F32" s="625"/>
      <c r="G32" s="625" t="s">
        <v>962</v>
      </c>
      <c r="H32" s="625" t="s">
        <v>963</v>
      </c>
      <c r="I32" s="625"/>
      <c r="J32" s="735"/>
      <c r="K32" s="735"/>
      <c r="L32" s="625" t="s">
        <v>964</v>
      </c>
      <c r="M32" s="625">
        <v>3256</v>
      </c>
      <c r="N32" s="625">
        <v>14651.999999999998</v>
      </c>
      <c r="O32" s="625">
        <v>20931.428571428569</v>
      </c>
      <c r="P32" s="625">
        <v>41862.857142857138</v>
      </c>
      <c r="Q32" s="625">
        <v>0</v>
      </c>
      <c r="R32" s="625">
        <v>0</v>
      </c>
      <c r="S32" s="625">
        <v>0</v>
      </c>
      <c r="T32" s="625">
        <v>0</v>
      </c>
      <c r="U32" s="625">
        <v>0</v>
      </c>
      <c r="V32" s="625">
        <v>0</v>
      </c>
      <c r="W32" s="625">
        <v>0</v>
      </c>
      <c r="X32" s="625"/>
      <c r="Y32" s="625">
        <v>10</v>
      </c>
      <c r="Z32" s="625" t="s">
        <v>105</v>
      </c>
      <c r="AA32" s="627" t="s">
        <v>105</v>
      </c>
    </row>
    <row r="33" spans="1:28" s="579" customFormat="1" ht="25.5" hidden="1">
      <c r="A33" s="578"/>
      <c r="B33" s="736">
        <v>13023</v>
      </c>
      <c r="C33" s="736">
        <v>2330</v>
      </c>
      <c r="D33" s="626"/>
      <c r="E33" s="625"/>
      <c r="F33" s="625"/>
      <c r="G33" s="625" t="s">
        <v>962</v>
      </c>
      <c r="H33" s="625" t="s">
        <v>963</v>
      </c>
      <c r="I33" s="625"/>
      <c r="J33" s="735"/>
      <c r="K33" s="735"/>
      <c r="L33" s="625" t="s">
        <v>964</v>
      </c>
      <c r="M33" s="625">
        <v>7083</v>
      </c>
      <c r="N33" s="625">
        <v>31873.5</v>
      </c>
      <c r="O33" s="625">
        <v>45533.571428571428</v>
      </c>
      <c r="P33" s="625">
        <v>91067.14285714287</v>
      </c>
      <c r="Q33" s="625">
        <v>0</v>
      </c>
      <c r="R33" s="625">
        <v>0</v>
      </c>
      <c r="S33" s="625">
        <v>0</v>
      </c>
      <c r="T33" s="625">
        <v>0</v>
      </c>
      <c r="U33" s="625">
        <v>0</v>
      </c>
      <c r="V33" s="625">
        <v>0</v>
      </c>
      <c r="W33" s="625">
        <v>0</v>
      </c>
      <c r="X33" s="625"/>
      <c r="Y33" s="625">
        <v>10</v>
      </c>
      <c r="Z33" s="625" t="s">
        <v>105</v>
      </c>
      <c r="AA33" s="627" t="s">
        <v>105</v>
      </c>
    </row>
    <row r="34" spans="1:28" s="579" customFormat="1" ht="25.5" hidden="1">
      <c r="A34" s="578"/>
      <c r="B34" s="736">
        <v>13023</v>
      </c>
      <c r="C34" s="736">
        <v>2330</v>
      </c>
      <c r="D34" s="626"/>
      <c r="E34" s="625"/>
      <c r="F34" s="625"/>
      <c r="G34" s="625" t="s">
        <v>962</v>
      </c>
      <c r="H34" s="625" t="s">
        <v>963</v>
      </c>
      <c r="I34" s="625"/>
      <c r="J34" s="735"/>
      <c r="K34" s="735"/>
      <c r="L34" s="625" t="s">
        <v>964</v>
      </c>
      <c r="M34" s="625">
        <v>8020</v>
      </c>
      <c r="N34" s="625">
        <v>36090</v>
      </c>
      <c r="O34" s="625">
        <v>51557.142857142855</v>
      </c>
      <c r="P34" s="625">
        <v>103114.28571428572</v>
      </c>
      <c r="Q34" s="625">
        <v>0</v>
      </c>
      <c r="R34" s="625">
        <v>0</v>
      </c>
      <c r="S34" s="625">
        <v>0</v>
      </c>
      <c r="T34" s="625">
        <v>0</v>
      </c>
      <c r="U34" s="625">
        <v>0</v>
      </c>
      <c r="V34" s="625">
        <v>0</v>
      </c>
      <c r="W34" s="625">
        <v>0</v>
      </c>
      <c r="X34" s="625"/>
      <c r="Y34" s="625">
        <v>10</v>
      </c>
      <c r="Z34" s="625" t="s">
        <v>105</v>
      </c>
      <c r="AA34" s="627" t="s">
        <v>105</v>
      </c>
    </row>
    <row r="35" spans="1:28" s="579" customFormat="1" ht="25.5" hidden="1">
      <c r="A35" s="578"/>
      <c r="B35" s="736">
        <v>13023</v>
      </c>
      <c r="C35" s="736">
        <v>2330</v>
      </c>
      <c r="D35" s="626"/>
      <c r="E35" s="625"/>
      <c r="F35" s="625"/>
      <c r="G35" s="625" t="s">
        <v>962</v>
      </c>
      <c r="H35" s="625" t="s">
        <v>963</v>
      </c>
      <c r="I35" s="625"/>
      <c r="J35" s="735"/>
      <c r="K35" s="735"/>
      <c r="L35" s="625" t="s">
        <v>964</v>
      </c>
      <c r="M35" s="625">
        <v>8585</v>
      </c>
      <c r="N35" s="625">
        <v>38632.500000000007</v>
      </c>
      <c r="O35" s="625">
        <v>55189.285714285725</v>
      </c>
      <c r="P35" s="625">
        <v>110378.57142857145</v>
      </c>
      <c r="Q35" s="625">
        <v>0</v>
      </c>
      <c r="R35" s="625">
        <v>0</v>
      </c>
      <c r="S35" s="625">
        <v>0</v>
      </c>
      <c r="T35" s="625">
        <v>0</v>
      </c>
      <c r="U35" s="625">
        <v>0</v>
      </c>
      <c r="V35" s="625">
        <v>0</v>
      </c>
      <c r="W35" s="625">
        <v>0</v>
      </c>
      <c r="X35" s="625"/>
      <c r="Y35" s="625">
        <v>10</v>
      </c>
      <c r="Z35" s="625" t="s">
        <v>105</v>
      </c>
      <c r="AA35" s="627" t="s">
        <v>105</v>
      </c>
    </row>
    <row r="36" spans="1:28" s="561" customFormat="1" hidden="1">
      <c r="A36" s="581" t="s">
        <v>269</v>
      </c>
      <c r="B36" s="582"/>
      <c r="C36" s="582"/>
      <c r="D36" s="582"/>
      <c r="E36" s="582"/>
      <c r="F36" s="582"/>
      <c r="G36" s="582"/>
      <c r="H36" s="582"/>
      <c r="I36" s="582"/>
      <c r="J36" s="582"/>
      <c r="K36" s="582"/>
      <c r="L36" s="583"/>
      <c r="M36" s="583">
        <f>SUM(M28:M35)</f>
        <v>36899</v>
      </c>
      <c r="N36" s="583">
        <f>SUM(N28:N35)</f>
        <v>166045.5</v>
      </c>
      <c r="O36" s="583">
        <f>SUM(O28:O35)</f>
        <v>237207.85714285716</v>
      </c>
      <c r="P36" s="583">
        <f>SUM(P28:P35)</f>
        <v>474415.71428571432</v>
      </c>
      <c r="Q36" s="583">
        <f>SUM(Q28:Q35)</f>
        <v>0</v>
      </c>
      <c r="R36" s="583">
        <f>SUM(R28:R35)</f>
        <v>0</v>
      </c>
      <c r="S36" s="583">
        <f>SUM(S28:S35)</f>
        <v>0</v>
      </c>
      <c r="T36" s="583">
        <f>SUM(T28:T35)</f>
        <v>0</v>
      </c>
      <c r="U36" s="583">
        <f>SUM(U28:U35)</f>
        <v>0</v>
      </c>
      <c r="V36" s="583">
        <f>SUM(V28:V35)</f>
        <v>0</v>
      </c>
      <c r="W36" s="583">
        <f>SUM(W28:W35)</f>
        <v>0</v>
      </c>
      <c r="X36" s="583"/>
      <c r="Y36" s="584"/>
      <c r="Z36" s="584"/>
      <c r="AA36" s="585"/>
    </row>
    <row r="37" spans="1:28" s="561" customFormat="1">
      <c r="A37" s="581" t="s">
        <v>276</v>
      </c>
      <c r="B37" s="582"/>
      <c r="C37" s="582"/>
      <c r="D37" s="582"/>
      <c r="E37" s="582"/>
      <c r="F37" s="582"/>
      <c r="G37" s="582"/>
      <c r="H37" s="582"/>
      <c r="I37" s="582"/>
      <c r="J37" s="582"/>
      <c r="K37" s="582"/>
      <c r="L37" s="583"/>
      <c r="M37" s="583">
        <f>SUMIF($AA$28:$AA$35,"industrie",M28:M35)</f>
        <v>0</v>
      </c>
      <c r="N37" s="583">
        <f>SUMIF($AA$28:$AA$35,"industrie",N28:N35)</f>
        <v>0</v>
      </c>
      <c r="O37" s="583">
        <f>SUMIF($AA$28:$AA$35,"industrie",O28:O35)</f>
        <v>0</v>
      </c>
      <c r="P37" s="583">
        <f>SUMIF($AA$28:$AA$35,"industrie",P28:P35)</f>
        <v>0</v>
      </c>
      <c r="Q37" s="583">
        <f>SUMIF($AA$28:$AA$35,"industrie",Q28:Q35)</f>
        <v>0</v>
      </c>
      <c r="R37" s="583">
        <f>SUMIF($AA$28:$AA$35,"industrie",R28:R35)</f>
        <v>0</v>
      </c>
      <c r="S37" s="583">
        <f>SUMIF($AA$28:$AA$35,"industrie",S28:S35)</f>
        <v>0</v>
      </c>
      <c r="T37" s="583">
        <f>SUMIF($AA$28:$AA$35,"industrie",T28:T35)</f>
        <v>0</v>
      </c>
      <c r="U37" s="583">
        <f>SUMIF($AA$28:$AA$35,"industrie",U28:U35)</f>
        <v>0</v>
      </c>
      <c r="V37" s="583">
        <f>SUMIF($AA$28:$AA$35,"industrie",V28:V35)</f>
        <v>0</v>
      </c>
      <c r="W37" s="583">
        <f>SUMIF($AA$28:$AA$35,"industrie",W28:W35)</f>
        <v>0</v>
      </c>
      <c r="X37" s="583"/>
      <c r="Y37" s="584"/>
      <c r="Z37" s="584"/>
      <c r="AA37" s="585"/>
    </row>
    <row r="38" spans="1:28" s="561" customFormat="1">
      <c r="A38" s="581" t="s">
        <v>277</v>
      </c>
      <c r="B38" s="582"/>
      <c r="C38" s="582"/>
      <c r="D38" s="582"/>
      <c r="E38" s="582"/>
      <c r="F38" s="582"/>
      <c r="G38" s="582"/>
      <c r="H38" s="582"/>
      <c r="I38" s="582"/>
      <c r="J38" s="582"/>
      <c r="K38" s="582"/>
      <c r="L38" s="583"/>
      <c r="M38" s="583">
        <f ca="1">SUMIF($AA$28:AD35,"tertiair",M28:M35)</f>
        <v>0</v>
      </c>
      <c r="N38" s="583">
        <f ca="1">SUMIF($AA$28:AE35,"tertiair",N28:N35)</f>
        <v>0</v>
      </c>
      <c r="O38" s="583">
        <f ca="1">SUMIF($AA$28:AF35,"tertiair",O28:O35)</f>
        <v>0</v>
      </c>
      <c r="P38" s="583">
        <f ca="1">SUMIF($AA$28:AG35,"tertiair",P28:P35)</f>
        <v>0</v>
      </c>
      <c r="Q38" s="583">
        <f ca="1">SUMIF($AA$28:AH35,"tertiair",Q28:Q35)</f>
        <v>0</v>
      </c>
      <c r="R38" s="583">
        <f ca="1">SUMIF($AA$28:AI35,"tertiair",R28:R35)</f>
        <v>0</v>
      </c>
      <c r="S38" s="583">
        <f ca="1">SUMIF($AA$28:AJ35,"tertiair",S28:S35)</f>
        <v>0</v>
      </c>
      <c r="T38" s="583">
        <f ca="1">SUMIF($AA$28:AK35,"tertiair",T28:T35)</f>
        <v>0</v>
      </c>
      <c r="U38" s="583">
        <f ca="1">SUMIF($AA$28:AL35,"tertiair",U28:U35)</f>
        <v>0</v>
      </c>
      <c r="V38" s="583">
        <f ca="1">SUMIF($AA$28:AM35,"tertiair",V28:V35)</f>
        <v>0</v>
      </c>
      <c r="W38" s="583">
        <f ca="1">SUMIF($AA$28:AN35,"tertiair",W28:W35)</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SUMIF($AA$28:$AA$35,"landbouw",M28:M35)</f>
        <v>36899</v>
      </c>
      <c r="N39" s="588">
        <f>SUMIF($AA$28:$AA$35,"landbouw",N28:N35)</f>
        <v>166045.5</v>
      </c>
      <c r="O39" s="588">
        <f>SUMIF($AA$28:$AA$35,"landbouw",O28:O35)</f>
        <v>237207.85714285716</v>
      </c>
      <c r="P39" s="588">
        <f>SUMIF($AA$28:$AA$35,"landbouw",P28:P35)</f>
        <v>474415.71428571432</v>
      </c>
      <c r="Q39" s="588">
        <f>SUMIF($AA$28:$AA$35,"landbouw",Q28:Q35)</f>
        <v>0</v>
      </c>
      <c r="R39" s="588">
        <f>SUMIF($AA$28:$AA$35,"landbouw",R28:R35)</f>
        <v>0</v>
      </c>
      <c r="S39" s="588">
        <f>SUMIF($AA$28:$AA$35,"landbouw",S28:S35)</f>
        <v>0</v>
      </c>
      <c r="T39" s="588">
        <f>SUMIF($AA$28:$AA$35,"landbouw",T28:T35)</f>
        <v>0</v>
      </c>
      <c r="U39" s="588">
        <f>SUMIF($AA$28:$AA$35,"landbouw",U28:U35)</f>
        <v>0</v>
      </c>
      <c r="V39" s="588">
        <f>SUMIF($AA$28:$AA$35,"landbouw",V28:V35)</f>
        <v>0</v>
      </c>
      <c r="W39" s="588">
        <f>SUMIF($AA$28:$AA$35,"landbouw",W28:W35)</f>
        <v>0</v>
      </c>
      <c r="X39" s="588"/>
      <c r="Y39" s="589"/>
      <c r="Z39" s="589"/>
      <c r="AA39" s="590"/>
    </row>
    <row r="40" spans="1:28" s="530" customFormat="1" ht="15.75" thickBot="1">
      <c r="A40" s="591"/>
      <c r="B40" s="592"/>
      <c r="C40" s="592"/>
      <c r="D40" s="592"/>
      <c r="E40" s="592"/>
      <c r="F40" s="592"/>
      <c r="G40" s="592"/>
      <c r="H40" s="592"/>
      <c r="I40" s="592"/>
      <c r="J40" s="592"/>
      <c r="K40" s="592"/>
      <c r="L40" s="575"/>
      <c r="M40" s="575"/>
      <c r="N40" s="575"/>
      <c r="O40" s="576"/>
      <c r="P40" s="576"/>
    </row>
    <row r="41" spans="1:28" s="530" customFormat="1" ht="45">
      <c r="A41" s="593" t="s">
        <v>270</v>
      </c>
      <c r="B41" s="622" t="s">
        <v>89</v>
      </c>
      <c r="C41" s="622" t="s">
        <v>90</v>
      </c>
      <c r="D41" s="622"/>
      <c r="E41" s="622"/>
      <c r="F41" s="622"/>
      <c r="G41" s="622" t="s">
        <v>91</v>
      </c>
      <c r="H41" s="622" t="s">
        <v>92</v>
      </c>
      <c r="I41" s="622"/>
      <c r="J41" s="622"/>
      <c r="K41" s="622"/>
      <c r="L41" s="622" t="s">
        <v>93</v>
      </c>
      <c r="M41" s="623" t="s">
        <v>287</v>
      </c>
      <c r="N41" s="623" t="s">
        <v>94</v>
      </c>
      <c r="O41" s="623" t="s">
        <v>95</v>
      </c>
      <c r="P41" s="623" t="s">
        <v>528</v>
      </c>
      <c r="Q41" s="623" t="s">
        <v>96</v>
      </c>
      <c r="R41" s="623" t="s">
        <v>97</v>
      </c>
      <c r="S41" s="623" t="s">
        <v>98</v>
      </c>
      <c r="T41" s="623" t="s">
        <v>99</v>
      </c>
      <c r="U41" s="623" t="s">
        <v>100</v>
      </c>
      <c r="V41" s="623" t="s">
        <v>101</v>
      </c>
      <c r="W41" s="622" t="s">
        <v>102</v>
      </c>
      <c r="X41" s="622" t="s">
        <v>961</v>
      </c>
      <c r="Y41" s="622" t="s">
        <v>288</v>
      </c>
      <c r="Z41" s="622" t="s">
        <v>103</v>
      </c>
      <c r="AA41" s="624" t="s">
        <v>289</v>
      </c>
    </row>
    <row r="42" spans="1:28" s="594" customFormat="1" ht="63.75" hidden="1">
      <c r="A42" s="580"/>
      <c r="B42" s="736">
        <v>13023</v>
      </c>
      <c r="C42" s="736">
        <v>2330</v>
      </c>
      <c r="D42" s="628"/>
      <c r="E42" s="628"/>
      <c r="F42" s="628"/>
      <c r="G42" s="628" t="s">
        <v>965</v>
      </c>
      <c r="H42" s="628" t="s">
        <v>966</v>
      </c>
      <c r="I42" s="628"/>
      <c r="J42" s="735"/>
      <c r="K42" s="735"/>
      <c r="L42" s="628" t="s">
        <v>964</v>
      </c>
      <c r="M42" s="628">
        <v>366</v>
      </c>
      <c r="N42" s="628">
        <v>1647</v>
      </c>
      <c r="O42" s="628">
        <v>0</v>
      </c>
      <c r="P42" s="628">
        <v>0</v>
      </c>
      <c r="Q42" s="628">
        <v>0</v>
      </c>
      <c r="R42" s="628">
        <v>4705.7142857142862</v>
      </c>
      <c r="S42" s="628">
        <v>0</v>
      </c>
      <c r="T42" s="628">
        <v>0</v>
      </c>
      <c r="U42" s="628">
        <v>0</v>
      </c>
      <c r="V42" s="628">
        <v>0</v>
      </c>
      <c r="W42" s="628">
        <v>0</v>
      </c>
      <c r="X42" s="628"/>
      <c r="Y42" s="628">
        <v>1600</v>
      </c>
      <c r="Z42" s="628" t="s">
        <v>49</v>
      </c>
      <c r="AA42" s="629" t="s">
        <v>149</v>
      </c>
    </row>
    <row r="43" spans="1:28" s="561" customFormat="1" hidden="1">
      <c r="A43" s="581" t="s">
        <v>269</v>
      </c>
      <c r="B43" s="582"/>
      <c r="C43" s="582"/>
      <c r="D43" s="582"/>
      <c r="E43" s="582"/>
      <c r="F43" s="582"/>
      <c r="G43" s="582"/>
      <c r="H43" s="582"/>
      <c r="I43" s="582"/>
      <c r="J43" s="582"/>
      <c r="K43" s="582"/>
      <c r="L43" s="583"/>
      <c r="M43" s="583">
        <f>SUM(M42:M42)</f>
        <v>366</v>
      </c>
      <c r="N43" s="583">
        <f>SUM(N42:N42)</f>
        <v>1647</v>
      </c>
      <c r="O43" s="583">
        <f>SUM(O42:O42)</f>
        <v>0</v>
      </c>
      <c r="P43" s="583">
        <f>SUM(P42:P42)</f>
        <v>0</v>
      </c>
      <c r="Q43" s="583">
        <f>SUM(Q42:Q42)</f>
        <v>0</v>
      </c>
      <c r="R43" s="583">
        <f>SUM(R42:R42)</f>
        <v>4705.7142857142862</v>
      </c>
      <c r="S43" s="583">
        <f>SUM(S42:S42)</f>
        <v>0</v>
      </c>
      <c r="T43" s="583">
        <f>SUM(T42:T42)</f>
        <v>0</v>
      </c>
      <c r="U43" s="583">
        <f>SUM(U42:U42)</f>
        <v>0</v>
      </c>
      <c r="V43" s="583">
        <f>SUM(V42:V42)</f>
        <v>0</v>
      </c>
      <c r="W43" s="583">
        <f>SUM(W42:W42)</f>
        <v>0</v>
      </c>
      <c r="X43" s="583"/>
      <c r="Y43" s="584"/>
      <c r="Z43" s="584"/>
      <c r="AA43" s="585"/>
    </row>
    <row r="44" spans="1:28" s="561" customFormat="1">
      <c r="A44" s="581" t="s">
        <v>276</v>
      </c>
      <c r="B44" s="582"/>
      <c r="C44" s="582"/>
      <c r="D44" s="582"/>
      <c r="E44" s="582"/>
      <c r="F44" s="582"/>
      <c r="G44" s="582"/>
      <c r="H44" s="582"/>
      <c r="I44" s="582"/>
      <c r="J44" s="582"/>
      <c r="K44" s="582"/>
      <c r="L44" s="583"/>
      <c r="M44" s="583">
        <f>SUMIF($AA$42:$AA$42,"industrie",M42:M42)</f>
        <v>0</v>
      </c>
      <c r="N44" s="583">
        <f>SUMIF($AA$42:$AA$42,"industrie",N42:N42)</f>
        <v>0</v>
      </c>
      <c r="O44" s="583">
        <f>SUMIF($AA$42:$AA$42,"industrie",O42:O42)</f>
        <v>0</v>
      </c>
      <c r="P44" s="583">
        <f>SUMIF($AA$42:$AA$42,"industrie",P42:P42)</f>
        <v>0</v>
      </c>
      <c r="Q44" s="583">
        <f>SUMIF($AA$42:$AA$42,"industrie",Q42:Q42)</f>
        <v>0</v>
      </c>
      <c r="R44" s="583">
        <f>SUMIF($AA$42:$AA$42,"industrie",R42:R42)</f>
        <v>0</v>
      </c>
      <c r="S44" s="583">
        <f>SUMIF($AA$42:$AA$42,"industrie",S42:S42)</f>
        <v>0</v>
      </c>
      <c r="T44" s="583">
        <f>SUMIF($AA$42:$AA$42,"industrie",T42:T42)</f>
        <v>0</v>
      </c>
      <c r="U44" s="583">
        <f>SUMIF($AA$42:$AA$42,"industrie",U42:U42)</f>
        <v>0</v>
      </c>
      <c r="V44" s="583">
        <f>SUMIF($AA$42:$AA$42,"industrie",V42:V42)</f>
        <v>0</v>
      </c>
      <c r="W44" s="583">
        <f>SUMIF($AA$42:$AA$42,"industrie",W42:W42)</f>
        <v>0</v>
      </c>
      <c r="X44" s="583"/>
      <c r="Y44" s="584"/>
      <c r="Z44" s="584"/>
      <c r="AA44" s="585"/>
    </row>
    <row r="45" spans="1:28" s="561" customFormat="1">
      <c r="A45" s="581" t="s">
        <v>277</v>
      </c>
      <c r="B45" s="582"/>
      <c r="C45" s="582"/>
      <c r="D45" s="582"/>
      <c r="E45" s="582"/>
      <c r="F45" s="582"/>
      <c r="G45" s="582"/>
      <c r="H45" s="582"/>
      <c r="I45" s="582"/>
      <c r="J45" s="582"/>
      <c r="K45" s="582"/>
      <c r="L45" s="583"/>
      <c r="M45" s="583">
        <f>SUMIF($AA$42:$AA$43,"tertiair",M42:M43)</f>
        <v>366</v>
      </c>
      <c r="N45" s="583">
        <f>SUMIF($AA$42:$AA$43,"tertiair",N42:N43)</f>
        <v>1647</v>
      </c>
      <c r="O45" s="583">
        <f>SUMIF($AA$42:$AA$43,"tertiair",O42:O43)</f>
        <v>0</v>
      </c>
      <c r="P45" s="583">
        <f>SUMIF($AA$42:$AA$43,"tertiair",P42:P43)</f>
        <v>0</v>
      </c>
      <c r="Q45" s="583">
        <f>SUMIF($AA$42:$AA$43,"tertiair",Q42:Q43)</f>
        <v>0</v>
      </c>
      <c r="R45" s="583">
        <f>SUMIF($AA$42:$AA$43,"tertiair",R42:R43)</f>
        <v>4705.7142857142862</v>
      </c>
      <c r="S45" s="583">
        <f>SUMIF($AA$42:$AA$43,"tertiair",S42:S43)</f>
        <v>0</v>
      </c>
      <c r="T45" s="583">
        <f>SUMIF($AA$42:$AA$43,"tertiair",T42:T43)</f>
        <v>0</v>
      </c>
      <c r="U45" s="583">
        <f>SUMIF($AA$42:$AA$43,"tertiair",U42:U43)</f>
        <v>0</v>
      </c>
      <c r="V45" s="583">
        <f>SUMIF($AA$42:$AA$43,"tertiair",V42:V43)</f>
        <v>0</v>
      </c>
      <c r="W45" s="583">
        <f>SUMIF($AA$42:$AA$43,"tertiair",W42:W43)</f>
        <v>0</v>
      </c>
      <c r="X45" s="583"/>
      <c r="Y45" s="584"/>
      <c r="Z45" s="584"/>
      <c r="AA45" s="585"/>
    </row>
    <row r="46" spans="1:28" s="561" customFormat="1" ht="15.75" thickBot="1">
      <c r="A46" s="586" t="s">
        <v>278</v>
      </c>
      <c r="B46" s="587"/>
      <c r="C46" s="587"/>
      <c r="D46" s="587"/>
      <c r="E46" s="587"/>
      <c r="F46" s="587"/>
      <c r="G46" s="587"/>
      <c r="H46" s="587"/>
      <c r="I46" s="587"/>
      <c r="J46" s="587"/>
      <c r="K46" s="587"/>
      <c r="L46" s="588"/>
      <c r="M46" s="588">
        <f>SUMIF($AA$42:$AA$44,"landbouw",M42:M44)</f>
        <v>0</v>
      </c>
      <c r="N46" s="588">
        <f>SUMIF($AA$42:$AA$44,"landbouw",N42:N44)</f>
        <v>0</v>
      </c>
      <c r="O46" s="588">
        <f>SUMIF($AA$42:$AA$44,"landbouw",O42:O44)</f>
        <v>0</v>
      </c>
      <c r="P46" s="588">
        <f>SUMIF($AA$42:$AA$44,"landbouw",P42:P44)</f>
        <v>0</v>
      </c>
      <c r="Q46" s="588">
        <f>SUMIF($AA$42:$AA$44,"landbouw",Q42:Q44)</f>
        <v>0</v>
      </c>
      <c r="R46" s="588">
        <f>SUMIF($AA$42:$AA$44,"landbouw",R42:R44)</f>
        <v>0</v>
      </c>
      <c r="S46" s="588">
        <f>SUMIF($AA$42:$AA$44,"landbouw",S42:S44)</f>
        <v>0</v>
      </c>
      <c r="T46" s="588">
        <f>SUMIF($AA$42:$AA$44,"landbouw",T42:T44)</f>
        <v>0</v>
      </c>
      <c r="U46" s="588">
        <f>SUMIF($AA$42:$AA$44,"landbouw",U42:U44)</f>
        <v>0</v>
      </c>
      <c r="V46" s="588">
        <f>SUMIF($AA$42:$AA$44,"landbouw",V42:V44)</f>
        <v>0</v>
      </c>
      <c r="W46" s="588">
        <f>SUMIF($AA$42:$AA$44,"landbouw",W42:W44)</f>
        <v>0</v>
      </c>
      <c r="X46" s="588"/>
      <c r="Y46" s="589"/>
      <c r="Z46" s="589"/>
      <c r="AA46" s="590"/>
    </row>
    <row r="47" spans="1:28" s="595" customFormat="1">
      <c r="A47" s="591"/>
      <c r="B47" s="575"/>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row>
    <row r="48" spans="1:28" s="595" customFormat="1" ht="15.75" thickBot="1">
      <c r="A48" s="591"/>
      <c r="B48" s="575"/>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row>
    <row r="49" spans="1:16">
      <c r="A49" s="596" t="s">
        <v>271</v>
      </c>
      <c r="B49" s="597"/>
      <c r="C49" s="597"/>
      <c r="D49" s="597"/>
      <c r="E49" s="597"/>
      <c r="F49" s="597"/>
      <c r="G49" s="597"/>
      <c r="H49" s="597"/>
      <c r="I49" s="598"/>
      <c r="J49" s="599"/>
      <c r="K49" s="599"/>
      <c r="L49" s="600"/>
      <c r="M49" s="600"/>
      <c r="N49" s="600"/>
      <c r="O49" s="600"/>
      <c r="P49" s="600"/>
    </row>
    <row r="50" spans="1:16">
      <c r="A50" s="602"/>
      <c r="B50" s="592"/>
      <c r="C50" s="592"/>
      <c r="D50" s="592"/>
      <c r="E50" s="592"/>
      <c r="F50" s="592"/>
      <c r="G50" s="592"/>
      <c r="H50" s="592"/>
      <c r="I50" s="603"/>
      <c r="J50" s="592"/>
      <c r="K50" s="592"/>
      <c r="L50" s="600"/>
      <c r="M50" s="600"/>
      <c r="N50" s="600"/>
      <c r="O50" s="600"/>
      <c r="P50" s="600"/>
    </row>
    <row r="51" spans="1:16">
      <c r="A51" s="604"/>
      <c r="B51" s="605" t="s">
        <v>272</v>
      </c>
      <c r="C51" s="605" t="s">
        <v>273</v>
      </c>
      <c r="D51" s="605"/>
      <c r="E51" s="605"/>
      <c r="F51" s="605"/>
      <c r="G51" s="605"/>
      <c r="H51" s="605"/>
      <c r="I51" s="606"/>
      <c r="J51" s="605"/>
      <c r="K51" s="605"/>
      <c r="L51" s="605"/>
      <c r="M51" s="605"/>
      <c r="N51" s="605"/>
      <c r="O51" s="605"/>
      <c r="P51" s="600"/>
    </row>
    <row r="52" spans="1:16">
      <c r="A52" s="602" t="s">
        <v>269</v>
      </c>
      <c r="B52" s="607">
        <f>IF(ISERROR(O36/(O36+N36)),0,O36/(O36+N36))</f>
        <v>0.58823529411764708</v>
      </c>
      <c r="C52" s="608">
        <f>IF(ISERROR(N36/(O36+N36)),0,N36/(N36+O36))</f>
        <v>0.41176470588235292</v>
      </c>
      <c r="D52" s="575"/>
      <c r="E52" s="575"/>
      <c r="F52" s="575"/>
      <c r="G52" s="575"/>
      <c r="H52" s="575"/>
      <c r="I52" s="609"/>
      <c r="J52" s="575"/>
      <c r="K52" s="575"/>
      <c r="L52" s="610"/>
      <c r="M52" s="610"/>
      <c r="N52" s="610"/>
      <c r="O52" s="610"/>
      <c r="P52" s="600"/>
    </row>
    <row r="53" spans="1:16">
      <c r="A53" s="602"/>
      <c r="B53" s="611"/>
      <c r="C53" s="611"/>
      <c r="D53" s="611"/>
      <c r="E53" s="611"/>
      <c r="F53" s="611"/>
      <c r="G53" s="611"/>
      <c r="H53" s="611"/>
      <c r="I53" s="612"/>
      <c r="J53" s="611"/>
      <c r="K53" s="611"/>
      <c r="L53" s="613"/>
      <c r="M53" s="613"/>
      <c r="N53" s="613"/>
      <c r="O53" s="613"/>
      <c r="P53" s="600"/>
    </row>
    <row r="54" spans="1:16" ht="30">
      <c r="A54" s="614"/>
      <c r="B54" s="615" t="s">
        <v>528</v>
      </c>
      <c r="C54" s="615" t="s">
        <v>96</v>
      </c>
      <c r="D54" s="615" t="s">
        <v>97</v>
      </c>
      <c r="E54" s="615" t="s">
        <v>98</v>
      </c>
      <c r="F54" s="615" t="s">
        <v>99</v>
      </c>
      <c r="G54" s="615" t="s">
        <v>100</v>
      </c>
      <c r="H54" s="615" t="s">
        <v>101</v>
      </c>
      <c r="I54" s="616" t="s">
        <v>102</v>
      </c>
      <c r="J54" s="605"/>
      <c r="K54" s="605"/>
      <c r="L54" s="613"/>
      <c r="M54" s="613"/>
      <c r="N54" s="613"/>
      <c r="O54" s="600"/>
      <c r="P54" s="600"/>
    </row>
    <row r="55" spans="1:16">
      <c r="A55" s="604" t="s">
        <v>274</v>
      </c>
      <c r="B55" s="617">
        <f t="shared" ref="B55:I55" si="2">$C$52*P36</f>
        <v>195347.64705882352</v>
      </c>
      <c r="C55" s="617">
        <f t="shared" si="2"/>
        <v>0</v>
      </c>
      <c r="D55" s="617">
        <f t="shared" si="2"/>
        <v>0</v>
      </c>
      <c r="E55" s="617">
        <f t="shared" si="2"/>
        <v>0</v>
      </c>
      <c r="F55" s="617">
        <f t="shared" si="2"/>
        <v>0</v>
      </c>
      <c r="G55" s="617">
        <f t="shared" si="2"/>
        <v>0</v>
      </c>
      <c r="H55" s="617">
        <f t="shared" si="2"/>
        <v>0</v>
      </c>
      <c r="I55" s="618">
        <f t="shared" si="2"/>
        <v>0</v>
      </c>
      <c r="J55" s="575"/>
      <c r="K55" s="575"/>
      <c r="L55" s="613"/>
      <c r="M55" s="613"/>
      <c r="N55" s="613"/>
      <c r="O55" s="600"/>
      <c r="P55" s="600"/>
    </row>
    <row r="56" spans="1:16" ht="15.75" thickBot="1">
      <c r="A56" s="619" t="s">
        <v>275</v>
      </c>
      <c r="B56" s="620">
        <f t="shared" ref="B56:I56" si="3">$B$52*P36</f>
        <v>279068.06722689077</v>
      </c>
      <c r="C56" s="620">
        <f t="shared" si="3"/>
        <v>0</v>
      </c>
      <c r="D56" s="620">
        <f t="shared" si="3"/>
        <v>0</v>
      </c>
      <c r="E56" s="620">
        <f t="shared" si="3"/>
        <v>0</v>
      </c>
      <c r="F56" s="620">
        <f t="shared" si="3"/>
        <v>0</v>
      </c>
      <c r="G56" s="620">
        <f t="shared" si="3"/>
        <v>0</v>
      </c>
      <c r="H56" s="620">
        <f t="shared" si="3"/>
        <v>0</v>
      </c>
      <c r="I56" s="621">
        <f t="shared" si="3"/>
        <v>0</v>
      </c>
      <c r="J56" s="575"/>
      <c r="K56" s="575"/>
      <c r="L56" s="613"/>
      <c r="M56" s="613"/>
      <c r="N56" s="613"/>
      <c r="O56" s="600"/>
      <c r="P56" s="600"/>
    </row>
    <row r="57" spans="1:16">
      <c r="J57" s="559"/>
      <c r="K57" s="559"/>
      <c r="L57" s="559"/>
      <c r="M57" s="559"/>
      <c r="N57" s="559"/>
    </row>
    <row r="58" spans="1:16">
      <c r="J58" s="559"/>
      <c r="K58" s="559"/>
      <c r="L58" s="559"/>
      <c r="M58" s="559"/>
      <c r="N58"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16071.135</v>
      </c>
      <c r="D10" s="635">
        <f ca="1">tertiair!C16</f>
        <v>0</v>
      </c>
      <c r="E10" s="635">
        <f ca="1">tertiair!D16</f>
        <v>19405.474813210636</v>
      </c>
      <c r="F10" s="635">
        <f>tertiair!E16</f>
        <v>288.76077114094693</v>
      </c>
      <c r="G10" s="635">
        <f ca="1">tertiair!F16</f>
        <v>2683.3727544887602</v>
      </c>
      <c r="H10" s="635">
        <f>tertiair!G16</f>
        <v>0</v>
      </c>
      <c r="I10" s="635">
        <f>tertiair!H16</f>
        <v>0</v>
      </c>
      <c r="J10" s="635">
        <f>tertiair!I16</f>
        <v>0</v>
      </c>
      <c r="K10" s="635">
        <f>tertiair!J16</f>
        <v>0</v>
      </c>
      <c r="L10" s="635">
        <f>tertiair!K16</f>
        <v>0</v>
      </c>
      <c r="M10" s="635">
        <f ca="1">tertiair!L16</f>
        <v>0</v>
      </c>
      <c r="N10" s="635">
        <f>tertiair!M16</f>
        <v>0</v>
      </c>
      <c r="O10" s="635">
        <f ca="1">tertiair!N16</f>
        <v>0</v>
      </c>
      <c r="P10" s="635">
        <f>tertiair!O16</f>
        <v>1.5633333333333335</v>
      </c>
      <c r="Q10" s="636">
        <f>tertiair!P16</f>
        <v>0</v>
      </c>
      <c r="R10" s="638">
        <f ca="1">SUM(C10:Q10)</f>
        <v>38450.306672173669</v>
      </c>
      <c r="S10" s="67"/>
    </row>
    <row r="11" spans="1:19" s="441" customFormat="1">
      <c r="A11" s="749" t="s">
        <v>214</v>
      </c>
      <c r="B11" s="754"/>
      <c r="C11" s="635">
        <f>huishoudens!B8</f>
        <v>13638.953684663506</v>
      </c>
      <c r="D11" s="635">
        <f>huishoudens!C8</f>
        <v>0</v>
      </c>
      <c r="E11" s="635">
        <f>huishoudens!D8</f>
        <v>39236.01115005208</v>
      </c>
      <c r="F11" s="635">
        <f>huishoudens!E8</f>
        <v>508.26542458666654</v>
      </c>
      <c r="G11" s="635">
        <f>huishoudens!F8</f>
        <v>17349.333093727688</v>
      </c>
      <c r="H11" s="635">
        <f>huishoudens!G8</f>
        <v>0</v>
      </c>
      <c r="I11" s="635">
        <f>huishoudens!H8</f>
        <v>0</v>
      </c>
      <c r="J11" s="635">
        <f>huishoudens!I8</f>
        <v>0</v>
      </c>
      <c r="K11" s="635">
        <f>huishoudens!J8</f>
        <v>390.66299572892166</v>
      </c>
      <c r="L11" s="635">
        <f>huishoudens!K8</f>
        <v>0</v>
      </c>
      <c r="M11" s="635">
        <f>huishoudens!L8</f>
        <v>0</v>
      </c>
      <c r="N11" s="635">
        <f>huishoudens!M8</f>
        <v>0</v>
      </c>
      <c r="O11" s="635">
        <f>huishoudens!N8</f>
        <v>3663.3836077521423</v>
      </c>
      <c r="P11" s="635">
        <f>huishoudens!O8</f>
        <v>35.956666666666671</v>
      </c>
      <c r="Q11" s="636">
        <f>huishoudens!P8</f>
        <v>38.133333333333333</v>
      </c>
      <c r="R11" s="638">
        <f>SUM(C11:Q11)</f>
        <v>74860.699956511002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1570.0519999999999</v>
      </c>
      <c r="D13" s="635">
        <f>industrie!C18</f>
        <v>0</v>
      </c>
      <c r="E13" s="635">
        <f>industrie!D18</f>
        <v>1240.5168047767165</v>
      </c>
      <c r="F13" s="635">
        <f>industrie!E18</f>
        <v>18.294548047481676</v>
      </c>
      <c r="G13" s="635">
        <f>industrie!F18</f>
        <v>648.59709815579276</v>
      </c>
      <c r="H13" s="635">
        <f>industrie!G18</f>
        <v>0</v>
      </c>
      <c r="I13" s="635">
        <f>industrie!H18</f>
        <v>0</v>
      </c>
      <c r="J13" s="635">
        <f>industrie!I18</f>
        <v>0</v>
      </c>
      <c r="K13" s="635">
        <f>industrie!J18</f>
        <v>13.390142971468951</v>
      </c>
      <c r="L13" s="635">
        <f>industrie!K18</f>
        <v>0</v>
      </c>
      <c r="M13" s="635">
        <f>industrie!L18</f>
        <v>0</v>
      </c>
      <c r="N13" s="635">
        <f>industrie!M18</f>
        <v>0</v>
      </c>
      <c r="O13" s="635">
        <f>industrie!N18</f>
        <v>57.528569906984814</v>
      </c>
      <c r="P13" s="635">
        <f>industrie!O18</f>
        <v>0</v>
      </c>
      <c r="Q13" s="636">
        <f>industrie!P18</f>
        <v>0</v>
      </c>
      <c r="R13" s="638">
        <f>SUM(C13:Q13)</f>
        <v>3548.3791638584448</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31280.140684663504</v>
      </c>
      <c r="D16" s="668">
        <f t="shared" ref="D16:R16" ca="1" si="0">SUM(D9:D15)</f>
        <v>0</v>
      </c>
      <c r="E16" s="668">
        <f t="shared" ca="1" si="0"/>
        <v>59882.002768039434</v>
      </c>
      <c r="F16" s="668">
        <f t="shared" si="0"/>
        <v>815.32074377509514</v>
      </c>
      <c r="G16" s="668">
        <f t="shared" ca="1" si="0"/>
        <v>20681.302946372238</v>
      </c>
      <c r="H16" s="668">
        <f t="shared" si="0"/>
        <v>0</v>
      </c>
      <c r="I16" s="668">
        <f t="shared" si="0"/>
        <v>0</v>
      </c>
      <c r="J16" s="668">
        <f t="shared" si="0"/>
        <v>0</v>
      </c>
      <c r="K16" s="668">
        <f t="shared" si="0"/>
        <v>404.0531387003906</v>
      </c>
      <c r="L16" s="668">
        <f t="shared" si="0"/>
        <v>0</v>
      </c>
      <c r="M16" s="668">
        <f t="shared" ca="1" si="0"/>
        <v>0</v>
      </c>
      <c r="N16" s="668">
        <f t="shared" si="0"/>
        <v>0</v>
      </c>
      <c r="O16" s="668">
        <f t="shared" ca="1" si="0"/>
        <v>3720.9121776591273</v>
      </c>
      <c r="P16" s="668">
        <f t="shared" si="0"/>
        <v>37.520000000000003</v>
      </c>
      <c r="Q16" s="668">
        <f t="shared" si="0"/>
        <v>38.133333333333333</v>
      </c>
      <c r="R16" s="668">
        <f t="shared" ca="1" si="0"/>
        <v>116859.38579254312</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4.3634080144944418</v>
      </c>
      <c r="D19" s="635">
        <f>transport!C54</f>
        <v>0</v>
      </c>
      <c r="E19" s="635">
        <f>transport!D54</f>
        <v>0</v>
      </c>
      <c r="F19" s="635">
        <f>transport!E54</f>
        <v>0</v>
      </c>
      <c r="G19" s="635">
        <f>transport!F54</f>
        <v>0</v>
      </c>
      <c r="H19" s="635">
        <f>transport!G54</f>
        <v>946.59756074616155</v>
      </c>
      <c r="I19" s="635">
        <f>transport!H54</f>
        <v>0</v>
      </c>
      <c r="J19" s="635">
        <f>transport!I54</f>
        <v>0</v>
      </c>
      <c r="K19" s="635">
        <f>transport!J54</f>
        <v>0</v>
      </c>
      <c r="L19" s="635">
        <f>transport!K54</f>
        <v>0</v>
      </c>
      <c r="M19" s="635">
        <f>transport!L54</f>
        <v>0</v>
      </c>
      <c r="N19" s="635">
        <f>transport!M54</f>
        <v>40.529671434190767</v>
      </c>
      <c r="O19" s="635">
        <f>transport!N54</f>
        <v>0</v>
      </c>
      <c r="P19" s="635">
        <f>transport!O54</f>
        <v>0</v>
      </c>
      <c r="Q19" s="636">
        <f>transport!P54</f>
        <v>0</v>
      </c>
      <c r="R19" s="638">
        <f>SUM(C19:Q19)</f>
        <v>991.49064019484672</v>
      </c>
      <c r="S19" s="67"/>
    </row>
    <row r="20" spans="1:19" s="441" customFormat="1">
      <c r="A20" s="749" t="s">
        <v>296</v>
      </c>
      <c r="B20" s="754"/>
      <c r="C20" s="635">
        <f>transport!B14</f>
        <v>0.57689171546130802</v>
      </c>
      <c r="D20" s="635">
        <f>transport!C14</f>
        <v>0</v>
      </c>
      <c r="E20" s="635">
        <f>transport!D14</f>
        <v>1.9487069129760621</v>
      </c>
      <c r="F20" s="635">
        <f>transport!E14</f>
        <v>199.58632535297221</v>
      </c>
      <c r="G20" s="635">
        <f>transport!F14</f>
        <v>0</v>
      </c>
      <c r="H20" s="635">
        <f>transport!G14</f>
        <v>35186.919181543519</v>
      </c>
      <c r="I20" s="635">
        <f>transport!H14</f>
        <v>6696.6284658995573</v>
      </c>
      <c r="J20" s="635">
        <f>transport!I14</f>
        <v>0</v>
      </c>
      <c r="K20" s="635">
        <f>transport!J14</f>
        <v>0</v>
      </c>
      <c r="L20" s="635">
        <f>transport!K14</f>
        <v>0</v>
      </c>
      <c r="M20" s="635">
        <f>transport!L14</f>
        <v>0</v>
      </c>
      <c r="N20" s="635">
        <f>transport!M14</f>
        <v>1824.0362885850857</v>
      </c>
      <c r="O20" s="635">
        <f>transport!N14</f>
        <v>0</v>
      </c>
      <c r="P20" s="635">
        <f>transport!O14</f>
        <v>0</v>
      </c>
      <c r="Q20" s="636">
        <f>transport!P14</f>
        <v>0</v>
      </c>
      <c r="R20" s="638">
        <f>SUM(C20:Q20)</f>
        <v>43909.695860009568</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4.9402997299557496</v>
      </c>
      <c r="D22" s="752">
        <f t="shared" ref="D22:R22" si="1">SUM(D18:D21)</f>
        <v>0</v>
      </c>
      <c r="E22" s="752">
        <f t="shared" si="1"/>
        <v>1.9487069129760621</v>
      </c>
      <c r="F22" s="752">
        <f t="shared" si="1"/>
        <v>199.58632535297221</v>
      </c>
      <c r="G22" s="752">
        <f t="shared" si="1"/>
        <v>0</v>
      </c>
      <c r="H22" s="752">
        <f t="shared" si="1"/>
        <v>36133.516742289677</v>
      </c>
      <c r="I22" s="752">
        <f t="shared" si="1"/>
        <v>6696.6284658995573</v>
      </c>
      <c r="J22" s="752">
        <f t="shared" si="1"/>
        <v>0</v>
      </c>
      <c r="K22" s="752">
        <f t="shared" si="1"/>
        <v>0</v>
      </c>
      <c r="L22" s="752">
        <f t="shared" si="1"/>
        <v>0</v>
      </c>
      <c r="M22" s="752">
        <f t="shared" si="1"/>
        <v>0</v>
      </c>
      <c r="N22" s="752">
        <f t="shared" si="1"/>
        <v>1864.5659600192764</v>
      </c>
      <c r="O22" s="752">
        <f t="shared" si="1"/>
        <v>0</v>
      </c>
      <c r="P22" s="752">
        <f t="shared" si="1"/>
        <v>0</v>
      </c>
      <c r="Q22" s="752">
        <f t="shared" si="1"/>
        <v>0</v>
      </c>
      <c r="R22" s="752">
        <f t="shared" si="1"/>
        <v>44901.186500204414</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9678.8420000000006</v>
      </c>
      <c r="D24" s="635">
        <f>+landbouw!C8</f>
        <v>237207.85714285716</v>
      </c>
      <c r="E24" s="635">
        <f>+landbouw!D8</f>
        <v>0</v>
      </c>
      <c r="F24" s="635">
        <f>+landbouw!E8</f>
        <v>87.218647788043</v>
      </c>
      <c r="G24" s="635">
        <f>+landbouw!F8</f>
        <v>36266.916168905998</v>
      </c>
      <c r="H24" s="635">
        <f>+landbouw!G8</f>
        <v>0</v>
      </c>
      <c r="I24" s="635">
        <f>+landbouw!H8</f>
        <v>0</v>
      </c>
      <c r="J24" s="635">
        <f>+landbouw!I8</f>
        <v>0</v>
      </c>
      <c r="K24" s="635">
        <f>+landbouw!J8</f>
        <v>979.45877982727256</v>
      </c>
      <c r="L24" s="635">
        <f>+landbouw!K8</f>
        <v>0</v>
      </c>
      <c r="M24" s="635">
        <f>+landbouw!L8</f>
        <v>0</v>
      </c>
      <c r="N24" s="635">
        <f>+landbouw!M8</f>
        <v>0</v>
      </c>
      <c r="O24" s="635">
        <f>+landbouw!N8</f>
        <v>0</v>
      </c>
      <c r="P24" s="635">
        <f>+landbouw!O8</f>
        <v>0</v>
      </c>
      <c r="Q24" s="636">
        <f>+landbouw!P8</f>
        <v>0</v>
      </c>
      <c r="R24" s="638">
        <f>SUM(C24:Q24)</f>
        <v>284220.29273937846</v>
      </c>
      <c r="S24" s="67"/>
    </row>
    <row r="25" spans="1:19" s="441" customFormat="1" ht="15" thickBot="1">
      <c r="A25" s="771" t="s">
        <v>864</v>
      </c>
      <c r="B25" s="923"/>
      <c r="C25" s="924">
        <f>IF(Onbekend_ele_kWh="---",0,Onbekend_ele_kWh)/1000+IF(REST_rest_ele_kWh="---",0,REST_rest_ele_kWh)/1000</f>
        <v>0</v>
      </c>
      <c r="D25" s="924"/>
      <c r="E25" s="924">
        <f>IF(onbekend_gas_kWh="---",0,onbekend_gas_kWh)/1000+IF(REST_rest_gas_kWh="---",0,REST_rest_gas_kWh)/1000</f>
        <v>436.25324404991596</v>
      </c>
      <c r="F25" s="924"/>
      <c r="G25" s="924"/>
      <c r="H25" s="924"/>
      <c r="I25" s="924"/>
      <c r="J25" s="924"/>
      <c r="K25" s="924"/>
      <c r="L25" s="924"/>
      <c r="M25" s="924"/>
      <c r="N25" s="924"/>
      <c r="O25" s="924"/>
      <c r="P25" s="924"/>
      <c r="Q25" s="925"/>
      <c r="R25" s="638">
        <f>SUM(C25:Q25)</f>
        <v>436.25324404991596</v>
      </c>
      <c r="S25" s="67"/>
    </row>
    <row r="26" spans="1:19" s="441" customFormat="1" ht="15.75" thickBot="1">
      <c r="A26" s="641" t="s">
        <v>865</v>
      </c>
      <c r="B26" s="757"/>
      <c r="C26" s="752">
        <f>SUM(C24:C25)</f>
        <v>9678.8420000000006</v>
      </c>
      <c r="D26" s="752">
        <f t="shared" ref="D26:R26" si="2">SUM(D24:D25)</f>
        <v>237207.85714285716</v>
      </c>
      <c r="E26" s="752">
        <f t="shared" si="2"/>
        <v>436.25324404991596</v>
      </c>
      <c r="F26" s="752">
        <f t="shared" si="2"/>
        <v>87.218647788043</v>
      </c>
      <c r="G26" s="752">
        <f t="shared" si="2"/>
        <v>36266.916168905998</v>
      </c>
      <c r="H26" s="752">
        <f t="shared" si="2"/>
        <v>0</v>
      </c>
      <c r="I26" s="752">
        <f t="shared" si="2"/>
        <v>0</v>
      </c>
      <c r="J26" s="752">
        <f t="shared" si="2"/>
        <v>0</v>
      </c>
      <c r="K26" s="752">
        <f t="shared" si="2"/>
        <v>979.45877982727256</v>
      </c>
      <c r="L26" s="752">
        <f t="shared" si="2"/>
        <v>0</v>
      </c>
      <c r="M26" s="752">
        <f t="shared" si="2"/>
        <v>0</v>
      </c>
      <c r="N26" s="752">
        <f t="shared" si="2"/>
        <v>0</v>
      </c>
      <c r="O26" s="752">
        <f t="shared" si="2"/>
        <v>0</v>
      </c>
      <c r="P26" s="752">
        <f t="shared" si="2"/>
        <v>0</v>
      </c>
      <c r="Q26" s="752">
        <f t="shared" si="2"/>
        <v>0</v>
      </c>
      <c r="R26" s="752">
        <f t="shared" si="2"/>
        <v>284656.54598342837</v>
      </c>
      <c r="S26" s="67"/>
    </row>
    <row r="27" spans="1:19" s="441" customFormat="1" ht="17.25" thickTop="1" thickBot="1">
      <c r="A27" s="642" t="s">
        <v>109</v>
      </c>
      <c r="B27" s="744"/>
      <c r="C27" s="643">
        <f ca="1">C22+C16+C26</f>
        <v>40963.922984393459</v>
      </c>
      <c r="D27" s="643">
        <f t="shared" ref="D27:R27" ca="1" si="3">D22+D16+D26</f>
        <v>237207.85714285716</v>
      </c>
      <c r="E27" s="643">
        <f t="shared" ca="1" si="3"/>
        <v>60320.204719002322</v>
      </c>
      <c r="F27" s="643">
        <f t="shared" si="3"/>
        <v>1102.1257169161104</v>
      </c>
      <c r="G27" s="643">
        <f t="shared" ca="1" si="3"/>
        <v>56948.219115278232</v>
      </c>
      <c r="H27" s="643">
        <f t="shared" si="3"/>
        <v>36133.516742289677</v>
      </c>
      <c r="I27" s="643">
        <f t="shared" si="3"/>
        <v>6696.6284658995573</v>
      </c>
      <c r="J27" s="643">
        <f t="shared" si="3"/>
        <v>0</v>
      </c>
      <c r="K27" s="643">
        <f t="shared" si="3"/>
        <v>1383.5119185276631</v>
      </c>
      <c r="L27" s="643">
        <f t="shared" si="3"/>
        <v>0</v>
      </c>
      <c r="M27" s="643">
        <f t="shared" ca="1" si="3"/>
        <v>0</v>
      </c>
      <c r="N27" s="643">
        <f t="shared" si="3"/>
        <v>1864.5659600192764</v>
      </c>
      <c r="O27" s="643">
        <f t="shared" ca="1" si="3"/>
        <v>3720.9121776591273</v>
      </c>
      <c r="P27" s="643">
        <f t="shared" si="3"/>
        <v>37.520000000000003</v>
      </c>
      <c r="Q27" s="643">
        <f t="shared" si="3"/>
        <v>38.133333333333333</v>
      </c>
      <c r="R27" s="643">
        <f t="shared" ca="1" si="3"/>
        <v>446417.11827617593</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3745.6196259276558</v>
      </c>
      <c r="D40" s="635">
        <f ca="1">tertiair!C20</f>
        <v>0</v>
      </c>
      <c r="E40" s="635">
        <f ca="1">tertiair!D20</f>
        <v>3919.9059122685489</v>
      </c>
      <c r="F40" s="635">
        <f>tertiair!E20</f>
        <v>65.548695048994958</v>
      </c>
      <c r="G40" s="635">
        <f ca="1">tertiair!F20</f>
        <v>716.46052544849897</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8447.5347586936987</v>
      </c>
    </row>
    <row r="41" spans="1:18">
      <c r="A41" s="762" t="s">
        <v>214</v>
      </c>
      <c r="B41" s="769"/>
      <c r="C41" s="635">
        <f ca="1">huishoudens!B12</f>
        <v>3178.7632048634982</v>
      </c>
      <c r="D41" s="635">
        <f ca="1">huishoudens!C12</f>
        <v>0</v>
      </c>
      <c r="E41" s="635">
        <f>huishoudens!D12</f>
        <v>7925.6742523105204</v>
      </c>
      <c r="F41" s="635">
        <f>huishoudens!E12</f>
        <v>115.3762513811733</v>
      </c>
      <c r="G41" s="635">
        <f>huishoudens!F12</f>
        <v>4632.2719360252931</v>
      </c>
      <c r="H41" s="635">
        <f>huishoudens!G12</f>
        <v>0</v>
      </c>
      <c r="I41" s="635">
        <f>huishoudens!H12</f>
        <v>0</v>
      </c>
      <c r="J41" s="635">
        <f>huishoudens!I12</f>
        <v>0</v>
      </c>
      <c r="K41" s="635">
        <f>huishoudens!J12</f>
        <v>138.29470048803827</v>
      </c>
      <c r="L41" s="635">
        <f>huishoudens!K12</f>
        <v>0</v>
      </c>
      <c r="M41" s="635">
        <f>huishoudens!L12</f>
        <v>0</v>
      </c>
      <c r="N41" s="635">
        <f>huishoudens!M12</f>
        <v>0</v>
      </c>
      <c r="O41" s="635">
        <f>huishoudens!N12</f>
        <v>0</v>
      </c>
      <c r="P41" s="635">
        <f>huishoudens!O12</f>
        <v>0</v>
      </c>
      <c r="Q41" s="710">
        <f>huishoudens!P12</f>
        <v>0</v>
      </c>
      <c r="R41" s="790">
        <f t="shared" ca="1" si="4"/>
        <v>15990.380345068525</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365.92422283348174</v>
      </c>
      <c r="D43" s="635">
        <f ca="1">industrie!C22</f>
        <v>0</v>
      </c>
      <c r="E43" s="635">
        <f>industrie!D22</f>
        <v>250.58439456489674</v>
      </c>
      <c r="F43" s="635">
        <f>industrie!E22</f>
        <v>4.1528624067783406</v>
      </c>
      <c r="G43" s="635">
        <f>industrie!F22</f>
        <v>173.17542520759667</v>
      </c>
      <c r="H43" s="635">
        <f>industrie!G22</f>
        <v>0</v>
      </c>
      <c r="I43" s="635">
        <f>industrie!H22</f>
        <v>0</v>
      </c>
      <c r="J43" s="635">
        <f>industrie!I22</f>
        <v>0</v>
      </c>
      <c r="K43" s="635">
        <f>industrie!J22</f>
        <v>4.7401106119000085</v>
      </c>
      <c r="L43" s="635">
        <f>industrie!K22</f>
        <v>0</v>
      </c>
      <c r="M43" s="635">
        <f>industrie!L22</f>
        <v>0</v>
      </c>
      <c r="N43" s="635">
        <f>industrie!M22</f>
        <v>0</v>
      </c>
      <c r="O43" s="635">
        <f>industrie!N22</f>
        <v>0</v>
      </c>
      <c r="P43" s="635">
        <f>industrie!O22</f>
        <v>0</v>
      </c>
      <c r="Q43" s="710">
        <f>industrie!P22</f>
        <v>0</v>
      </c>
      <c r="R43" s="789">
        <f t="shared" ca="1" si="4"/>
        <v>798.57701562465354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7290.307053624635</v>
      </c>
      <c r="D46" s="668">
        <f t="shared" ref="D46:Q46" ca="1" si="5">SUM(D39:D45)</f>
        <v>0</v>
      </c>
      <c r="E46" s="668">
        <f t="shared" ca="1" si="5"/>
        <v>12096.164559143966</v>
      </c>
      <c r="F46" s="668">
        <f t="shared" si="5"/>
        <v>185.07780883694662</v>
      </c>
      <c r="G46" s="668">
        <f t="shared" ca="1" si="5"/>
        <v>5521.9078866813888</v>
      </c>
      <c r="H46" s="668">
        <f t="shared" si="5"/>
        <v>0</v>
      </c>
      <c r="I46" s="668">
        <f t="shared" si="5"/>
        <v>0</v>
      </c>
      <c r="J46" s="668">
        <f t="shared" si="5"/>
        <v>0</v>
      </c>
      <c r="K46" s="668">
        <f t="shared" si="5"/>
        <v>143.03481109993828</v>
      </c>
      <c r="L46" s="668">
        <f t="shared" si="5"/>
        <v>0</v>
      </c>
      <c r="M46" s="668">
        <f t="shared" ca="1" si="5"/>
        <v>0</v>
      </c>
      <c r="N46" s="668">
        <f t="shared" si="5"/>
        <v>0</v>
      </c>
      <c r="O46" s="668">
        <f t="shared" ca="1" si="5"/>
        <v>0</v>
      </c>
      <c r="P46" s="668">
        <f t="shared" si="5"/>
        <v>0</v>
      </c>
      <c r="Q46" s="668">
        <f t="shared" si="5"/>
        <v>0</v>
      </c>
      <c r="R46" s="668">
        <f ca="1">SUM(R39:R45)</f>
        <v>25236.492119386876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1.0169578374533228</v>
      </c>
      <c r="D49" s="635">
        <f ca="1">transport!C58</f>
        <v>0</v>
      </c>
      <c r="E49" s="635">
        <f>transport!D58</f>
        <v>0</v>
      </c>
      <c r="F49" s="635">
        <f>transport!E58</f>
        <v>0</v>
      </c>
      <c r="G49" s="635">
        <f>transport!F58</f>
        <v>0</v>
      </c>
      <c r="H49" s="635">
        <f>transport!G58</f>
        <v>252.74154871922514</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253.75850655667847</v>
      </c>
    </row>
    <row r="50" spans="1:18">
      <c r="A50" s="765" t="s">
        <v>296</v>
      </c>
      <c r="B50" s="775"/>
      <c r="C50" s="930">
        <f ca="1">transport!B18</f>
        <v>0.13445328730465819</v>
      </c>
      <c r="D50" s="930">
        <f>transport!C18</f>
        <v>0</v>
      </c>
      <c r="E50" s="930">
        <f>transport!D18</f>
        <v>0.39363879642116456</v>
      </c>
      <c r="F50" s="930">
        <f>transport!E18</f>
        <v>45.306095855124696</v>
      </c>
      <c r="G50" s="930">
        <f>transport!F18</f>
        <v>0</v>
      </c>
      <c r="H50" s="930">
        <f>transport!G18</f>
        <v>9394.9074214721204</v>
      </c>
      <c r="I50" s="930">
        <f>transport!H18</f>
        <v>1667.4604880089898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11108.20209741996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1.151411124757981</v>
      </c>
      <c r="D52" s="668">
        <f t="shared" ref="D52:Q52" ca="1" si="6">SUM(D48:D51)</f>
        <v>0</v>
      </c>
      <c r="E52" s="668">
        <f t="shared" si="6"/>
        <v>0.39363879642116456</v>
      </c>
      <c r="F52" s="668">
        <f t="shared" si="6"/>
        <v>45.306095855124696</v>
      </c>
      <c r="G52" s="668">
        <f t="shared" si="6"/>
        <v>0</v>
      </c>
      <c r="H52" s="668">
        <f t="shared" si="6"/>
        <v>9647.6489701913451</v>
      </c>
      <c r="I52" s="668">
        <f t="shared" si="6"/>
        <v>1667.4604880089898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11361.960603976639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2255.7996402527192</v>
      </c>
      <c r="D54" s="930">
        <f ca="1">+landbouw!C12</f>
        <v>56371.749579831936</v>
      </c>
      <c r="E54" s="930">
        <f>+landbouw!D12</f>
        <v>0</v>
      </c>
      <c r="F54" s="930">
        <f>+landbouw!E12</f>
        <v>19.798633047885762</v>
      </c>
      <c r="G54" s="930">
        <f>+landbouw!F12</f>
        <v>9683.2666170979028</v>
      </c>
      <c r="H54" s="930">
        <f>+landbouw!G12</f>
        <v>0</v>
      </c>
      <c r="I54" s="930">
        <f>+landbouw!H12</f>
        <v>0</v>
      </c>
      <c r="J54" s="930">
        <f>+landbouw!I12</f>
        <v>0</v>
      </c>
      <c r="K54" s="930">
        <f>+landbouw!J12</f>
        <v>346.72840805885448</v>
      </c>
      <c r="L54" s="930">
        <f>+landbouw!K12</f>
        <v>0</v>
      </c>
      <c r="M54" s="930">
        <f>+landbouw!L12</f>
        <v>0</v>
      </c>
      <c r="N54" s="930">
        <f>+landbouw!M12</f>
        <v>0</v>
      </c>
      <c r="O54" s="930">
        <f>+landbouw!N12</f>
        <v>0</v>
      </c>
      <c r="P54" s="930">
        <f>+landbouw!O12</f>
        <v>0</v>
      </c>
      <c r="Q54" s="931">
        <f>+landbouw!P12</f>
        <v>0</v>
      </c>
      <c r="R54" s="667">
        <f ca="1">SUM(C54:Q54)</f>
        <v>68677.342878289302</v>
      </c>
    </row>
    <row r="55" spans="1:18" ht="15" thickBot="1">
      <c r="A55" s="765" t="s">
        <v>864</v>
      </c>
      <c r="B55" s="775"/>
      <c r="C55" s="930">
        <f ca="1">C25*'EF ele_warmte'!B12</f>
        <v>0</v>
      </c>
      <c r="D55" s="930"/>
      <c r="E55" s="930">
        <f>E25*EF_CO2_aardgas</f>
        <v>88.123155298083034</v>
      </c>
      <c r="F55" s="930"/>
      <c r="G55" s="930"/>
      <c r="H55" s="930"/>
      <c r="I55" s="930"/>
      <c r="J55" s="930"/>
      <c r="K55" s="930"/>
      <c r="L55" s="930"/>
      <c r="M55" s="930"/>
      <c r="N55" s="930"/>
      <c r="O55" s="930"/>
      <c r="P55" s="930"/>
      <c r="Q55" s="931"/>
      <c r="R55" s="667">
        <f ca="1">SUM(C55:Q55)</f>
        <v>88.123155298083034</v>
      </c>
    </row>
    <row r="56" spans="1:18" ht="15.75" thickBot="1">
      <c r="A56" s="763" t="s">
        <v>865</v>
      </c>
      <c r="B56" s="776"/>
      <c r="C56" s="668">
        <f ca="1">SUM(C54:C55)</f>
        <v>2255.7996402527192</v>
      </c>
      <c r="D56" s="668">
        <f t="shared" ref="D56:Q56" ca="1" si="7">SUM(D54:D55)</f>
        <v>56371.749579831936</v>
      </c>
      <c r="E56" s="668">
        <f t="shared" si="7"/>
        <v>88.123155298083034</v>
      </c>
      <c r="F56" s="668">
        <f t="shared" si="7"/>
        <v>19.798633047885762</v>
      </c>
      <c r="G56" s="668">
        <f t="shared" si="7"/>
        <v>9683.2666170979028</v>
      </c>
      <c r="H56" s="668">
        <f t="shared" si="7"/>
        <v>0</v>
      </c>
      <c r="I56" s="668">
        <f t="shared" si="7"/>
        <v>0</v>
      </c>
      <c r="J56" s="668">
        <f t="shared" si="7"/>
        <v>0</v>
      </c>
      <c r="K56" s="668">
        <f t="shared" si="7"/>
        <v>346.72840805885448</v>
      </c>
      <c r="L56" s="668">
        <f t="shared" si="7"/>
        <v>0</v>
      </c>
      <c r="M56" s="668">
        <f t="shared" si="7"/>
        <v>0</v>
      </c>
      <c r="N56" s="668">
        <f t="shared" si="7"/>
        <v>0</v>
      </c>
      <c r="O56" s="668">
        <f t="shared" si="7"/>
        <v>0</v>
      </c>
      <c r="P56" s="668">
        <f t="shared" si="7"/>
        <v>0</v>
      </c>
      <c r="Q56" s="669">
        <f t="shared" si="7"/>
        <v>0</v>
      </c>
      <c r="R56" s="670">
        <f ca="1">SUM(R54:R55)</f>
        <v>68765.466033587392</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9547.2581050021126</v>
      </c>
      <c r="D61" s="676">
        <f t="shared" ref="D61:Q61" ca="1" si="8">D46+D52+D56</f>
        <v>56371.749579831936</v>
      </c>
      <c r="E61" s="676">
        <f t="shared" ca="1" si="8"/>
        <v>12184.681353238469</v>
      </c>
      <c r="F61" s="676">
        <f t="shared" si="8"/>
        <v>250.1825377399571</v>
      </c>
      <c r="G61" s="676">
        <f t="shared" ca="1" si="8"/>
        <v>15205.174503779292</v>
      </c>
      <c r="H61" s="676">
        <f t="shared" si="8"/>
        <v>9647.6489701913451</v>
      </c>
      <c r="I61" s="676">
        <f t="shared" si="8"/>
        <v>1667.4604880089898</v>
      </c>
      <c r="J61" s="676">
        <f t="shared" si="8"/>
        <v>0</v>
      </c>
      <c r="K61" s="676">
        <f t="shared" si="8"/>
        <v>489.76321915879277</v>
      </c>
      <c r="L61" s="676">
        <f t="shared" si="8"/>
        <v>0</v>
      </c>
      <c r="M61" s="676">
        <f t="shared" ca="1" si="8"/>
        <v>0</v>
      </c>
      <c r="N61" s="676">
        <f t="shared" si="8"/>
        <v>0</v>
      </c>
      <c r="O61" s="676">
        <f t="shared" ca="1" si="8"/>
        <v>0</v>
      </c>
      <c r="P61" s="676">
        <f t="shared" si="8"/>
        <v>0</v>
      </c>
      <c r="Q61" s="676">
        <f t="shared" si="8"/>
        <v>0</v>
      </c>
      <c r="R61" s="676">
        <f ca="1">R46+R52+R56</f>
        <v>105363.91875695091</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0.23306503404567602</v>
      </c>
      <c r="D63" s="720">
        <f t="shared" ca="1" si="9"/>
        <v>0.23764705882352941</v>
      </c>
      <c r="E63" s="932">
        <f t="shared" ca="1" si="9"/>
        <v>0.20200000000000001</v>
      </c>
      <c r="F63" s="720">
        <f t="shared" si="9"/>
        <v>0.22700000000000004</v>
      </c>
      <c r="G63" s="720">
        <f t="shared" ca="1" si="9"/>
        <v>0.26700000000000007</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1617.4304555009071</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166045.5</v>
      </c>
      <c r="D76" s="942">
        <f>'lokale energieproductie'!C8</f>
        <v>195347.64705882352</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39460.224705882356</v>
      </c>
      <c r="R76" s="792">
        <v>0</v>
      </c>
    </row>
    <row r="77" spans="1:18" ht="30.75" thickBot="1">
      <c r="A77" s="689" t="s">
        <v>340</v>
      </c>
      <c r="B77" s="686">
        <f>'lokale energieproductie'!B9*IFERROR(SUM(I77:O77)/SUM(D77:O77),0)</f>
        <v>1647</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4705.7142857142862</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3264.4304555009071</v>
      </c>
      <c r="C78" s="691">
        <f>SUM(C72:C77)</f>
        <v>166045.5</v>
      </c>
      <c r="D78" s="692">
        <f t="shared" ref="D78:H78" si="10">SUM(D76:D77)</f>
        <v>195347.64705882352</v>
      </c>
      <c r="E78" s="692">
        <f t="shared" si="10"/>
        <v>0</v>
      </c>
      <c r="F78" s="692">
        <f t="shared" si="10"/>
        <v>0</v>
      </c>
      <c r="G78" s="692">
        <f t="shared" si="10"/>
        <v>0</v>
      </c>
      <c r="H78" s="692">
        <f t="shared" si="10"/>
        <v>0</v>
      </c>
      <c r="I78" s="692">
        <f>SUM(I76:I77)</f>
        <v>0</v>
      </c>
      <c r="J78" s="692">
        <f>SUM(J76:J77)</f>
        <v>4705.7142857142862</v>
      </c>
      <c r="K78" s="692">
        <f t="shared" ref="K78:L78" si="11">SUM(K76:K77)</f>
        <v>0</v>
      </c>
      <c r="L78" s="692">
        <f t="shared" si="11"/>
        <v>0</v>
      </c>
      <c r="M78" s="692">
        <f>SUM(M76:M77)</f>
        <v>0</v>
      </c>
      <c r="N78" s="692">
        <f>SUM(N76:N77)</f>
        <v>0</v>
      </c>
      <c r="O78" s="800">
        <f>SUM(O76:O77)</f>
        <v>0</v>
      </c>
      <c r="P78" s="693">
        <v>0</v>
      </c>
      <c r="Q78" s="693">
        <f>SUM(Q76:Q77)</f>
        <v>39460.224705882356</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237207.85714285716</v>
      </c>
      <c r="D87" s="713">
        <f>'lokale energieproductie'!C17</f>
        <v>279068.06722689077</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56371.749579831936</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237207.85714285716</v>
      </c>
      <c r="D90" s="691">
        <f t="shared" ref="D90:H90" si="12">SUM(D87:D89)</f>
        <v>279068.06722689077</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56371.749579831936</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13638.953684663506</v>
      </c>
      <c r="C4" s="445">
        <f>huishoudens!C8</f>
        <v>0</v>
      </c>
      <c r="D4" s="445">
        <f>huishoudens!D8</f>
        <v>39236.01115005208</v>
      </c>
      <c r="E4" s="445">
        <f>huishoudens!E8</f>
        <v>508.26542458666654</v>
      </c>
      <c r="F4" s="445">
        <f>huishoudens!F8</f>
        <v>17349.333093727688</v>
      </c>
      <c r="G4" s="445">
        <f>huishoudens!G8</f>
        <v>0</v>
      </c>
      <c r="H4" s="445">
        <f>huishoudens!H8</f>
        <v>0</v>
      </c>
      <c r="I4" s="445">
        <f>huishoudens!I8</f>
        <v>0</v>
      </c>
      <c r="J4" s="445">
        <f>huishoudens!J8</f>
        <v>390.66299572892166</v>
      </c>
      <c r="K4" s="445">
        <f>huishoudens!K8</f>
        <v>0</v>
      </c>
      <c r="L4" s="445">
        <f>huishoudens!L8</f>
        <v>0</v>
      </c>
      <c r="M4" s="445">
        <f>huishoudens!M8</f>
        <v>0</v>
      </c>
      <c r="N4" s="445">
        <f>huishoudens!N8</f>
        <v>3663.3836077521423</v>
      </c>
      <c r="O4" s="445">
        <f>huishoudens!O8</f>
        <v>35.956666666666671</v>
      </c>
      <c r="P4" s="446">
        <f>huishoudens!P8</f>
        <v>38.133333333333333</v>
      </c>
      <c r="Q4" s="447">
        <f>SUM(B4:P4)</f>
        <v>74860.699956511002</v>
      </c>
    </row>
    <row r="5" spans="1:17">
      <c r="A5" s="444" t="s">
        <v>149</v>
      </c>
      <c r="B5" s="445">
        <f ca="1">tertiair!B16</f>
        <v>15728.404</v>
      </c>
      <c r="C5" s="445">
        <f ca="1">tertiair!C16</f>
        <v>0</v>
      </c>
      <c r="D5" s="445">
        <f ca="1">tertiair!D16</f>
        <v>19405.474813210636</v>
      </c>
      <c r="E5" s="445">
        <f>tertiair!E16</f>
        <v>288.76077114094693</v>
      </c>
      <c r="F5" s="445">
        <f ca="1">tertiair!F16</f>
        <v>2683.3727544887602</v>
      </c>
      <c r="G5" s="445">
        <f>tertiair!G16</f>
        <v>0</v>
      </c>
      <c r="H5" s="445">
        <f>tertiair!H16</f>
        <v>0</v>
      </c>
      <c r="I5" s="445">
        <f>tertiair!I16</f>
        <v>0</v>
      </c>
      <c r="J5" s="445">
        <f>tertiair!J16</f>
        <v>0</v>
      </c>
      <c r="K5" s="445">
        <f>tertiair!K16</f>
        <v>0</v>
      </c>
      <c r="L5" s="445">
        <f ca="1">tertiair!L16</f>
        <v>0</v>
      </c>
      <c r="M5" s="445">
        <f>tertiair!M16</f>
        <v>0</v>
      </c>
      <c r="N5" s="445">
        <f ca="1">tertiair!N16</f>
        <v>0</v>
      </c>
      <c r="O5" s="445">
        <f>tertiair!O16</f>
        <v>1.5633333333333335</v>
      </c>
      <c r="P5" s="446">
        <f>tertiair!P16</f>
        <v>0</v>
      </c>
      <c r="Q5" s="444">
        <f t="shared" ref="Q5:Q14" ca="1" si="0">SUM(B5:P5)</f>
        <v>38107.575672173669</v>
      </c>
    </row>
    <row r="6" spans="1:17">
      <c r="A6" s="444" t="s">
        <v>187</v>
      </c>
      <c r="B6" s="445">
        <f>'openbare verlichting'!B8</f>
        <v>342.73099999999999</v>
      </c>
      <c r="C6" s="445"/>
      <c r="D6" s="445"/>
      <c r="E6" s="445"/>
      <c r="F6" s="445"/>
      <c r="G6" s="445"/>
      <c r="H6" s="445"/>
      <c r="I6" s="445"/>
      <c r="J6" s="445"/>
      <c r="K6" s="445"/>
      <c r="L6" s="445"/>
      <c r="M6" s="445"/>
      <c r="N6" s="445"/>
      <c r="O6" s="445"/>
      <c r="P6" s="446"/>
      <c r="Q6" s="444">
        <f t="shared" si="0"/>
        <v>342.73099999999999</v>
      </c>
    </row>
    <row r="7" spans="1:17">
      <c r="A7" s="444" t="s">
        <v>105</v>
      </c>
      <c r="B7" s="445">
        <f>landbouw!B8</f>
        <v>9678.8420000000006</v>
      </c>
      <c r="C7" s="445">
        <f>landbouw!C8</f>
        <v>237207.85714285716</v>
      </c>
      <c r="D7" s="445">
        <f>landbouw!D8</f>
        <v>0</v>
      </c>
      <c r="E7" s="445">
        <f>landbouw!E8</f>
        <v>87.218647788043</v>
      </c>
      <c r="F7" s="445">
        <f>landbouw!F8</f>
        <v>36266.916168905998</v>
      </c>
      <c r="G7" s="445">
        <f>landbouw!G8</f>
        <v>0</v>
      </c>
      <c r="H7" s="445">
        <f>landbouw!H8</f>
        <v>0</v>
      </c>
      <c r="I7" s="445">
        <f>landbouw!I8</f>
        <v>0</v>
      </c>
      <c r="J7" s="445">
        <f>landbouw!J8</f>
        <v>979.45877982727256</v>
      </c>
      <c r="K7" s="445">
        <f>landbouw!K8</f>
        <v>0</v>
      </c>
      <c r="L7" s="445">
        <f>landbouw!L8</f>
        <v>0</v>
      </c>
      <c r="M7" s="445">
        <f>landbouw!M8</f>
        <v>0</v>
      </c>
      <c r="N7" s="445">
        <f>landbouw!N8</f>
        <v>0</v>
      </c>
      <c r="O7" s="445">
        <f>landbouw!O8</f>
        <v>0</v>
      </c>
      <c r="P7" s="446">
        <f>landbouw!P8</f>
        <v>0</v>
      </c>
      <c r="Q7" s="444">
        <f t="shared" si="0"/>
        <v>284220.29273937846</v>
      </c>
    </row>
    <row r="8" spans="1:17">
      <c r="A8" s="444" t="s">
        <v>613</v>
      </c>
      <c r="B8" s="445">
        <f>industrie!B18</f>
        <v>1570.0519999999999</v>
      </c>
      <c r="C8" s="445">
        <f>industrie!C18</f>
        <v>0</v>
      </c>
      <c r="D8" s="445">
        <f>industrie!D18</f>
        <v>1240.5168047767165</v>
      </c>
      <c r="E8" s="445">
        <f>industrie!E18</f>
        <v>18.294548047481676</v>
      </c>
      <c r="F8" s="445">
        <f>industrie!F18</f>
        <v>648.59709815579276</v>
      </c>
      <c r="G8" s="445">
        <f>industrie!G18</f>
        <v>0</v>
      </c>
      <c r="H8" s="445">
        <f>industrie!H18</f>
        <v>0</v>
      </c>
      <c r="I8" s="445">
        <f>industrie!I18</f>
        <v>0</v>
      </c>
      <c r="J8" s="445">
        <f>industrie!J18</f>
        <v>13.390142971468951</v>
      </c>
      <c r="K8" s="445">
        <f>industrie!K18</f>
        <v>0</v>
      </c>
      <c r="L8" s="445">
        <f>industrie!L18</f>
        <v>0</v>
      </c>
      <c r="M8" s="445">
        <f>industrie!M18</f>
        <v>0</v>
      </c>
      <c r="N8" s="445">
        <f>industrie!N18</f>
        <v>57.528569906984814</v>
      </c>
      <c r="O8" s="445">
        <f>industrie!O18</f>
        <v>0</v>
      </c>
      <c r="P8" s="446">
        <f>industrie!P18</f>
        <v>0</v>
      </c>
      <c r="Q8" s="444">
        <f t="shared" si="0"/>
        <v>3548.3791638584448</v>
      </c>
    </row>
    <row r="9" spans="1:17" s="450" customFormat="1">
      <c r="A9" s="448" t="s">
        <v>555</v>
      </c>
      <c r="B9" s="449">
        <f>transport!B14</f>
        <v>0.57689171546130802</v>
      </c>
      <c r="C9" s="449">
        <f>transport!C14</f>
        <v>0</v>
      </c>
      <c r="D9" s="449">
        <f>transport!D14</f>
        <v>1.9487069129760621</v>
      </c>
      <c r="E9" s="449">
        <f>transport!E14</f>
        <v>199.58632535297221</v>
      </c>
      <c r="F9" s="449">
        <f>transport!F14</f>
        <v>0</v>
      </c>
      <c r="G9" s="449">
        <f>transport!G14</f>
        <v>35186.919181543519</v>
      </c>
      <c r="H9" s="449">
        <f>transport!H14</f>
        <v>6696.6284658995573</v>
      </c>
      <c r="I9" s="449">
        <f>transport!I14</f>
        <v>0</v>
      </c>
      <c r="J9" s="449">
        <f>transport!J14</f>
        <v>0</v>
      </c>
      <c r="K9" s="449">
        <f>transport!K14</f>
        <v>0</v>
      </c>
      <c r="L9" s="449">
        <f>transport!L14</f>
        <v>0</v>
      </c>
      <c r="M9" s="449">
        <f>transport!M14</f>
        <v>1824.0362885850857</v>
      </c>
      <c r="N9" s="449">
        <f>transport!N14</f>
        <v>0</v>
      </c>
      <c r="O9" s="449">
        <f>transport!O14</f>
        <v>0</v>
      </c>
      <c r="P9" s="449">
        <f>transport!P14</f>
        <v>0</v>
      </c>
      <c r="Q9" s="448">
        <f>SUM(B9:P9)</f>
        <v>43909.695860009568</v>
      </c>
    </row>
    <row r="10" spans="1:17">
      <c r="A10" s="444" t="s">
        <v>545</v>
      </c>
      <c r="B10" s="445">
        <f>transport!B54</f>
        <v>4.3634080144944418</v>
      </c>
      <c r="C10" s="445">
        <f>transport!C54</f>
        <v>0</v>
      </c>
      <c r="D10" s="445">
        <f>transport!D54</f>
        <v>0</v>
      </c>
      <c r="E10" s="445">
        <f>transport!E54</f>
        <v>0</v>
      </c>
      <c r="F10" s="445">
        <f>transport!F54</f>
        <v>0</v>
      </c>
      <c r="G10" s="445">
        <f>transport!G54</f>
        <v>946.59756074616155</v>
      </c>
      <c r="H10" s="445">
        <f>transport!H54</f>
        <v>0</v>
      </c>
      <c r="I10" s="445">
        <f>transport!I54</f>
        <v>0</v>
      </c>
      <c r="J10" s="445">
        <f>transport!J54</f>
        <v>0</v>
      </c>
      <c r="K10" s="445">
        <f>transport!K54</f>
        <v>0</v>
      </c>
      <c r="L10" s="445">
        <f>transport!L54</f>
        <v>0</v>
      </c>
      <c r="M10" s="445">
        <f>transport!M54</f>
        <v>40.529671434190767</v>
      </c>
      <c r="N10" s="445">
        <f>transport!N54</f>
        <v>0</v>
      </c>
      <c r="O10" s="445">
        <f>transport!O54</f>
        <v>0</v>
      </c>
      <c r="P10" s="446">
        <f>transport!P54</f>
        <v>0</v>
      </c>
      <c r="Q10" s="444">
        <f t="shared" si="0"/>
        <v>991.49064019484672</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0</v>
      </c>
      <c r="C14" s="452"/>
      <c r="D14" s="452">
        <f>'SEAP template'!E25</f>
        <v>436.25324404991596</v>
      </c>
      <c r="E14" s="452"/>
      <c r="F14" s="452"/>
      <c r="G14" s="452"/>
      <c r="H14" s="452"/>
      <c r="I14" s="452"/>
      <c r="J14" s="452"/>
      <c r="K14" s="452"/>
      <c r="L14" s="452"/>
      <c r="M14" s="452"/>
      <c r="N14" s="452"/>
      <c r="O14" s="452"/>
      <c r="P14" s="453"/>
      <c r="Q14" s="444">
        <f t="shared" si="0"/>
        <v>436.25324404991596</v>
      </c>
    </row>
    <row r="15" spans="1:17" s="457" customFormat="1">
      <c r="A15" s="454" t="s">
        <v>549</v>
      </c>
      <c r="B15" s="455">
        <f ca="1">SUM(B4:B14)</f>
        <v>40963.922984393459</v>
      </c>
      <c r="C15" s="455">
        <f t="shared" ref="C15:Q15" ca="1" si="1">SUM(C4:C14)</f>
        <v>237207.85714285716</v>
      </c>
      <c r="D15" s="455">
        <f t="shared" ca="1" si="1"/>
        <v>60320.204719002322</v>
      </c>
      <c r="E15" s="455">
        <f t="shared" si="1"/>
        <v>1102.1257169161104</v>
      </c>
      <c r="F15" s="455">
        <f t="shared" ca="1" si="1"/>
        <v>56948.219115278232</v>
      </c>
      <c r="G15" s="455">
        <f t="shared" si="1"/>
        <v>36133.516742289677</v>
      </c>
      <c r="H15" s="455">
        <f t="shared" si="1"/>
        <v>6696.6284658995573</v>
      </c>
      <c r="I15" s="455">
        <f t="shared" si="1"/>
        <v>0</v>
      </c>
      <c r="J15" s="455">
        <f t="shared" si="1"/>
        <v>1383.5119185276633</v>
      </c>
      <c r="K15" s="455">
        <f t="shared" si="1"/>
        <v>0</v>
      </c>
      <c r="L15" s="455">
        <f t="shared" ca="1" si="1"/>
        <v>0</v>
      </c>
      <c r="M15" s="455">
        <f t="shared" si="1"/>
        <v>1864.5659600192764</v>
      </c>
      <c r="N15" s="455">
        <f t="shared" ca="1" si="1"/>
        <v>3720.9121776591273</v>
      </c>
      <c r="O15" s="455">
        <f t="shared" si="1"/>
        <v>37.520000000000003</v>
      </c>
      <c r="P15" s="455">
        <f t="shared" si="1"/>
        <v>38.133333333333333</v>
      </c>
      <c r="Q15" s="455">
        <f t="shared" ca="1" si="1"/>
        <v>446417.11827617587</v>
      </c>
    </row>
    <row r="17" spans="1:17">
      <c r="A17" s="458" t="s">
        <v>550</v>
      </c>
      <c r="B17" s="725">
        <f ca="1">huishoudens!B10</f>
        <v>0.23306503404567602</v>
      </c>
      <c r="C17" s="725">
        <f ca="1">huishoudens!C10</f>
        <v>0.23764705882352941</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3178.7632048634982</v>
      </c>
      <c r="C22" s="445">
        <f t="shared" ref="C22:C32" ca="1" si="3">C4*$C$17</f>
        <v>0</v>
      </c>
      <c r="D22" s="445">
        <f t="shared" ref="D22:D32" si="4">D4*$D$17</f>
        <v>7925.6742523105204</v>
      </c>
      <c r="E22" s="445">
        <f t="shared" ref="E22:E32" si="5">E4*$E$17</f>
        <v>115.3762513811733</v>
      </c>
      <c r="F22" s="445">
        <f t="shared" ref="F22:F32" si="6">F4*$F$17</f>
        <v>4632.2719360252931</v>
      </c>
      <c r="G22" s="445">
        <f t="shared" ref="G22:G32" si="7">G4*$G$17</f>
        <v>0</v>
      </c>
      <c r="H22" s="445">
        <f t="shared" ref="H22:H32" si="8">H4*$H$17</f>
        <v>0</v>
      </c>
      <c r="I22" s="445">
        <f t="shared" ref="I22:I32" si="9">I4*$I$17</f>
        <v>0</v>
      </c>
      <c r="J22" s="445">
        <f t="shared" ref="J22:J32" si="10">J4*$J$17</f>
        <v>138.29470048803827</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15990.380345068525</v>
      </c>
    </row>
    <row r="23" spans="1:17">
      <c r="A23" s="444" t="s">
        <v>149</v>
      </c>
      <c r="B23" s="445">
        <f t="shared" ca="1" si="2"/>
        <v>3665.741013744147</v>
      </c>
      <c r="C23" s="445">
        <f t="shared" ca="1" si="3"/>
        <v>0</v>
      </c>
      <c r="D23" s="445">
        <f t="shared" ca="1" si="4"/>
        <v>3919.9059122685489</v>
      </c>
      <c r="E23" s="445">
        <f t="shared" si="5"/>
        <v>65.548695048994958</v>
      </c>
      <c r="F23" s="445">
        <f t="shared" ca="1" si="6"/>
        <v>716.46052544849897</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8367.6561465101895</v>
      </c>
    </row>
    <row r="24" spans="1:17">
      <c r="A24" s="444" t="s">
        <v>187</v>
      </c>
      <c r="B24" s="445">
        <f t="shared" ca="1" si="2"/>
        <v>79.878612183508594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79.878612183508594</v>
      </c>
    </row>
    <row r="25" spans="1:17">
      <c r="A25" s="444" t="s">
        <v>105</v>
      </c>
      <c r="B25" s="445">
        <f t="shared" ca="1" si="2"/>
        <v>2255.7996402527192</v>
      </c>
      <c r="C25" s="445">
        <f t="shared" ca="1" si="3"/>
        <v>56371.749579831936</v>
      </c>
      <c r="D25" s="445">
        <f t="shared" si="4"/>
        <v>0</v>
      </c>
      <c r="E25" s="445">
        <f t="shared" si="5"/>
        <v>19.798633047885762</v>
      </c>
      <c r="F25" s="445">
        <f t="shared" si="6"/>
        <v>9683.2666170979028</v>
      </c>
      <c r="G25" s="445">
        <f t="shared" si="7"/>
        <v>0</v>
      </c>
      <c r="H25" s="445">
        <f t="shared" si="8"/>
        <v>0</v>
      </c>
      <c r="I25" s="445">
        <f t="shared" si="9"/>
        <v>0</v>
      </c>
      <c r="J25" s="445">
        <f t="shared" si="10"/>
        <v>346.72840805885448</v>
      </c>
      <c r="K25" s="445">
        <f t="shared" si="11"/>
        <v>0</v>
      </c>
      <c r="L25" s="445">
        <f t="shared" si="12"/>
        <v>0</v>
      </c>
      <c r="M25" s="445">
        <f t="shared" si="13"/>
        <v>0</v>
      </c>
      <c r="N25" s="445">
        <f t="shared" si="14"/>
        <v>0</v>
      </c>
      <c r="O25" s="445">
        <f t="shared" si="15"/>
        <v>0</v>
      </c>
      <c r="P25" s="446">
        <f t="shared" si="16"/>
        <v>0</v>
      </c>
      <c r="Q25" s="444">
        <f t="shared" ca="1" si="17"/>
        <v>68677.342878289302</v>
      </c>
    </row>
    <row r="26" spans="1:17">
      <c r="A26" s="444" t="s">
        <v>613</v>
      </c>
      <c r="B26" s="445">
        <f t="shared" ca="1" si="2"/>
        <v>365.92422283348174</v>
      </c>
      <c r="C26" s="445">
        <f t="shared" ca="1" si="3"/>
        <v>0</v>
      </c>
      <c r="D26" s="445">
        <f t="shared" si="4"/>
        <v>250.58439456489674</v>
      </c>
      <c r="E26" s="445">
        <f t="shared" si="5"/>
        <v>4.1528624067783406</v>
      </c>
      <c r="F26" s="445">
        <f t="shared" si="6"/>
        <v>173.17542520759667</v>
      </c>
      <c r="G26" s="445">
        <f t="shared" si="7"/>
        <v>0</v>
      </c>
      <c r="H26" s="445">
        <f t="shared" si="8"/>
        <v>0</v>
      </c>
      <c r="I26" s="445">
        <f t="shared" si="9"/>
        <v>0</v>
      </c>
      <c r="J26" s="445">
        <f t="shared" si="10"/>
        <v>4.7401106119000085</v>
      </c>
      <c r="K26" s="445">
        <f t="shared" si="11"/>
        <v>0</v>
      </c>
      <c r="L26" s="445">
        <f t="shared" si="12"/>
        <v>0</v>
      </c>
      <c r="M26" s="445">
        <f t="shared" si="13"/>
        <v>0</v>
      </c>
      <c r="N26" s="445">
        <f t="shared" si="14"/>
        <v>0</v>
      </c>
      <c r="O26" s="445">
        <f t="shared" si="15"/>
        <v>0</v>
      </c>
      <c r="P26" s="446">
        <f t="shared" si="16"/>
        <v>0</v>
      </c>
      <c r="Q26" s="444">
        <f t="shared" ca="1" si="17"/>
        <v>798.57701562465354</v>
      </c>
    </row>
    <row r="27" spans="1:17" s="450" customFormat="1">
      <c r="A27" s="448" t="s">
        <v>555</v>
      </c>
      <c r="B27" s="719">
        <f t="shared" ca="1" si="2"/>
        <v>0.13445328730465819</v>
      </c>
      <c r="C27" s="449">
        <f t="shared" ca="1" si="3"/>
        <v>0</v>
      </c>
      <c r="D27" s="449">
        <f t="shared" si="4"/>
        <v>0.39363879642116456</v>
      </c>
      <c r="E27" s="449">
        <f t="shared" si="5"/>
        <v>45.306095855124696</v>
      </c>
      <c r="F27" s="449">
        <f t="shared" si="6"/>
        <v>0</v>
      </c>
      <c r="G27" s="449">
        <f t="shared" si="7"/>
        <v>9394.9074214721204</v>
      </c>
      <c r="H27" s="449">
        <f t="shared" si="8"/>
        <v>1667.4604880089898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11108.20209741996</v>
      </c>
    </row>
    <row r="28" spans="1:17">
      <c r="A28" s="444" t="s">
        <v>545</v>
      </c>
      <c r="B28" s="445">
        <f t="shared" ca="1" si="2"/>
        <v>1.0169578374533228</v>
      </c>
      <c r="C28" s="445">
        <f t="shared" ca="1" si="3"/>
        <v>0</v>
      </c>
      <c r="D28" s="445">
        <f t="shared" si="4"/>
        <v>0</v>
      </c>
      <c r="E28" s="445">
        <f t="shared" si="5"/>
        <v>0</v>
      </c>
      <c r="F28" s="445">
        <f t="shared" si="6"/>
        <v>0</v>
      </c>
      <c r="G28" s="445">
        <f t="shared" si="7"/>
        <v>252.74154871922514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253.75850655667847</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0</v>
      </c>
      <c r="C32" s="445">
        <f t="shared" ca="1" si="3"/>
        <v>0</v>
      </c>
      <c r="D32" s="445">
        <f t="shared" si="4"/>
        <v>88.123155298083034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88.123155298083034</v>
      </c>
    </row>
    <row r="33" spans="1:17" s="457" customFormat="1">
      <c r="A33" s="454" t="s">
        <v>549</v>
      </c>
      <c r="B33" s="455">
        <f ca="1">SUM(B22:B32)</f>
        <v>9547.2581050021126</v>
      </c>
      <c r="C33" s="455">
        <f t="shared" ref="C33:Q33" ca="1" si="19">SUM(C22:C32)</f>
        <v>56371.749579831936</v>
      </c>
      <c r="D33" s="455">
        <f t="shared" ca="1" si="19"/>
        <v>12184.681353238469</v>
      </c>
      <c r="E33" s="455">
        <f t="shared" si="19"/>
        <v>250.18253773995707</v>
      </c>
      <c r="F33" s="455">
        <f t="shared" ca="1" si="19"/>
        <v>15205.174503779292</v>
      </c>
      <c r="G33" s="455">
        <f t="shared" si="19"/>
        <v>9647.6489701913451</v>
      </c>
      <c r="H33" s="455">
        <f t="shared" si="19"/>
        <v>1667.4604880089898</v>
      </c>
      <c r="I33" s="455">
        <f t="shared" si="19"/>
        <v>0</v>
      </c>
      <c r="J33" s="455">
        <f t="shared" si="19"/>
        <v>489.76321915879282</v>
      </c>
      <c r="K33" s="455">
        <f t="shared" si="19"/>
        <v>0</v>
      </c>
      <c r="L33" s="455">
        <f t="shared" ca="1" si="19"/>
        <v>0</v>
      </c>
      <c r="M33" s="455">
        <f t="shared" si="19"/>
        <v>0</v>
      </c>
      <c r="N33" s="455">
        <f t="shared" ca="1" si="19"/>
        <v>0</v>
      </c>
      <c r="O33" s="455">
        <f t="shared" si="19"/>
        <v>0</v>
      </c>
      <c r="P33" s="455">
        <f t="shared" si="19"/>
        <v>0</v>
      </c>
      <c r="Q33" s="455">
        <f t="shared" ca="1" si="19"/>
        <v>105363.91875695091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1617.4304555009071</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166045.5</v>
      </c>
      <c r="D8" s="963">
        <f>'SEAP template'!D76</f>
        <v>195347.64705882352</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39460.224705882356</v>
      </c>
    </row>
    <row r="9" spans="1:16">
      <c r="A9" s="966" t="s">
        <v>877</v>
      </c>
      <c r="B9" s="963">
        <f>'SEAP template'!B77</f>
        <v>1647</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4705.7142857142862</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3264.4304555009071</v>
      </c>
      <c r="C10" s="967">
        <f>SUM(C4:C9)</f>
        <v>166045.5</v>
      </c>
      <c r="D10" s="967">
        <f t="shared" ref="D10:H10" si="0">SUM(D8:D9)</f>
        <v>195347.64705882352</v>
      </c>
      <c r="E10" s="967">
        <f t="shared" si="0"/>
        <v>0</v>
      </c>
      <c r="F10" s="967">
        <f t="shared" si="0"/>
        <v>0</v>
      </c>
      <c r="G10" s="967">
        <f t="shared" si="0"/>
        <v>0</v>
      </c>
      <c r="H10" s="967">
        <f t="shared" si="0"/>
        <v>0</v>
      </c>
      <c r="I10" s="967">
        <f>SUM(I8:I9)</f>
        <v>0</v>
      </c>
      <c r="J10" s="967">
        <f>SUM(J8:J9)</f>
        <v>4705.7142857142862</v>
      </c>
      <c r="K10" s="967">
        <f t="shared" ref="K10:L10" si="1">SUM(K8:K9)</f>
        <v>0</v>
      </c>
      <c r="L10" s="967">
        <f t="shared" si="1"/>
        <v>0</v>
      </c>
      <c r="M10" s="967">
        <f>SUM(M8:M9)</f>
        <v>0</v>
      </c>
      <c r="N10" s="967">
        <f>SUM(N8:N9)</f>
        <v>0</v>
      </c>
      <c r="O10" s="967">
        <f>SUM(O8:O9)</f>
        <v>0</v>
      </c>
      <c r="P10" s="967">
        <f>SUM(P8:P9)</f>
        <v>39460.224705882356</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0.23306503404567602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237207.85714285716</v>
      </c>
      <c r="D17" s="964">
        <f>'SEAP template'!D87</f>
        <v>279068.06722689077</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56371.749579831936</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237207.85714285716</v>
      </c>
      <c r="D20" s="967">
        <f t="shared" ref="D20:H20" si="2">SUM(D17:D19)</f>
        <v>279068.06722689077</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56371.749579831936</v>
      </c>
    </row>
    <row r="22" spans="1:16">
      <c r="A22" s="458" t="s">
        <v>885</v>
      </c>
      <c r="B22" s="725" t="s">
        <v>879</v>
      </c>
      <c r="C22" s="725">
        <f ca="1">'EF ele_warmte'!B22</f>
        <v>0.23764705882352941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0.23306503404567602</v>
      </c>
      <c r="C17" s="494">
        <f ca="1">'EF ele_warmte'!B22</f>
        <v>0.23764705882352941</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2022-07-26T12:46:57Z</dcterms:modified>
</cp:coreProperties>
</file>