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E241D8EF-0BBA-4FB0-A7FE-AE18B30DE95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V39" i="18"/>
  <c r="U39" i="18"/>
  <c r="T39" i="18"/>
  <c r="I9" i="18"/>
  <c r="S39" i="18"/>
  <c r="E9" i="18"/>
  <c r="R39" i="18"/>
  <c r="Q39" i="18"/>
  <c r="P39" i="18"/>
  <c r="C9" i="18"/>
  <c r="O39" i="18"/>
  <c r="N39" i="18"/>
  <c r="B9" i="18"/>
  <c r="M39"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B8" i="18"/>
  <c r="M32" i="18"/>
  <c r="G22" i="18"/>
  <c r="F22" i="18"/>
  <c r="E22" i="18"/>
  <c r="D22" i="18"/>
  <c r="C22" i="18"/>
  <c r="D20" i="18"/>
  <c r="G12" i="18"/>
  <c r="F12" i="18"/>
  <c r="E12" i="18"/>
  <c r="D12" i="18"/>
  <c r="C12" i="18"/>
  <c r="L10" i="18"/>
  <c r="K10" i="18"/>
  <c r="G10" i="18"/>
  <c r="D10" i="18"/>
  <c r="B6" i="18"/>
  <c r="B5" i="18"/>
  <c r="B4" i="18"/>
  <c r="G20" i="18"/>
  <c r="K20" i="18"/>
  <c r="B48" i="18"/>
  <c r="I52" i="18"/>
  <c r="H17" i="18"/>
  <c r="J9" i="18"/>
  <c r="O9" i="18"/>
  <c r="B17" i="18"/>
  <c r="B20" i="18"/>
  <c r="C48" i="18"/>
  <c r="H51" i="18"/>
  <c r="O19" i="18"/>
  <c r="O18" i="18"/>
  <c r="L20" i="18"/>
  <c r="B10" i="18"/>
  <c r="D52"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2" i="18"/>
  <c r="C17" i="18"/>
  <c r="D87" i="14"/>
  <c r="D17" i="55"/>
  <c r="D20" i="55"/>
  <c r="L20" i="55"/>
  <c r="F52" i="18"/>
  <c r="G52" i="18"/>
  <c r="I17" i="18"/>
  <c r="J77" i="14"/>
  <c r="J9" i="55"/>
  <c r="H52" i="18"/>
  <c r="H20" i="18"/>
  <c r="M87" i="14"/>
  <c r="M17" i="55"/>
  <c r="M20" i="55"/>
  <c r="C52" i="18"/>
  <c r="E52" i="18"/>
  <c r="E17" i="18"/>
  <c r="K10" i="55"/>
  <c r="C51" i="18"/>
  <c r="E51" i="18"/>
  <c r="E8" i="18"/>
  <c r="G51" i="18"/>
  <c r="I51" i="18"/>
  <c r="H8" i="18"/>
  <c r="B51" i="18"/>
  <c r="C8" i="18"/>
  <c r="D76" i="14"/>
  <c r="D8" i="55"/>
  <c r="D10" i="55"/>
  <c r="D51" i="18"/>
  <c r="F51"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<sst xmlns="http://schemas.openxmlformats.org/spreadsheetml/2006/main" count="2533" uniqueCount="965">
  <si>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</si>
  <si>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</si>
  <si>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</si>
  <si>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</si>
  <si>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</si>
  <si>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</si>
  <si>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</si>
  <si>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</si>
  <si>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</si>
  <si>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</si>
  <si>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</si>
  <si>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</si>
  <si>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</si>
  <si>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</si>
  <si>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</si>
  <si>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</si>
  <si>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</si>
  <si>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</si>
  <si>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</si>
  <si>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</si>
  <si>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</si>
  <si>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</si>
  <si>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</si>
  <si>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</si>
  <si>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</si>
  <si>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</si>
  <si>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</si>
  <si>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</si>
  <si>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</si>
  <si>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</si>
  <si>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</si>
  <si>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</si>
  <si>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</si>
  <si>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</si>
  <si>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</si>
  <si>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</si>
  <si>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</si>
  <si>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</si>
  <si>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</si>
  <si>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</si>
  <si>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</si>
  <si>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</si>
  <si>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</si>
  <si>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</si>
  <si>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</si>
  <si>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</si>
  <si>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</si>
  <si>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</si>
  <si>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</si>
  <si>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</si>
  <si>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</si>
  <si>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</si>
  <si>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</si>
  <si>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</si>
  <si>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</si>
  <si>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</si>
  <si>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</si>
  <si>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</si>
  <si>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</si>
  <si>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</si>
  <si>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</si>
  <si>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</si>
  <si>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</si>
  <si>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</si>
  <si>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</si>
  <si>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</si>
  <si>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</si>
  <si>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</si>
  <si>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</si>
  <si>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</si>
  <si>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</si>
  <si>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</si>
  <si>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</si>
  <si>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</si>
  <si>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</si>
  <si>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</si>
  <si>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</si>
  <si>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</si>
  <si>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</si>
  <si>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</si>
  <si>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</si>
  <si>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</si>
  <si>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</si>
  <si>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</si>
  <si>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</si>
  <si>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</si>
  <si>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</si>
  <si>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</si>
  <si>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</si>
  <si>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</si>
  <si>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</si>
  <si>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</si>
  <si>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</si>
  <si>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</si>
  <si>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</si>
  <si>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</si>
  <si>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</si>
  <si>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</si>
  <si>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</si>
  <si>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</si>
  <si>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</si>
  <si>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</si>
  <si>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</si>
  <si>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</si>
  <si>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</si>
  <si>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</si>
  <si>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</si>
  <si>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</si>
  <si>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</si>
  <si>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</si>
  <si>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</si>
  <si>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</si>
  <si>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</si>
  <si>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</si>
  <si>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</si>
  <si>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</si>
  <si>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</si>
  <si>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</si>
  <si>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</si>
  <si>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</si>
  <si>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</si>
  <si>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</si>
  <si>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</si>
  <si>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</si>
  <si>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</si>
  <si>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</si>
  <si>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</si>
  <si>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</si>
  <si>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</si>
  <si>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</si>
  <si>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</si>
  <si>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</si>
  <si>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</si>
  <si>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</si>
  <si>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</si>
  <si>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</si>
  <si>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</si>
  <si>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</si>
  <si>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</si>
  <si>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</si>
  <si>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</si>
  <si>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</si>
  <si>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</si>
  <si>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</si>
  <si>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</si>
  <si>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</si>
  <si>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</si>
  <si>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</si>
  <si>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</si>
  <si>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</si>
  <si>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</si>
  <si>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</si>
  <si>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</si>
  <si>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</si>
  <si>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</si>
  <si>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</si>
  <si>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</si>
  <si>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</si>
  <si>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</si>
  <si>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</si>
  <si>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</si>
  <si>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</si>
  <si>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</si>
  <si>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</si>
  <si>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</si>
  <si>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</si>
  <si>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</si>
  <si>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</si>
  <si>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</si>
  <si>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</si>
  <si>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</si>
  <si>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</si>
  <si>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</si>
  <si>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</si>
  <si>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</si>
  <si>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</si>
  <si>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</si>
  <si>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</si>
  <si>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</si>
  <si>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</si>
  <si>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</si>
  <si>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</si>
  <si>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</si>
  <si>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</si>
  <si>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</si>
  <si>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</si>
  <si>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</si>
  <si>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</si>
  <si>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</si>
  <si>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</si>
  <si>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</si>
  <si>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</si>
  <si>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</si>
  <si>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</si>
  <si>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</si>
  <si>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</si>
  <si>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</si>
  <si>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</si>
  <si>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</si>
  <si>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</si>
  <si>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</si>
  <si>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</si>
  <si>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</si>
  <si>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</si>
  <si>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</si>
  <si>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</si>
  <si>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</si>
  <si>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</si>
  <si>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</si>
  <si>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</si>
  <si>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</si>
  <si>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</si>
  <si>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</si>
  <si>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</si>
  <si>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</si>
  <si>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</si>
  <si>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</si>
  <si>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</si>
  <si>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</si>
  <si>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</si>
  <si>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</si>
  <si>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</si>
  <si>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</si>
  <si>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</si>
  <si>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</si>
  <si>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</si>
  <si>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</si>
  <si>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</si>
  <si>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</si>
  <si>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</si>
  <si>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</si>
  <si>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</si>
  <si>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</si>
  <si>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</si>
  <si>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</si>
  <si>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</si>
  <si>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</si>
  <si>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</si>
  <si>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</si>
  <si>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</si>
  <si>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</si>
  <si>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</si>
  <si>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</si>
  <si>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</si>
  <si>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</si>
  <si>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</si>
  <si>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</si>
  <si>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</si>
  <si>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</si>
  <si>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</si>
  <si>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</si>
  <si>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</si>
  <si>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</si>
  <si>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</si>
  <si>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</si>
  <si>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</si>
  <si>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</si>
  <si>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</si>
  <si>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</si>
  <si>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</si>
  <si>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</si>
  <si>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</si>
  <si>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</si>
  <si>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</si>
  <si>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</si>
  <si>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</si>
  <si>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</si>
  <si>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</si>
  <si>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</si>
  <si>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</si>
  <si>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</si>
  <si>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</si>
  <si>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</si>
  <si>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</si>
  <si>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</si>
  <si>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</si>
  <si>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</si>
  <si>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</si>
  <si>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</si>
  <si>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</si>
  <si>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</si>
  <si>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</si>
  <si>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</si>
  <si>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</si>
  <si>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</si>
  <si>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</si>
  <si>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</si>
  <si>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</si>
  <si>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</si>
  <si>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</si>
  <si>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</si>
  <si>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</si>
  <si>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</si>
  <si>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</si>
  <si>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</si>
  <si>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</si>
  <si>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</si>
  <si>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</si>
  <si>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</si>
  <si>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</si>
  <si>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</si>
  <si>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</si>
  <si>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</si>
  <si>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</si>
  <si>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</si>
  <si>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</si>
  <si>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</si>
  <si>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</si>
  <si>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</si>
  <si>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</si>
  <si>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</si>
  <si>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</si>
  <si>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</si>
  <si>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</si>
  <si>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</si>
  <si>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</si>
  <si>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</si>
  <si>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</si>
  <si>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</si>
  <si>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</si>
  <si>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</si>
  <si>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</si>
  <si>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</si>
  <si>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</si>
  <si>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</si>
  <si>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</si>
  <si>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</si>
  <si>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</si>
  <si>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</si>
  <si>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</si>
  <si>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</si>
  <si>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</si>
  <si>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</si>
  <si>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</si>
  <si>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</si>
  <si>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</si>
  <si>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</si>
  <si>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</si>
  <si>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</si>
  <si>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</si>
  <si>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</si>
  <si>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</si>
  <si>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</si>
  <si>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</si>
  <si>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</si>
  <si>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</si>
  <si>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</si>
  <si>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</si>
  <si>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</si>
  <si>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</si>
  <si>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</si>
  <si>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</si>
  <si>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</si>
  <si>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</si>
  <si>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</si>
  <si>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</si>
  <si>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</si>
  <si>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</si>
  <si>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</si>
  <si>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</si>
  <si>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</si>
  <si>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</si>
  <si>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</si>
  <si>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</si>
  <si>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</si>
  <si>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</si>
  <si>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</si>
  <si>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</si>
  <si>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</si>
  <si>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</si>
  <si>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</si>
  <si>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</si>
  <si>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</si>
  <si>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</si>
  <si>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</si>
  <si>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</si>
  <si>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</si>
  <si>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</si>
  <si>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</si>
  <si>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</si>
  <si>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</si>
  <si>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</si>
  <si>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</si>
  <si>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</si>
  <si>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</si>
  <si>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</si>
  <si>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</si>
  <si>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</si>
  <si>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</si>
  <si>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</si>
  <si>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</si>
  <si>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</si>
  <si>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</si>
  <si>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</si>
  <si>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</si>
  <si>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</si>
  <si>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</si>
  <si>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</si>
  <si>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</si>
  <si>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</si>
  <si>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</si>
  <si>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</si>
  <si>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</si>
  <si>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</si>
  <si>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</si>
  <si>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</si>
  <si>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</si>
  <si>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</si>
  <si>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</si>
  <si>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</si>
  <si>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</si>
  <si>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</si>
  <si>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</si>
  <si>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</si>
  <si>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</si>
  <si>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</si>
  <si>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</si>
  <si>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</si>
  <si>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</si>
  <si>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</si>
  <si>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</si>
  <si>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</si>
  <si>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</si>
  <si>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</si>
  <si>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</si>
  <si>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</si>
  <si>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</si>
  <si>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</si>
  <si>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</si>
  <si>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</si>
  <si>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</si>
  <si>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</si>
  <si>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</si>
  <si>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</si>
  <si>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</si>
  <si>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</si>
  <si>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</si>
  <si>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</si>
  <si>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</si>
  <si>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</si>
  <si>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</si>
  <si>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</si>
  <si>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</si>
  <si>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</si>
  <si>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</si>
  <si>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</si>
  <si>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</si>
  <si>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</si>
  <si>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</si>
  <si>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</si>
  <si>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</si>
  <si>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</si>
  <si>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</si>
  <si>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</si>
  <si>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</si>
  <si>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</si>
  <si>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</si>
  <si>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</si>
  <si>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</si>
  <si>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</si>
  <si>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</si>
  <si>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</si>
  <si>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</si>
  <si>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</si>
  <si>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</si>
  <si>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</si>
  <si>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</si>
  <si>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</si>
  <si>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</si>
  <si>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</si>
  <si>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</si>
  <si>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</si>
  <si>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</si>
  <si>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</si>
  <si>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</si>
  <si>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</si>
  <si>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</si>
  <si>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</si>
  <si>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</si>
  <si>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</si>
  <si>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</si>
  <si>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</si>
  <si>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</si>
  <si>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</si>
  <si>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</si>
  <si>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</si>
  <si>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</si>
  <si>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</si>
  <si>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</si>
  <si>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</si>
  <si>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</si>
  <si>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</si>
  <si>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</si>
  <si>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</si>
  <si>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</si>
  <si>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</si>
  <si>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</si>
  <si>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</si>
  <si>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</si>
  <si>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</si>
  <si>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</si>
  <si>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</si>
  <si>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</si>
  <si>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</si>
  <si>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</si>
  <si>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</si>
  <si>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</si>
  <si>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</si>
  <si>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</si>
  <si>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</si>
  <si>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</si>
  <si>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</si>
  <si>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</si>
  <si>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</si>
  <si>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</si>
  <si>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</si>
  <si>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</si>
  <si>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</si>
  <si>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</si>
  <si>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</si>
  <si>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</si>
  <si>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</si>
  <si>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</si>
  <si>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</si>
  <si>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</si>
  <si>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</si>
  <si>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</si>
  <si>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</si>
  <si>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</si>
  <si>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</si>
  <si>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</si>
  <si>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</si>
  <si>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</si>
  <si>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</si>
  <si>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</si>
  <si>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</si>
  <si>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</si>
  <si>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</si>
  <si>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</si>
  <si>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</si>
  <si>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</si>
  <si>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</si>
  <si>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</si>
  <si>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</si>
  <si>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</si>
  <si>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</si>
  <si>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</si>
  <si>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</si>
  <si>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</si>
  <si>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</si>
  <si>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</si>
  <si>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</si>
  <si>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</si>
  <si>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</si>
  <si>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</si>
  <si>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</si>
  <si>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</si>
  <si>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</si>
  <si>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</si>
  <si>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</si>
  <si>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</si>
  <si>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</si>
  <si>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</si>
  <si>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</si>
  <si>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</si>
  <si>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</si>
  <si>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</si>
  <si>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</si>
  <si>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</si>
  <si>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</si>
  <si>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</si>
  <si>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</si>
  <si>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</si>
  <si>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</si>
  <si>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</si>
  <si>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</si>
  <si>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</si>
  <si>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</si>
  <si>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</si>
  <si>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</si>
  <si>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</si>
  <si>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</si>
  <si>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</si>
  <si>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</si>
  <si>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</si>
  <si>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</si>
  <si>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</si>
  <si>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</si>
  <si>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</si>
  <si>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</si>
  <si>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</si>
  <si>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</si>
  <si>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</si>
  <si>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</si>
  <si>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</si>
  <si>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</si>
  <si>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</si>
  <si>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</si>
  <si>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</si>
  <si>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</si>
  <si>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</si>
  <si>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</si>
  <si>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</si>
  <si>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</si>
  <si>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</si>
  <si>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</si>
  <si>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</si>
  <si>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</si>
  <si>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</si>
  <si>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</si>
  <si>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</si>
  <si>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</si>
  <si>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</si>
  <si>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</si>
  <si>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</si>
  <si>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</si>
  <si>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</si>
  <si>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</si>
  <si>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</si>
  <si>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</si>
  <si>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</si>
  <si>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</si>
  <si>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</si>
  <si>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</si>
  <si>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</si>
  <si>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</si>
  <si>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</si>
  <si>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</si>
  <si>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</si>
  <si>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</si>
  <si>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</si>
  <si>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</si>
  <si>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</si>
  <si>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</si>
  <si>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</si>
  <si>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</si>
  <si>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</si>
  <si>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</si>
  <si>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</si>
  <si>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</si>
  <si>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</si>
  <si>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</si>
  <si>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</si>
  <si>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</si>
  <si>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</si>
  <si>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</si>
  <si>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</si>
  <si>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</si>
  <si>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</si>
  <si>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</si>
  <si>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</si>
  <si>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</si>
  <si>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</si>
  <si>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</si>
  <si>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</si>
  <si>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</si>
  <si>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</si>
  <si>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</si>
  <si>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</si>
  <si>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</si>
  <si>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</si>
  <si>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</si>
  <si>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</si>
  <si>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</si>
  <si>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</si>
  <si>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</si>
  <si>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</si>
  <si>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</si>
  <si>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</si>
  <si>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</si>
  <si>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</si>
  <si>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</si>
  <si>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</si>
  <si>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</si>
  <si>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</si>
  <si>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</si>
  <si>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</si>
  <si>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</si>
  <si>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</si>
  <si>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</si>
  <si>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</si>
  <si>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</si>
  <si>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</si>
  <si>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</si>
  <si>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</si>
  <si>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</si>
  <si>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</si>
  <si>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</si>
  <si>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</si>
  <si>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</si>
  <si>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</si>
  <si>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</si>
  <si>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</si>
  <si>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</si>
  <si>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</si>
  <si>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</si>
  <si>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</si>
  <si>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</si>
  <si>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</si>
  <si>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</si>
  <si>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</si>
  <si>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</si>
  <si>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</si>
  <si>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</si>
  <si>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</si>
  <si>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</si>
  <si>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</si>
  <si>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</si>
  <si>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</si>
  <si>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</si>
  <si>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</si>
  <si>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</si>
  <si>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</si>
  <si>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</si>
  <si>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</si>
  <si>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</si>
  <si>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</si>
  <si>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</si>
  <si>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</si>
  <si>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</si>
  <si>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</si>
  <si>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</si>
  <si>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</si>
  <si>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</si>
  <si>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</si>
  <si>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</si>
  <si>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</si>
  <si>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</si>
  <si>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</si>
  <si>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</si>
  <si>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</si>
  <si>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</si>
  <si>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</si>
  <si>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</si>
  <si>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</si>
  <si>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</si>
  <si>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</si>
  <si>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</si>
  <si>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</si>
  <si>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</si>
  <si>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</si>
  <si>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</si>
  <si>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</si>
  <si>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</si>
  <si>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</si>
  <si>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</si>
  <si>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</si>
  <si>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</si>
  <si>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</si>
  <si>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</si>
  <si>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</si>
  <si>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</si>
  <si>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</si>
  <si>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</si>
  <si>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</si>
  <si>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</si>
  <si>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</si>
  <si>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</si>
  <si>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</si>
  <si>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</si>
  <si>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</si>
  <si>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</si>
  <si>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</si>
  <si>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</si>
  <si>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</si>
  <si>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</si>
  <si>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</si>
  <si>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</si>
  <si>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</si>
  <si>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</si>
  <si>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</si>
  <si>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</si>
  <si>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</si>
  <si>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</si>
  <si>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</si>
  <si>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</si>
  <si>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</si>
  <si>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</si>
  <si>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</si>
  <si>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</si>
  <si>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</si>
  <si>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</si>
  <si>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</si>
  <si>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</si>
  <si>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</si>
  <si>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</si>
  <si>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</si>
  <si>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</si>
  <si>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</si>
  <si>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</si>
  <si>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</si>
  <si>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</si>
  <si>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</si>
  <si>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</si>
  <si>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</si>
  <si>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</si>
  <si>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</si>
  <si>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</si>
  <si>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</si>
  <si>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</si>
  <si>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</si>
  <si>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</si>
  <si>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</si>
  <si>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</si>
  <si>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</si>
  <si>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</si>
  <si>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</si>
  <si>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</si>
  <si>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</si>
  <si>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</si>
  <si>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</si>
  <si>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</si>
  <si>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</si>
  <si>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</si>
  <si>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</si>
  <si>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</si>
  <si>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</si>
  <si>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</si>
  <si>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</si>
  <si>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</si>
  <si>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</si>
  <si>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</si>
  <si>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</si>
  <si>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</si>
  <si>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</si>
  <si>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</si>
  <si>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</si>
  <si>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</si>
  <si>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</si>
  <si>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</si>
  <si>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</si>
  <si>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</si>
  <si>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</si>
  <si>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</si>
  <si>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</si>
  <si>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</si>
  <si>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</si>
  <si>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</si>
  <si>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</si>
  <si>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</si>
  <si>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</si>
  <si>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</si>
  <si>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</si>
  <si>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</si>
  <si>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</si>
  <si>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</si>
  <si>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</si>
  <si>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</si>
  <si>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</si>
  <si>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</si>
  <si>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</si>
  <si>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</si>
  <si>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</si>
  <si>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</si>
  <si>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</si>
  <si>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</si>
  <si>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</si>
  <si>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</si>
  <si>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</si>
  <si>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</si>
  <si>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</si>
  <si>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</si>
  <si>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</si>
  <si>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</si>
  <si>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</si>
  <si>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</si>
  <si>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</si>
  <si>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</si>
  <si>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</si>
  <si>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</si>
  <si>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</si>
  <si>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</si>
  <si>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</si>
  <si>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</si>
  <si>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</si>
  <si>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</si>
  <si>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</si>
  <si>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</si>
  <si>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</si>
  <si>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</si>
  <si>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</si>
  <si>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</si>
  <si>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</si>
  <si>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</si>
  <si>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</si>
  <si>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</si>
  <si>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</si>
  <si>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</si>
  <si>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</si>
  <si>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</si>
  <si>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</si>
  <si>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</si>
  <si>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</si>
  <si>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</si>
  <si>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</si>
  <si>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</si>
  <si>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</si>
  <si>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</si>
  <si>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</si>
  <si>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</si>
  <si>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</si>
  <si>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</si>
  <si>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</si>
  <si>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</si>
  <si>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</si>
  <si>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</si>
  <si>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</si>
  <si>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</si>
  <si>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</si>
  <si>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</si>
  <si>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</si>
  <si>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</si>
  <si>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</si>
  <si>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</si>
  <si>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</si>
  <si>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</si>
  <si>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</si>
  <si>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</si>
  <si>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</si>
  <si>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</si>
  <si>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</si>
  <si>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</si>
  <si>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</si>
  <si>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</si>
  <si>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</si>
  <si>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</si>
  <si>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</si>
  <si>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</si>
  <si>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</si>
  <si>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</si>
  <si>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</si>
  <si>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</si>
  <si>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</si>
  <si>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</si>
  <si>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</si>
  <si>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</si>
  <si>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</si>
  <si>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</si>
  <si>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</si>
  <si>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</si>
  <si>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</si>
  <si>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</si>
  <si>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</si>
  <si>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</si>
  <si>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</si>
  <si>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</si>
  <si>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</si>
  <si>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</si>
  <si>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</si>
  <si>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</si>
  <si>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</si>
  <si>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</si>
  <si>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</si>
  <si>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</si>
  <si>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</si>
  <si>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</si>
  <si>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</si>
  <si>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11053</t>
  </si>
  <si>
    <t>WUUSTWEZEL</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</si>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</sst>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3A9DE236-1049-42F1-B8EB-C099C5CA54BF}"/>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11053</v>
      </c>
      <c r="B6" s="382"/>
      <c r="C6" s="383"/>
    </row>
    <row r="7" spans="1:7" s="380" customFormat="1" ht="15.75" customHeight="1">
      <c r="A7" s="384" t="str">
        <f>txtMunicipality</f>
        <v>WUUSTWEZEL</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0.21938014827746322</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0.21938014827746322</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7480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5911</v>
      </c>
      <c r="C14" s="324"/>
      <c r="D14" s="324"/>
      <c r="E14" s="324"/>
      <c r="F14" s="324"/>
    </row>
    <row r="15" spans="1:6">
      <c r="A15" s="1235" t="s">
        <v>177</v>
      </c>
      <c r="B15" s="1236">
        <v>4880</v>
      </c>
      <c r="C15" s="324"/>
      <c r="D15" s="324"/>
      <c r="E15" s="324"/>
      <c r="F15" s="324"/>
    </row>
    <row r="16" spans="1:6">
      <c r="A16" s="1235" t="s">
        <v>6</v>
      </c>
      <c r="B16" s="1236">
        <v>6943</v>
      </c>
      <c r="C16" s="324"/>
      <c r="D16" s="324"/>
      <c r="E16" s="324"/>
      <c r="F16" s="324"/>
    </row>
    <row r="17" spans="1:6">
      <c r="A17" s="1235" t="s">
        <v>7</v>
      </c>
      <c r="B17" s="1236">
        <v>1021</v>
      </c>
      <c r="C17" s="324"/>
      <c r="D17" s="324"/>
      <c r="E17" s="324"/>
      <c r="F17" s="324"/>
    </row>
    <row r="18" spans="1:6">
      <c r="A18" s="1235" t="s">
        <v>8</v>
      </c>
      <c r="B18" s="1236">
        <v>3984</v>
      </c>
      <c r="C18" s="324"/>
      <c r="D18" s="324"/>
      <c r="E18" s="324"/>
      <c r="F18" s="324"/>
    </row>
    <row r="19" spans="1:6">
      <c r="A19" s="1235" t="s">
        <v>9</v>
      </c>
      <c r="B19" s="1236">
        <v>3914</v>
      </c>
      <c r="C19" s="324"/>
      <c r="D19" s="324"/>
      <c r="E19" s="324"/>
      <c r="F19" s="324"/>
    </row>
    <row r="20" spans="1:6">
      <c r="A20" s="1235" t="s">
        <v>10</v>
      </c>
      <c r="B20" s="1236">
        <v>2377</v>
      </c>
      <c r="C20" s="324"/>
      <c r="D20" s="324"/>
      <c r="E20" s="324"/>
      <c r="F20" s="324"/>
    </row>
    <row r="21" spans="1:6">
      <c r="A21" s="1235" t="s">
        <v>11</v>
      </c>
      <c r="B21" s="1236">
        <v>42232</v>
      </c>
      <c r="C21" s="324"/>
      <c r="D21" s="324"/>
      <c r="E21" s="324"/>
      <c r="F21" s="324"/>
    </row>
    <row r="22" spans="1:6">
      <c r="A22" s="1235" t="s">
        <v>12</v>
      </c>
      <c r="B22" s="1236">
        <v>95700</v>
      </c>
      <c r="C22" s="324"/>
      <c r="D22" s="324"/>
      <c r="E22" s="324"/>
      <c r="F22" s="324"/>
    </row>
    <row r="23" spans="1:6">
      <c r="A23" s="1235" t="s">
        <v>13</v>
      </c>
      <c r="B23" s="1236">
        <v>1758</v>
      </c>
      <c r="C23" s="324"/>
      <c r="D23" s="324"/>
      <c r="E23" s="324"/>
      <c r="F23" s="324"/>
    </row>
    <row r="24" spans="1:6">
      <c r="A24" s="1235" t="s">
        <v>14</v>
      </c>
      <c r="B24" s="1236">
        <v>96</v>
      </c>
      <c r="C24" s="324"/>
      <c r="D24" s="324"/>
      <c r="E24" s="324"/>
      <c r="F24" s="324"/>
    </row>
    <row r="25" spans="1:6">
      <c r="A25" s="1235" t="s">
        <v>15</v>
      </c>
      <c r="B25" s="1236">
        <v>11200</v>
      </c>
      <c r="C25" s="324"/>
      <c r="D25" s="324"/>
      <c r="E25" s="324"/>
      <c r="F25" s="324"/>
    </row>
    <row r="26" spans="1:6">
      <c r="A26" s="1235" t="s">
        <v>16</v>
      </c>
      <c r="B26" s="1236">
        <v>189</v>
      </c>
      <c r="C26" s="324"/>
      <c r="D26" s="324"/>
      <c r="E26" s="324"/>
      <c r="F26" s="324"/>
    </row>
    <row r="27" spans="1:6">
      <c r="A27" s="1235" t="s">
        <v>17</v>
      </c>
      <c r="B27" s="1236">
        <v>961</v>
      </c>
      <c r="C27" s="324"/>
      <c r="D27" s="324"/>
      <c r="E27" s="324"/>
      <c r="F27" s="324"/>
    </row>
    <row r="28" spans="1:6">
      <c r="A28" s="1235" t="s">
        <v>18</v>
      </c>
      <c r="B28" s="1237">
        <v>800561</v>
      </c>
      <c r="C28" s="324"/>
      <c r="D28" s="324"/>
      <c r="E28" s="324"/>
      <c r="F28" s="324"/>
    </row>
    <row r="29" spans="1:6">
      <c r="A29" s="1235" t="s">
        <v>959</v>
      </c>
      <c r="B29" s="1237">
        <v>334</v>
      </c>
      <c r="C29" s="324"/>
      <c r="D29" s="324"/>
      <c r="E29" s="324"/>
      <c r="F29" s="324"/>
    </row>
    <row r="30" spans="1:6">
      <c r="A30" s="1230" t="s">
        <v>960</v>
      </c>
      <c r="B30" s="1238">
        <v>119</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3</v>
      </c>
      <c r="F35" s="1236">
        <v>35282.770994549603</v>
      </c>
    </row>
    <row r="36" spans="1:6">
      <c r="A36" s="1235" t="s">
        <v>24</v>
      </c>
      <c r="B36" s="1235" t="s">
        <v>26</v>
      </c>
      <c r="C36" s="1236">
        <v>0</v>
      </c>
      <c r="D36" s="1236">
        <v>0</v>
      </c>
      <c r="E36" s="1236">
        <v>3</v>
      </c>
      <c r="F36" s="1236">
        <v>3670.2738411459</v>
      </c>
    </row>
    <row r="37" spans="1:6">
      <c r="A37" s="1235" t="s">
        <v>24</v>
      </c>
      <c r="B37" s="1235" t="s">
        <v>27</v>
      </c>
      <c r="C37" s="1236">
        <v>0</v>
      </c>
      <c r="D37" s="1236">
        <v>0</v>
      </c>
      <c r="E37" s="1236">
        <v>0</v>
      </c>
      <c r="F37" s="1236">
        <v>0</v>
      </c>
    </row>
    <row r="38" spans="1:6">
      <c r="A38" s="1235" t="s">
        <v>24</v>
      </c>
      <c r="B38" s="1235" t="s">
        <v>28</v>
      </c>
      <c r="C38" s="1236">
        <v>3</v>
      </c>
      <c r="D38" s="1236">
        <v>41149455.410781398</v>
      </c>
      <c r="E38" s="1236">
        <v>1</v>
      </c>
      <c r="F38" s="1236">
        <v>190239.01196146</v>
      </c>
    </row>
    <row r="39" spans="1:6">
      <c r="A39" s="1235" t="s">
        <v>29</v>
      </c>
      <c r="B39" s="1235" t="s">
        <v>30</v>
      </c>
      <c r="C39" s="1236">
        <v>4758</v>
      </c>
      <c r="D39" s="1236">
        <v>90154228.394587398</v>
      </c>
      <c r="E39" s="1236">
        <v>7188</v>
      </c>
      <c r="F39" s="1236">
        <v>38207324.762923896</v>
      </c>
    </row>
    <row r="40" spans="1:6">
      <c r="A40" s="1235" t="s">
        <v>29</v>
      </c>
      <c r="B40" s="1235" t="s">
        <v>28</v>
      </c>
      <c r="C40" s="1236">
        <v>0</v>
      </c>
      <c r="D40" s="1236">
        <v>0</v>
      </c>
      <c r="E40" s="1236">
        <v>0</v>
      </c>
      <c r="F40" s="1236">
        <v>0</v>
      </c>
    </row>
    <row r="41" spans="1:6">
      <c r="A41" s="1235" t="s">
        <v>31</v>
      </c>
      <c r="B41" s="1235" t="s">
        <v>32</v>
      </c>
      <c r="C41" s="1236">
        <v>58</v>
      </c>
      <c r="D41" s="1236">
        <v>1441695.8733152801</v>
      </c>
      <c r="E41" s="1236">
        <v>171</v>
      </c>
      <c r="F41" s="1236">
        <v>2314478.3714414998</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8</v>
      </c>
      <c r="D44" s="1236">
        <v>154795.380791768</v>
      </c>
      <c r="E44" s="1236">
        <v>20</v>
      </c>
      <c r="F44" s="1236">
        <v>547475.94853369403</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29</v>
      </c>
      <c r="D48" s="1236">
        <v>4560024.9817224899</v>
      </c>
      <c r="E48" s="1236">
        <v>36</v>
      </c>
      <c r="F48" s="1236">
        <v>3332462.3839090201</v>
      </c>
    </row>
    <row r="49" spans="1:6">
      <c r="A49" s="1235" t="s">
        <v>31</v>
      </c>
      <c r="B49" s="1235" t="s">
        <v>39</v>
      </c>
      <c r="C49" s="1236">
        <v>0</v>
      </c>
      <c r="D49" s="1236">
        <v>0</v>
      </c>
      <c r="E49" s="1236">
        <v>0</v>
      </c>
      <c r="F49" s="1236">
        <v>0</v>
      </c>
    </row>
    <row r="50" spans="1:6">
      <c r="A50" s="1235" t="s">
        <v>31</v>
      </c>
      <c r="B50" s="1235" t="s">
        <v>40</v>
      </c>
      <c r="C50" s="1236">
        <v>6</v>
      </c>
      <c r="D50" s="1236">
        <v>552537.859331346</v>
      </c>
      <c r="E50" s="1236">
        <v>9</v>
      </c>
      <c r="F50" s="1236">
        <v>281936.01250974799</v>
      </c>
    </row>
    <row r="51" spans="1:6">
      <c r="A51" s="1235" t="s">
        <v>41</v>
      </c>
      <c r="B51" s="1235" t="s">
        <v>42</v>
      </c>
      <c r="C51" s="1236">
        <v>33</v>
      </c>
      <c r="D51" s="1236">
        <v>131928752.512401</v>
      </c>
      <c r="E51" s="1236">
        <v>377</v>
      </c>
      <c r="F51" s="1236">
        <v>11137946.727882801</v>
      </c>
    </row>
    <row r="52" spans="1:6">
      <c r="A52" s="1235" t="s">
        <v>41</v>
      </c>
      <c r="B52" s="1235" t="s">
        <v>28</v>
      </c>
      <c r="C52" s="1236">
        <v>5</v>
      </c>
      <c r="D52" s="1236">
        <v>5461200.4300514301</v>
      </c>
      <c r="E52" s="1236">
        <v>8</v>
      </c>
      <c r="F52" s="1236">
        <v>496120.13533799897</v>
      </c>
    </row>
    <row r="53" spans="1:6">
      <c r="A53" s="1235" t="s">
        <v>43</v>
      </c>
      <c r="B53" s="1235" t="s">
        <v>44</v>
      </c>
      <c r="C53" s="1236">
        <v>163</v>
      </c>
      <c r="D53" s="1236">
        <v>3325329.2212215601</v>
      </c>
      <c r="E53" s="1236">
        <v>295</v>
      </c>
      <c r="F53" s="1236">
        <v>1999245.19355641</v>
      </c>
    </row>
    <row r="54" spans="1:6">
      <c r="A54" s="1235" t="s">
        <v>45</v>
      </c>
      <c r="B54" s="1235" t="s">
        <v>46</v>
      </c>
      <c r="C54" s="1236">
        <v>0</v>
      </c>
      <c r="D54" s="1236">
        <v>0</v>
      </c>
      <c r="E54" s="1236">
        <v>1</v>
      </c>
      <c r="F54" s="1236">
        <v>1393700</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29</v>
      </c>
      <c r="D57" s="1236">
        <v>925762.58687297604</v>
      </c>
      <c r="E57" s="1236">
        <v>126</v>
      </c>
      <c r="F57" s="1236">
        <v>2203615.02426212</v>
      </c>
    </row>
    <row r="58" spans="1:6">
      <c r="A58" s="1235" t="s">
        <v>48</v>
      </c>
      <c r="B58" s="1235" t="s">
        <v>50</v>
      </c>
      <c r="C58" s="1236">
        <v>12</v>
      </c>
      <c r="D58" s="1236">
        <v>836662.39752441796</v>
      </c>
      <c r="E58" s="1236">
        <v>26</v>
      </c>
      <c r="F58" s="1236">
        <v>403137.35866956803</v>
      </c>
    </row>
    <row r="59" spans="1:6">
      <c r="A59" s="1235" t="s">
        <v>48</v>
      </c>
      <c r="B59" s="1235" t="s">
        <v>51</v>
      </c>
      <c r="C59" s="1236">
        <v>86</v>
      </c>
      <c r="D59" s="1236">
        <v>2791301.8037818898</v>
      </c>
      <c r="E59" s="1236">
        <v>188</v>
      </c>
      <c r="F59" s="1236">
        <v>4802881.2609818997</v>
      </c>
    </row>
    <row r="60" spans="1:6">
      <c r="A60" s="1235" t="s">
        <v>48</v>
      </c>
      <c r="B60" s="1235" t="s">
        <v>52</v>
      </c>
      <c r="C60" s="1236">
        <v>43</v>
      </c>
      <c r="D60" s="1236">
        <v>1878271.44790875</v>
      </c>
      <c r="E60" s="1236">
        <v>58</v>
      </c>
      <c r="F60" s="1236">
        <v>1175727.9688353001</v>
      </c>
    </row>
    <row r="61" spans="1:6">
      <c r="A61" s="1235" t="s">
        <v>48</v>
      </c>
      <c r="B61" s="1235" t="s">
        <v>53</v>
      </c>
      <c r="C61" s="1236">
        <v>112</v>
      </c>
      <c r="D61" s="1236">
        <v>5481777.46151172</v>
      </c>
      <c r="E61" s="1236">
        <v>221</v>
      </c>
      <c r="F61" s="1236">
        <v>3334957.4651826299</v>
      </c>
    </row>
    <row r="62" spans="1:6">
      <c r="A62" s="1235" t="s">
        <v>48</v>
      </c>
      <c r="B62" s="1235" t="s">
        <v>54</v>
      </c>
      <c r="C62" s="1236">
        <v>11</v>
      </c>
      <c r="D62" s="1236">
        <v>1628060.4070424901</v>
      </c>
      <c r="E62" s="1236">
        <v>11</v>
      </c>
      <c r="F62" s="1236">
        <v>189925.72193195499</v>
      </c>
    </row>
    <row r="63" spans="1:6">
      <c r="A63" s="1235" t="s">
        <v>48</v>
      </c>
      <c r="B63" s="1235" t="s">
        <v>28</v>
      </c>
      <c r="C63" s="1236">
        <v>85</v>
      </c>
      <c r="D63" s="1236">
        <v>2668865.8941435898</v>
      </c>
      <c r="E63" s="1236">
        <v>94</v>
      </c>
      <c r="F63" s="1236">
        <v>2214115.96484337</v>
      </c>
    </row>
    <row r="64" spans="1:6">
      <c r="A64" s="1235" t="s">
        <v>55</v>
      </c>
      <c r="B64" s="1235" t="s">
        <v>56</v>
      </c>
      <c r="C64" s="1236">
        <v>0</v>
      </c>
      <c r="D64" s="1236">
        <v>0</v>
      </c>
      <c r="E64" s="1236">
        <v>0</v>
      </c>
      <c r="F64" s="1236">
        <v>0</v>
      </c>
    </row>
    <row r="65" spans="1:6">
      <c r="A65" s="1235" t="s">
        <v>55</v>
      </c>
      <c r="B65" s="1235" t="s">
        <v>28</v>
      </c>
      <c r="C65" s="1236">
        <v>1</v>
      </c>
      <c r="D65" s="1236">
        <v>12864.8234581571</v>
      </c>
      <c r="E65" s="1236">
        <v>2</v>
      </c>
      <c r="F65" s="1236">
        <v>159304.71280513</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8</v>
      </c>
      <c r="D68" s="1238">
        <v>258327.04855469699</v>
      </c>
      <c r="E68" s="1238">
        <v>22</v>
      </c>
      <c r="F68" s="1238">
        <v>478665.289470708</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68794383</v>
      </c>
      <c r="E73" s="443"/>
      <c r="F73" s="324"/>
    </row>
    <row r="74" spans="1:6">
      <c r="A74" s="1235" t="s">
        <v>63</v>
      </c>
      <c r="B74" s="1235" t="s">
        <v>730</v>
      </c>
      <c r="C74" s="1248" t="s">
        <v>731</v>
      </c>
      <c r="D74" s="1236">
        <v>4930813.9329169299</v>
      </c>
      <c r="E74" s="443"/>
      <c r="F74" s="324"/>
    </row>
    <row r="75" spans="1:6">
      <c r="A75" s="1235" t="s">
        <v>64</v>
      </c>
      <c r="B75" s="1235" t="s">
        <v>728</v>
      </c>
      <c r="C75" s="1248" t="s">
        <v>732</v>
      </c>
      <c r="D75" s="1236">
        <v>13359099</v>
      </c>
      <c r="E75" s="443"/>
      <c r="F75" s="324"/>
    </row>
    <row r="76" spans="1:6">
      <c r="A76" s="1235" t="s">
        <v>64</v>
      </c>
      <c r="B76" s="1235" t="s">
        <v>730</v>
      </c>
      <c r="C76" s="1248" t="s">
        <v>733</v>
      </c>
      <c r="D76" s="1236">
        <v>302078.93291693</v>
      </c>
      <c r="E76" s="443"/>
      <c r="F76" s="324"/>
    </row>
    <row r="77" spans="1:6">
      <c r="A77" s="1235" t="s">
        <v>65</v>
      </c>
      <c r="B77" s="1235" t="s">
        <v>728</v>
      </c>
      <c r="C77" s="1248" t="s">
        <v>734</v>
      </c>
      <c r="D77" s="1236">
        <v>93063884</v>
      </c>
      <c r="E77" s="443"/>
      <c r="F77" s="324"/>
    </row>
    <row r="78" spans="1:6">
      <c r="A78" s="1230" t="s">
        <v>65</v>
      </c>
      <c r="B78" s="1230" t="s">
        <v>730</v>
      </c>
      <c r="C78" s="1230" t="s">
        <v>735</v>
      </c>
      <c r="D78" s="1238">
        <v>28350350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585822.13416613999</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2449.7208396837059</v>
      </c>
      <c r="C91" s="324"/>
      <c r="D91" s="324"/>
      <c r="E91" s="324"/>
      <c r="F91" s="324"/>
    </row>
    <row r="92" spans="1:6">
      <c r="A92" s="1230" t="s">
        <v>68</v>
      </c>
      <c r="B92" s="1231">
        <v>1817.2406192002713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3580</v>
      </c>
      <c r="C97" s="324"/>
      <c r="D97" s="324"/>
      <c r="E97" s="324"/>
      <c r="F97" s="324"/>
    </row>
    <row r="98" spans="1:6">
      <c r="A98" s="1235" t="s">
        <v>71</v>
      </c>
      <c r="B98" s="1236">
        <v>5</v>
      </c>
      <c r="C98" s="324"/>
      <c r="D98" s="324"/>
      <c r="E98" s="324"/>
      <c r="F98" s="324"/>
    </row>
    <row r="99" spans="1:6">
      <c r="A99" s="1235" t="s">
        <v>72</v>
      </c>
      <c r="B99" s="1236">
        <v>229</v>
      </c>
      <c r="C99" s="324"/>
      <c r="D99" s="324"/>
      <c r="E99" s="324"/>
      <c r="F99" s="324"/>
    </row>
    <row r="100" spans="1:6">
      <c r="A100" s="1235" t="s">
        <v>73</v>
      </c>
      <c r="B100" s="1236">
        <v>824</v>
      </c>
      <c r="C100" s="324"/>
      <c r="D100" s="324"/>
      <c r="E100" s="324"/>
      <c r="F100" s="324"/>
    </row>
    <row r="101" spans="1:6">
      <c r="A101" s="1235" t="s">
        <v>74</v>
      </c>
      <c r="B101" s="1236">
        <v>181</v>
      </c>
      <c r="C101" s="324"/>
      <c r="D101" s="324"/>
      <c r="E101" s="324"/>
      <c r="F101" s="324"/>
    </row>
    <row r="102" spans="1:6">
      <c r="A102" s="1235" t="s">
        <v>75</v>
      </c>
      <c r="B102" s="1236">
        <v>79</v>
      </c>
      <c r="C102" s="324"/>
      <c r="D102" s="324"/>
      <c r="E102" s="324"/>
      <c r="F102" s="324"/>
    </row>
    <row r="103" spans="1:6">
      <c r="A103" s="1235" t="s">
        <v>76</v>
      </c>
      <c r="B103" s="1236">
        <v>142</v>
      </c>
      <c r="C103" s="324"/>
      <c r="D103" s="324"/>
      <c r="E103" s="324"/>
      <c r="F103" s="324"/>
    </row>
    <row r="104" spans="1:6">
      <c r="A104" s="1235" t="s">
        <v>77</v>
      </c>
      <c r="B104" s="1236">
        <v>1224</v>
      </c>
      <c r="C104" s="324"/>
      <c r="D104" s="324"/>
      <c r="E104" s="324"/>
      <c r="F104" s="324"/>
    </row>
    <row r="105" spans="1:6">
      <c r="A105" s="1230" t="s">
        <v>78</v>
      </c>
      <c r="B105" s="123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12</v>
      </c>
      <c r="C123" s="1236">
        <v>7</v>
      </c>
      <c r="D123" s="324"/>
      <c r="E123" s="324"/>
      <c r="F123" s="324"/>
    </row>
    <row r="124" spans="1:6">
      <c r="A124" s="1235" t="s">
        <v>88</v>
      </c>
      <c r="B124" s="1236">
        <v>2</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43</v>
      </c>
      <c r="C129" s="324"/>
      <c r="D129" s="324"/>
      <c r="E129" s="324"/>
      <c r="F129" s="324"/>
    </row>
    <row r="130" spans="1:6">
      <c r="A130" s="1235" t="s">
        <v>284</v>
      </c>
      <c r="B130" s="1236">
        <v>1</v>
      </c>
      <c r="C130" s="324"/>
      <c r="D130" s="324"/>
      <c r="E130" s="324"/>
      <c r="F130" s="324"/>
    </row>
    <row r="131" spans="1:6">
      <c r="A131" s="1235" t="s">
        <v>285</v>
      </c>
      <c r="B131" s="1236">
        <v>2</v>
      </c>
      <c r="C131" s="324"/>
      <c r="D131" s="324"/>
      <c r="E131" s="324"/>
      <c r="F131" s="324"/>
    </row>
    <row r="132" spans="1:6">
      <c r="A132" s="1230" t="s">
        <v>286</v>
      </c>
      <c r="B132" s="1231">
        <v>16</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76496.660401228422</v>
      </c>
      <c r="C3" s="43" t="s">
        <v>163</v>
      </c>
      <c r="D3" s="43"/>
      <c r="E3" s="155"/>
      <c r="F3" s="43"/>
      <c r="G3" s="43"/>
      <c r="H3" s="43"/>
      <c r="I3" s="43"/>
      <c r="J3" s="43"/>
      <c r="K3" s="96"/>
    </row>
    <row r="4" spans="1:11">
      <c r="A4" s="350" t="s">
        <v>164</v>
      </c>
      <c r="B4" s="49">
        <f>IF(ISERROR('SEAP template'!B78+'SEAP template'!C78),0,'SEAP template'!B78+'SEAP template'!C78)</f>
        <v>53469.961458883976</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11692.948235294118</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0.21938014827746322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16704.211764705884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70290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1393.7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1393.7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0.21938014827746322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305.75011265430049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38207.324762923898</v>
      </c>
      <c r="C5" s="17">
        <f>IF(ISERROR('Eigen informatie GS &amp; warmtenet'!B57),0,'Eigen informatie GS &amp; warmtenet'!B57)</f>
        <v>0</v>
      </c>
      <c r="D5" s="30">
        <f>(SUM(HH_hh_gas_kWh,HH_rest_gas_kWh)/1000)*0.902</f>
        <v>81319.114011917831</v>
      </c>
      <c r="E5" s="17">
        <f>B32*B41</f>
        <v>1414.2135493793676</v>
      </c>
      <c r="F5" s="17">
        <f>B36*B45</f>
        <v>48273.324816061482</v>
      </c>
      <c r="G5" s="18"/>
      <c r="H5" s="17"/>
      <c r="I5" s="17"/>
      <c r="J5" s="17">
        <f>B35*B44+C35*C44</f>
        <v>1086.9928881160185</v>
      </c>
      <c r="K5" s="17"/>
      <c r="L5" s="17"/>
      <c r="M5" s="17"/>
      <c r="N5" s="17">
        <f>B34*B43+C34*C43</f>
        <v>8959.0686546283396</v>
      </c>
      <c r="O5" s="17">
        <f>B52*B53*B54</f>
        <v>79.73</v>
      </c>
      <c r="P5" s="17">
        <f>B60*B61*B62/1000-B60*B61*B62/1000/B63</f>
        <v>572</v>
      </c>
    </row>
    <row r="6" spans="1:16">
      <c r="A6" s="16" t="s">
        <v>591</v>
      </c>
      <c r="B6" s="727">
        <f>kWh_PV_kleiner_dan_10kW</f>
        <v>2449.7208396837059</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40657.045602607606</v>
      </c>
      <c r="C8" s="21">
        <f>C5</f>
        <v>0</v>
      </c>
      <c r="D8" s="21">
        <f>D5</f>
        <v>81319.114011917831</v>
      </c>
      <c r="E8" s="21">
        <f>E5</f>
        <v>1414.2135493793676</v>
      </c>
      <c r="F8" s="21">
        <f>F5</f>
        <v>48273.324816061482</v>
      </c>
      <c r="G8" s="21"/>
      <c r="H8" s="21"/>
      <c r="I8" s="21"/>
      <c r="J8" s="21">
        <f>J5</f>
        <v>1086.9928881160185</v>
      </c>
      <c r="K8" s="21"/>
      <c r="L8" s="21">
        <f>L5</f>
        <v>0</v>
      </c>
      <c r="M8" s="21">
        <f>M5</f>
        <v>0</v>
      </c>
      <c r="N8" s="21">
        <f>N5</f>
        <v>8959.0686546283396</v>
      </c>
      <c r="O8" s="21">
        <f>O5</f>
        <v>79.73</v>
      </c>
      <c r="P8" s="21">
        <f>P5</f>
        <v>572</v>
      </c>
    </row>
    <row r="9" spans="1:16">
      <c r="B9" s="19"/>
      <c r="C9" s="19"/>
      <c r="D9" s="255"/>
      <c r="E9" s="19"/>
      <c r="F9" s="19"/>
      <c r="G9" s="19"/>
      <c r="H9" s="19"/>
      <c r="I9" s="19"/>
      <c r="J9" s="19"/>
      <c r="K9" s="19"/>
      <c r="L9" s="19"/>
      <c r="M9" s="19"/>
      <c r="N9" s="19"/>
      <c r="O9" s="19"/>
      <c r="P9" s="19"/>
    </row>
    <row r="10" spans="1:16">
      <c r="A10" s="24" t="s">
        <v>207</v>
      </c>
      <c r="B10" s="25">
        <f ca="1">'EF ele_warmte'!B12</f>
        <v>0.21938014827746322</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8919.3486928236398</v>
      </c>
      <c r="C12" s="23">
        <f ca="1">C10*C8</f>
        <v>0</v>
      </c>
      <c r="D12" s="23">
        <f>D8*D10</f>
        <v>16426.461030407401</v>
      </c>
      <c r="E12" s="23">
        <f>E10*E8</f>
        <v>321.02647570911643</v>
      </c>
      <c r="F12" s="23">
        <f>F10*F8</f>
        <v>12888.977725888417</v>
      </c>
      <c r="G12" s="23"/>
      <c r="H12" s="23"/>
      <c r="I12" s="23"/>
      <c r="J12" s="23">
        <f>J10*J8</f>
        <v>384.79548239307053</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7480</v>
      </c>
      <c r="C26" s="36"/>
      <c r="D26" s="225"/>
    </row>
    <row r="27" spans="1:5" s="15" customFormat="1">
      <c r="A27" s="227" t="s">
        <v>671</v>
      </c>
      <c r="B27" s="37">
        <f>SUM(HH_hh_gas_aantal,HH_rest_gas_aantal)</f>
        <v>4758</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4520.1000000000004</v>
      </c>
      <c r="C31" s="34" t="s">
        <v>104</v>
      </c>
      <c r="D31" s="171"/>
    </row>
    <row r="32" spans="1:5">
      <c r="A32" s="168" t="s">
        <v>72</v>
      </c>
      <c r="B32" s="33">
        <f>IF((B21*($B$26-($B$27-0.05*$B$27)-$B$60))&lt;0,0,B21*($B$26-($B$27-0.05*$B$27)-$B$60))</f>
        <v>20.771727191496208</v>
      </c>
      <c r="C32" s="34" t="s">
        <v>104</v>
      </c>
      <c r="D32" s="171"/>
    </row>
    <row r="33" spans="1:6">
      <c r="A33" s="168" t="s">
        <v>73</v>
      </c>
      <c r="B33" s="33">
        <f>IF((B22*($B$26-($B$27-0.05*$B$27)-$B$60))&lt;0,0,B22*($B$26-($B$27-0.05*$B$27)-$B$60))</f>
        <v>595.31487522294924</v>
      </c>
      <c r="C33" s="34" t="s">
        <v>104</v>
      </c>
      <c r="D33" s="171"/>
    </row>
    <row r="34" spans="1:6">
      <c r="A34" s="168" t="s">
        <v>74</v>
      </c>
      <c r="B34" s="33">
        <f>IF((B24*($B$26-($B$27-0.05*$B$27)-$B$60))&lt;0,0,B24*($B$26-($B$27-0.05*$B$27)-$B$60))</f>
        <v>118.71207759702483</v>
      </c>
      <c r="C34" s="33">
        <f>B26*C24</f>
        <v>1529.4925581803943</v>
      </c>
      <c r="D34" s="230"/>
    </row>
    <row r="35" spans="1:6">
      <c r="A35" s="168" t="s">
        <v>76</v>
      </c>
      <c r="B35" s="33">
        <f>IF((B19*($B$26-($B$27-0.05*$B$27)-$B$60))&lt;0,0,B19*($B$26-($B$27-0.05*$B$27)-$B$60))</f>
        <v>61.820616641357773</v>
      </c>
      <c r="C35" s="33">
        <f>B35/2</f>
        <v>30.910308320678887</v>
      </c>
      <c r="D35" s="230"/>
    </row>
    <row r="36" spans="1:6">
      <c r="A36" s="168" t="s">
        <v>77</v>
      </c>
      <c r="B36" s="33">
        <f>IF((B18*($B$26-($B$27-0.05*$B$27)-$B$60))&lt;0,0,B18*($B$26-($B$27-0.05*$B$27)-$B$60))</f>
        <v>2133.2807033471713</v>
      </c>
      <c r="C36" s="34" t="s">
        <v>104</v>
      </c>
      <c r="D36" s="171"/>
    </row>
    <row r="37" spans="1:6">
      <c r="A37" s="168" t="s">
        <v>78</v>
      </c>
      <c r="B37" s="33">
        <f>B60</f>
        <v>30</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51</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30</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14324.360764706844</v>
      </c>
      <c r="C5" s="17">
        <f>IF(ISERROR('Eigen informatie GS &amp; warmtenet'!B58),0,'Eigen informatie GS &amp; warmtenet'!B58)</f>
        <v>0</v>
      </c>
      <c r="D5" s="30">
        <f>SUM(D6:D12)</f>
        <v>14622.053202904823</v>
      </c>
      <c r="E5" s="17">
        <f>SUM(E6:E12)</f>
        <v>265.3316374376933</v>
      </c>
      <c r="F5" s="17">
        <f>SUM(F6:F12)</f>
        <v>2770.1189183532433</v>
      </c>
      <c r="G5" s="18"/>
      <c r="H5" s="17"/>
      <c r="I5" s="17"/>
      <c r="J5" s="17">
        <f>SUM(J6:J12)</f>
        <v>0</v>
      </c>
      <c r="K5" s="17"/>
      <c r="L5" s="17"/>
      <c r="M5" s="17"/>
      <c r="N5" s="17">
        <f>SUM(N6:N12)</f>
        <v>581.04560629556022</v>
      </c>
      <c r="O5" s="17">
        <f>B38*B39*B40</f>
        <v>1.5633333333333335</v>
      </c>
      <c r="P5" s="17">
        <f>B46*B47*B48/1000-B46*B47*B48/1000/B49</f>
        <v>38.133333333333333</v>
      </c>
      <c r="R5" s="32"/>
    </row>
    <row r="6" spans="1:18">
      <c r="A6" s="32" t="s">
        <v>53</v>
      </c>
      <c r="B6" s="37">
        <f>B26</f>
        <v>3334.9574651826297</v>
      </c>
      <c r="C6" s="33"/>
      <c r="D6" s="37">
        <f>IF(ISERROR(TER_kantoor_gas_kWh/1000),0,TER_kantoor_gas_kWh/1000)*0.902</f>
        <v>4944.563270283571</v>
      </c>
      <c r="E6" s="33">
        <f>$C$26*'E Balans VL '!I12/100/3.6*1000000</f>
        <v>115.36288514895412</v>
      </c>
      <c r="F6" s="33">
        <f>$C$26*('E Balans VL '!L12+'E Balans VL '!N12)/100/3.6*1000000</f>
        <v>509.11666917120323</v>
      </c>
      <c r="G6" s="34"/>
      <c r="H6" s="33"/>
      <c r="I6" s="33"/>
      <c r="J6" s="33">
        <f>$C$26*('E Balans VL '!D12+'E Balans VL '!E12)/100/3.6*1000000</f>
        <v>0</v>
      </c>
      <c r="K6" s="33"/>
      <c r="L6" s="33"/>
      <c r="M6" s="33"/>
      <c r="N6" s="33">
        <f>$C$26*'E Balans VL '!Y12/100/3.6*1000000</f>
        <v>51.409954654328509</v>
      </c>
      <c r="O6" s="33"/>
      <c r="P6" s="33"/>
      <c r="R6" s="32"/>
    </row>
    <row r="7" spans="1:18">
      <c r="A7" s="32" t="s">
        <v>52</v>
      </c>
      <c r="B7" s="37">
        <f t="shared" ref="B7:B12" si="0">B27</f>
        <v>1175.7279688353001</v>
      </c>
      <c r="C7" s="33"/>
      <c r="D7" s="37">
        <f>IF(ISERROR(TER_horeca_gas_kWh/1000),0,TER_horeca_gas_kWh/1000)*0.902</f>
        <v>1694.2008460136926</v>
      </c>
      <c r="E7" s="33">
        <f>$C$27*'E Balans VL '!I9/100/3.6*1000000</f>
        <v>64.433628724249871</v>
      </c>
      <c r="F7" s="33">
        <f>$C$27*('E Balans VL '!L9+'E Balans VL '!N9)/100/3.6*1000000</f>
        <v>198.9725002504486</v>
      </c>
      <c r="G7" s="34"/>
      <c r="H7" s="33"/>
      <c r="I7" s="33"/>
      <c r="J7" s="33">
        <f>$C$27*('E Balans VL '!D9+'E Balans VL '!E9)/100/3.6*1000000</f>
        <v>0</v>
      </c>
      <c r="K7" s="33"/>
      <c r="L7" s="33"/>
      <c r="M7" s="33"/>
      <c r="N7" s="33">
        <f>$C$27*'E Balans VL '!Y9/100/3.6*1000000</f>
        <v>0</v>
      </c>
      <c r="O7" s="33"/>
      <c r="P7" s="33"/>
      <c r="R7" s="32"/>
    </row>
    <row r="8" spans="1:18">
      <c r="A8" s="6" t="s">
        <v>51</v>
      </c>
      <c r="B8" s="37">
        <f t="shared" si="0"/>
        <v>4802.8812609818997</v>
      </c>
      <c r="C8" s="33"/>
      <c r="D8" s="37">
        <f>IF(ISERROR(TER_handel_gas_kWh/1000),0,TER_handel_gas_kWh/1000)*0.902</f>
        <v>2517.7542270112644</v>
      </c>
      <c r="E8" s="33">
        <f>$C$28*'E Balans VL '!I13/100/3.6*1000000</f>
        <v>24.2985963886135</v>
      </c>
      <c r="F8" s="33">
        <f>$C$28*('E Balans VL '!L13+'E Balans VL '!N13)/100/3.6*1000000</f>
        <v>729.76024320836791</v>
      </c>
      <c r="G8" s="34"/>
      <c r="H8" s="33"/>
      <c r="I8" s="33"/>
      <c r="J8" s="33">
        <f>$C$28*('E Balans VL '!D13+'E Balans VL '!E13)/100/3.6*1000000</f>
        <v>0</v>
      </c>
      <c r="K8" s="33"/>
      <c r="L8" s="33"/>
      <c r="M8" s="33"/>
      <c r="N8" s="33">
        <f>$C$28*'E Balans VL '!Y13/100/3.6*1000000</f>
        <v>2.2459558473191374</v>
      </c>
      <c r="O8" s="33"/>
      <c r="P8" s="33"/>
      <c r="R8" s="32"/>
    </row>
    <row r="9" spans="1:18">
      <c r="A9" s="32" t="s">
        <v>50</v>
      </c>
      <c r="B9" s="37">
        <f t="shared" si="0"/>
        <v>403.13735866956802</v>
      </c>
      <c r="C9" s="33"/>
      <c r="D9" s="37">
        <f>IF(ISERROR(TER_gezond_gas_kWh/1000),0,TER_gezond_gas_kWh/1000)*0.902</f>
        <v>754.66948256702506</v>
      </c>
      <c r="E9" s="33">
        <f>$C$29*'E Balans VL '!I10/100/3.6*1000000</f>
        <v>0.14659915056299597</v>
      </c>
      <c r="F9" s="33">
        <f>$C$29*('E Balans VL '!L10+'E Balans VL '!N10)/100/3.6*1000000</f>
        <v>87.107089567782737</v>
      </c>
      <c r="G9" s="34"/>
      <c r="H9" s="33"/>
      <c r="I9" s="33"/>
      <c r="J9" s="33">
        <f>$C$29*('E Balans VL '!D10+'E Balans VL '!E10)/100/3.6*1000000</f>
        <v>0</v>
      </c>
      <c r="K9" s="33"/>
      <c r="L9" s="33"/>
      <c r="M9" s="33"/>
      <c r="N9" s="33">
        <f>$C$29*'E Balans VL '!Y10/100/3.6*1000000</f>
        <v>3.0566979038030699</v>
      </c>
      <c r="O9" s="33"/>
      <c r="P9" s="33"/>
      <c r="R9" s="32"/>
    </row>
    <row r="10" spans="1:18">
      <c r="A10" s="32" t="s">
        <v>49</v>
      </c>
      <c r="B10" s="37">
        <f t="shared" si="0"/>
        <v>2203.6150242621202</v>
      </c>
      <c r="C10" s="33"/>
      <c r="D10" s="37">
        <f>IF(ISERROR(TER_ander_gas_kWh/1000),0,TER_ander_gas_kWh/1000)*0.902</f>
        <v>835.03785335942439</v>
      </c>
      <c r="E10" s="33">
        <f>$C$30*'E Balans VL '!I14/100/3.6*1000000</f>
        <v>13.414834184159973</v>
      </c>
      <c r="F10" s="33">
        <f>$C$30*('E Balans VL '!L14+'E Balans VL '!N14)/100/3.6*1000000</f>
        <v>583.40581511527353</v>
      </c>
      <c r="G10" s="34"/>
      <c r="H10" s="33"/>
      <c r="I10" s="33"/>
      <c r="J10" s="33">
        <f>$C$30*('E Balans VL '!D14+'E Balans VL '!E14)/100/3.6*1000000</f>
        <v>0</v>
      </c>
      <c r="K10" s="33"/>
      <c r="L10" s="33"/>
      <c r="M10" s="33"/>
      <c r="N10" s="33">
        <f>$C$30*'E Balans VL '!Y14/100/3.6*1000000</f>
        <v>458.95586157757407</v>
      </c>
      <c r="O10" s="33"/>
      <c r="P10" s="33"/>
      <c r="R10" s="32"/>
    </row>
    <row r="11" spans="1:18">
      <c r="A11" s="32" t="s">
        <v>54</v>
      </c>
      <c r="B11" s="37">
        <f t="shared" si="0"/>
        <v>189.925721931955</v>
      </c>
      <c r="C11" s="33"/>
      <c r="D11" s="37">
        <f>IF(ISERROR(TER_onderwijs_gas_kWh/1000),0,TER_onderwijs_gas_kWh/1000)*0.902</f>
        <v>1468.5104871523263</v>
      </c>
      <c r="E11" s="33">
        <f>$C$31*'E Balans VL '!I11/100/3.6*1000000</f>
        <v>0.23571426468084897</v>
      </c>
      <c r="F11" s="33">
        <f>$C$31*('E Balans VL '!L11+'E Balans VL '!N11)/100/3.6*1000000</f>
        <v>223.83740717233729</v>
      </c>
      <c r="G11" s="34"/>
      <c r="H11" s="33"/>
      <c r="I11" s="33"/>
      <c r="J11" s="33">
        <f>$C$31*('E Balans VL '!D11+'E Balans VL '!E11)/100/3.6*1000000</f>
        <v>0</v>
      </c>
      <c r="K11" s="33"/>
      <c r="L11" s="33"/>
      <c r="M11" s="33"/>
      <c r="N11" s="33">
        <f>$C$31*'E Balans VL '!Y11/100/3.6*1000000</f>
        <v>0.91162572682955245</v>
      </c>
      <c r="O11" s="33"/>
      <c r="P11" s="33"/>
      <c r="R11" s="32"/>
    </row>
    <row r="12" spans="1:18">
      <c r="A12" s="32" t="s">
        <v>249</v>
      </c>
      <c r="B12" s="37">
        <f t="shared" si="0"/>
        <v>2214.11596484337</v>
      </c>
      <c r="C12" s="33"/>
      <c r="D12" s="37">
        <f>IF(ISERROR(TER_rest_gas_kWh/1000),0,TER_rest_gas_kWh/1000)*0.902</f>
        <v>2407.3170365175179</v>
      </c>
      <c r="E12" s="33">
        <f>$C$32*'E Balans VL '!I8/100/3.6*1000000</f>
        <v>47.439379576472</v>
      </c>
      <c r="F12" s="33">
        <f>$C$32*('E Balans VL '!L8+'E Balans VL '!N8)/100/3.6*1000000</f>
        <v>437.91919386782985</v>
      </c>
      <c r="G12" s="34"/>
      <c r="H12" s="33"/>
      <c r="I12" s="33"/>
      <c r="J12" s="33">
        <f>$C$32*('E Balans VL '!D8+'E Balans VL '!E8)/100/3.6*1000000</f>
        <v>0</v>
      </c>
      <c r="K12" s="33"/>
      <c r="L12" s="33"/>
      <c r="M12" s="33"/>
      <c r="N12" s="33">
        <f>$C$32*'E Balans VL '!Y8/100/3.6*1000000</f>
        <v>64.465510585705829</v>
      </c>
      <c r="O12" s="33"/>
      <c r="P12" s="33"/>
      <c r="R12" s="32"/>
    </row>
    <row r="13" spans="1:18">
      <c r="A13" s="16" t="s">
        <v>483</v>
      </c>
      <c r="B13" s="243">
        <f ca="1">'lokale energieproductie'!N41+'lokale energieproductie'!N34</f>
        <v>0</v>
      </c>
      <c r="C13" s="243">
        <f ca="1">'lokale energieproductie'!O41+'lokale energieproductie'!O34</f>
        <v>0</v>
      </c>
      <c r="D13" s="302">
        <f ca="1">('lokale energieproductie'!P34+'lokale energieproductie'!P41)*(-1)</f>
        <v>0</v>
      </c>
      <c r="E13" s="244"/>
      <c r="F13" s="302">
        <f ca="1">('lokale energieproductie'!S34+'lokale energieproductie'!S41)*(-1)</f>
        <v>0</v>
      </c>
      <c r="G13" s="245"/>
      <c r="H13" s="244"/>
      <c r="I13" s="244"/>
      <c r="J13" s="244"/>
      <c r="K13" s="244"/>
      <c r="L13" s="302">
        <f ca="1">('lokale energieproductie'!U34+'lokale energieproductie'!T34+'lokale energieproductie'!U41+'lokale energieproductie'!T41)*(-1)</f>
        <v>0</v>
      </c>
      <c r="M13" s="244"/>
      <c r="N13" s="302">
        <f ca="1">('lokale energieproductie'!Q34+'lokale energieproductie'!R34+'lokale energieproductie'!V34+'lokale energieproductie'!Q41+'lokale energieproductie'!R41+'lokale energieproductie'!V41)*(-1)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14324.360764706844</v>
      </c>
      <c r="C16" s="21">
        <f ca="1">C5+C13+C14</f>
        <v>0</v>
      </c>
      <c r="D16" s="21">
        <f t="shared" ref="D16:N16" ca="1" si="1">MAX((D5+D13+D14),0)</f>
        <v>14622.053202904823</v>
      </c>
      <c r="E16" s="21">
        <f t="shared" si="1"/>
        <v>265.3316374376933</v>
      </c>
      <c r="F16" s="21">
        <f t="shared" ca="1" si="1"/>
        <v>2770.1189183532433</v>
      </c>
      <c r="G16" s="21">
        <f t="shared" si="1"/>
        <v>0</v>
      </c>
      <c r="H16" s="21">
        <f t="shared" si="1"/>
        <v>0</v>
      </c>
      <c r="I16" s="21">
        <f t="shared" si="1"/>
        <v>0</v>
      </c>
      <c r="J16" s="21">
        <f t="shared" si="1"/>
        <v>0</v>
      </c>
      <c r="K16" s="21">
        <f t="shared" si="1"/>
        <v>0</v>
      </c>
      <c r="L16" s="21">
        <f t="shared" ca="1" si="1"/>
        <v>0</v>
      </c>
      <c r="M16" s="21">
        <f t="shared" si="1"/>
        <v>0</v>
      </c>
      <c r="N16" s="21">
        <f t="shared" ca="1" si="1"/>
        <v>581.04560629556022</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0.21938014827746322</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3142.4803885412639</v>
      </c>
      <c r="C20" s="23">
        <f t="shared" ref="C20:P20" ca="1" si="2">C16*C18</f>
        <v>0</v>
      </c>
      <c r="D20" s="23">
        <f t="shared" ca="1" si="2"/>
        <v>2953.6547469867742</v>
      </c>
      <c r="E20" s="23">
        <f t="shared" si="2"/>
        <v>60.230281698356379</v>
      </c>
      <c r="F20" s="23">
        <f t="shared" ca="1" si="2"/>
        <v>739.621751200316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3334.9574651826297</v>
      </c>
      <c r="C26" s="39">
        <f>IF(ISERROR(B26*3.6/1000000/'E Balans VL '!Z12*100),0,B26*3.6/1000000/'E Balans VL '!Z12*100)</f>
        <v>6.9352793905593915E-2</v>
      </c>
      <c r="D26" s="233" t="s">
        <v>676</v>
      </c>
      <c r="F26" s="6"/>
    </row>
    <row r="27" spans="1:18">
      <c r="A27" s="228" t="s">
        <v>52</v>
      </c>
      <c r="B27" s="33">
        <f>IF(ISERROR(TER_horeca_ele_kWh/1000),0,TER_horeca_ele_kWh/1000)</f>
        <v>1175.7279688353001</v>
      </c>
      <c r="C27" s="39">
        <f>IF(ISERROR(B27*3.6/1000000/'E Balans VL '!Z9*100),0,B27*3.6/1000000/'E Balans VL '!Z9*100)</f>
        <v>9.6704459791936564E-2</v>
      </c>
      <c r="D27" s="233" t="s">
        <v>676</v>
      </c>
      <c r="F27" s="6"/>
    </row>
    <row r="28" spans="1:18">
      <c r="A28" s="168" t="s">
        <v>51</v>
      </c>
      <c r="B28" s="33">
        <f>IF(ISERROR(TER_handel_ele_kWh/1000),0,TER_handel_ele_kWh/1000)</f>
        <v>4802.8812609818997</v>
      </c>
      <c r="C28" s="39">
        <f>IF(ISERROR(B28*3.6/1000000/'E Balans VL '!Z13*100),0,B28*3.6/1000000/'E Balans VL '!Z13*100)</f>
        <v>0.13294281436586852</v>
      </c>
      <c r="D28" s="233" t="s">
        <v>676</v>
      </c>
      <c r="F28" s="6"/>
    </row>
    <row r="29" spans="1:18">
      <c r="A29" s="228" t="s">
        <v>50</v>
      </c>
      <c r="B29" s="33">
        <f>IF(ISERROR(TER_gezond_ele_kWh/1000),0,TER_gezond_ele_kWh/1000)</f>
        <v>403.13735866956802</v>
      </c>
      <c r="C29" s="39">
        <f>IF(ISERROR(B29*3.6/1000000/'E Balans VL '!Z10*100),0,B29*3.6/1000000/'E Balans VL '!Z10*100)</f>
        <v>4.5974889634616045E-2</v>
      </c>
      <c r="D29" s="233" t="s">
        <v>676</v>
      </c>
      <c r="F29" s="6"/>
    </row>
    <row r="30" spans="1:18">
      <c r="A30" s="228" t="s">
        <v>49</v>
      </c>
      <c r="B30" s="33">
        <f>IF(ISERROR(TER_ander_ele_kWh/1000),0,TER_ander_ele_kWh/1000)</f>
        <v>2203.6150242621202</v>
      </c>
      <c r="C30" s="39">
        <f>IF(ISERROR(B30*3.6/1000000/'E Balans VL '!Z14*100),0,B30*3.6/1000000/'E Balans VL '!Z14*100)</f>
        <v>0.17056578024010313</v>
      </c>
      <c r="D30" s="233" t="s">
        <v>676</v>
      </c>
      <c r="F30" s="6"/>
    </row>
    <row r="31" spans="1:18">
      <c r="A31" s="228" t="s">
        <v>54</v>
      </c>
      <c r="B31" s="33">
        <f>IF(ISERROR(TER_onderwijs_ele_kWh/1000),0,TER_onderwijs_ele_kWh/1000)</f>
        <v>189.925721931955</v>
      </c>
      <c r="C31" s="39">
        <f>IF(ISERROR(B31*3.6/1000000/'E Balans VL '!Z11*100),0,B31*3.6/1000000/'E Balans VL '!Z11*100)</f>
        <v>5.9177262371278974E-2</v>
      </c>
      <c r="D31" s="233" t="s">
        <v>676</v>
      </c>
    </row>
    <row r="32" spans="1:18">
      <c r="A32" s="228" t="s">
        <v>249</v>
      </c>
      <c r="B32" s="33">
        <f>IF(ISERROR(TER_rest_ele_kWh/1000),0,TER_rest_ele_kWh/1000)</f>
        <v>2214.11596484337</v>
      </c>
      <c r="C32" s="39">
        <f>IF(ISERROR(B32*3.6/1000000/'E Balans VL '!Z8*100),0,B32*3.6/1000000/'E Balans VL '!Z8*100)</f>
        <v>1.8257776711888291E-2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2</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6476.3527163939616</v>
      </c>
      <c r="C5" s="17">
        <f>IF(ISERROR('Eigen informatie GS &amp; warmtenet'!B59),0,'Eigen informatie GS &amp; warmtenet'!B59)</f>
        <v>0</v>
      </c>
      <c r="D5" s="30">
        <f>SUM(D6:D15)</f>
        <v>6051.566793835118</v>
      </c>
      <c r="E5" s="17">
        <f>SUM(E6:E15)</f>
        <v>75.368444184417825</v>
      </c>
      <c r="F5" s="17">
        <f>SUM(F6:F15)</f>
        <v>2581.108111025063</v>
      </c>
      <c r="G5" s="18"/>
      <c r="H5" s="17"/>
      <c r="I5" s="17"/>
      <c r="J5" s="17">
        <f>SUM(J6:J15)</f>
        <v>35.104194707841998</v>
      </c>
      <c r="K5" s="17"/>
      <c r="L5" s="17"/>
      <c r="M5" s="17"/>
      <c r="N5" s="17">
        <f>SUM(N6:N15)</f>
        <v>237.68697696727173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547.47594853369401</v>
      </c>
      <c r="C8" s="33"/>
      <c r="D8" s="37">
        <f>IF( ISERROR(IND_metaal_Gas_kWH/1000),0,IND_metaal_Gas_kWH/1000)*0.902</f>
        <v>139.62543347417474</v>
      </c>
      <c r="E8" s="33">
        <f>C30*'E Balans VL '!I18/100/3.6*1000000</f>
        <v>3.8469926952575202</v>
      </c>
      <c r="F8" s="33">
        <f>C30*'E Balans VL '!L18/100/3.6*1000000+C30*'E Balans VL '!N18/100/3.6*1000000</f>
        <v>60.109656099429202</v>
      </c>
      <c r="G8" s="34"/>
      <c r="H8" s="33"/>
      <c r="I8" s="33"/>
      <c r="J8" s="40">
        <f>C30*'E Balans VL '!D18/100/3.6*1000000+C30*'E Balans VL '!E18/100/3.6*1000000</f>
        <v>11.295608843405171</v>
      </c>
      <c r="K8" s="33"/>
      <c r="L8" s="33"/>
      <c r="M8" s="33"/>
      <c r="N8" s="33">
        <f>C30*'E Balans VL '!Y18/100/3.6*1000000</f>
        <v>2.0519792842798061</v>
      </c>
      <c r="O8" s="33"/>
      <c r="P8" s="33"/>
      <c r="R8" s="32"/>
    </row>
    <row r="9" spans="1:18">
      <c r="A9" s="6" t="s">
        <v>32</v>
      </c>
      <c r="B9" s="37">
        <f t="shared" si="0"/>
        <v>2314.4783714414998</v>
      </c>
      <c r="C9" s="33"/>
      <c r="D9" s="37">
        <f>IF( ISERROR(IND_andere_gas_kWh/1000),0,IND_andere_gas_kWh/1000)*0.902</f>
        <v>1300.4096777303828</v>
      </c>
      <c r="E9" s="33">
        <f>C31*'E Balans VL '!I19/100/3.6*1000000</f>
        <v>38.874499574891949</v>
      </c>
      <c r="F9" s="33">
        <f>C31*'E Balans VL '!L19/100/3.6*1000000+C31*'E Balans VL '!N19/100/3.6*1000000</f>
        <v>1809.3273679478195</v>
      </c>
      <c r="G9" s="34"/>
      <c r="H9" s="33"/>
      <c r="I9" s="33"/>
      <c r="J9" s="40">
        <f>C31*'E Balans VL '!D19/100/3.6*1000000+C31*'E Balans VL '!E19/100/3.6*1000000</f>
        <v>0.2087455183125641</v>
      </c>
      <c r="K9" s="33"/>
      <c r="L9" s="33"/>
      <c r="M9" s="33"/>
      <c r="N9" s="33">
        <f>C31*'E Balans VL '!Y19/100/3.6*1000000</f>
        <v>171.53997986023788</v>
      </c>
      <c r="O9" s="33"/>
      <c r="P9" s="33"/>
      <c r="R9" s="32"/>
    </row>
    <row r="10" spans="1:18">
      <c r="A10" s="6" t="s">
        <v>40</v>
      </c>
      <c r="B10" s="37">
        <f t="shared" si="0"/>
        <v>281.93601250974797</v>
      </c>
      <c r="C10" s="33"/>
      <c r="D10" s="37">
        <f>IF( ISERROR(IND_voed_gas_kWh/1000),0,IND_voed_gas_kWh/1000)*0.902</f>
        <v>498.38914911687408</v>
      </c>
      <c r="E10" s="33">
        <f>C32*'E Balans VL '!I20/100/3.6*1000000</f>
        <v>2.5722670196345754</v>
      </c>
      <c r="F10" s="33">
        <f>C32*'E Balans VL '!L20/100/3.6*1000000+C32*'E Balans VL '!N20/100/3.6*1000000</f>
        <v>45.485097260220442</v>
      </c>
      <c r="G10" s="34"/>
      <c r="H10" s="33"/>
      <c r="I10" s="33"/>
      <c r="J10" s="40">
        <f>C32*'E Balans VL '!D20/100/3.6*1000000+C32*'E Balans VL '!E20/100/3.6*1000000</f>
        <v>1.1611973457124389</v>
      </c>
      <c r="K10" s="33"/>
      <c r="L10" s="33"/>
      <c r="M10" s="33"/>
      <c r="N10" s="33">
        <f>C32*'E Balans VL '!Y20/100/3.6*1000000</f>
        <v>4.1245015502323028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3332.46238390902</v>
      </c>
      <c r="C15" s="33"/>
      <c r="D15" s="37">
        <f>IF( ISERROR(IND_rest_gas_kWh/1000),0,IND_rest_gas_kWh/1000)*0.902</f>
        <v>4113.1425335136864</v>
      </c>
      <c r="E15" s="33">
        <f>C37*'E Balans VL '!I15/100/3.6*1000000</f>
        <v>30.07468489463378</v>
      </c>
      <c r="F15" s="33">
        <f>C37*'E Balans VL '!L15/100/3.6*1000000+C37*'E Balans VL '!N15/100/3.6*1000000</f>
        <v>666.18598971759366</v>
      </c>
      <c r="G15" s="34"/>
      <c r="H15" s="33"/>
      <c r="I15" s="33"/>
      <c r="J15" s="40">
        <f>C37*'E Balans VL '!D15/100/3.6*1000000+C37*'E Balans VL '!E15/100/3.6*1000000</f>
        <v>22.438643000411819</v>
      </c>
      <c r="K15" s="33"/>
      <c r="L15" s="33"/>
      <c r="M15" s="33"/>
      <c r="N15" s="33">
        <f>C37*'E Balans VL '!Y15/100/3.6*1000000</f>
        <v>59.970516272521735</v>
      </c>
      <c r="O15" s="33"/>
      <c r="P15" s="33"/>
      <c r="R15" s="32"/>
    </row>
    <row r="16" spans="1:18">
      <c r="A16" s="16" t="s">
        <v>483</v>
      </c>
      <c r="B16" s="243">
        <f>'lokale energieproductie'!N40+'lokale energieproductie'!N33</f>
        <v>0</v>
      </c>
      <c r="C16" s="243">
        <f>'lokale energieproductie'!O40+'lokale energieproductie'!O33</f>
        <v>0</v>
      </c>
      <c r="D16" s="302">
        <f>('lokale energieproductie'!P33+'lokale energieproductie'!P40)*(-1)</f>
        <v>0</v>
      </c>
      <c r="E16" s="244"/>
      <c r="F16" s="302">
        <f>('lokale energieproductie'!S33+'lokale energieproductie'!S40)*(-1)</f>
        <v>0</v>
      </c>
      <c r="G16" s="245"/>
      <c r="H16" s="244"/>
      <c r="I16" s="244"/>
      <c r="J16" s="244"/>
      <c r="K16" s="244"/>
      <c r="L16" s="302">
        <f>('lokale energieproductie'!T33+'lokale energieproductie'!U33+'lokale energieproductie'!T40+'lokale energieproductie'!U40)*(-1)</f>
        <v>0</v>
      </c>
      <c r="M16" s="244"/>
      <c r="N16" s="302">
        <f>('lokale energieproductie'!Q33+'lokale energieproductie'!R33+'lokale energieproductie'!V33+'lokale energieproductie'!Q40+'lokale energieproductie'!R40+'lokale energieproductie'!V40)*(-1)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6476.3527163939616</v>
      </c>
      <c r="C18" s="21">
        <f>C5+C16</f>
        <v>0</v>
      </c>
      <c r="D18" s="21">
        <f>MAX((D5+D16),0)</f>
        <v>6051.566793835118</v>
      </c>
      <c r="E18" s="21">
        <f>MAX((E5+E16),0)</f>
        <v>75.368444184417825</v>
      </c>
      <c r="F18" s="21">
        <f>MAX((F5+F16),0)</f>
        <v>2581.108111025063</v>
      </c>
      <c r="G18" s="21"/>
      <c r="H18" s="21"/>
      <c r="I18" s="21"/>
      <c r="J18" s="21">
        <f>MAX((J5+J16),0)</f>
        <v>35.104194707841998</v>
      </c>
      <c r="K18" s="21"/>
      <c r="L18" s="21">
        <f>MAX((L5+L16),0)</f>
        <v>0</v>
      </c>
      <c r="M18" s="21"/>
      <c r="N18" s="21">
        <f>MAX((N5+N16),0)</f>
        <v>237.68697696727173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0.21938014827746322</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1420.783219219659</v>
      </c>
      <c r="C22" s="23">
        <f ca="1">C18*C20</f>
        <v>0</v>
      </c>
      <c r="D22" s="23">
        <f>D18*D20</f>
        <v>1222.4164923546939</v>
      </c>
      <c r="E22" s="23">
        <f>E18*E20</f>
        <v>17.108636829862846</v>
      </c>
      <c r="F22" s="23">
        <f>F18*F20</f>
        <v>689.15586564369187</v>
      </c>
      <c r="G22" s="23"/>
      <c r="H22" s="23"/>
      <c r="I22" s="23"/>
      <c r="J22" s="23">
        <f>J18*J20</f>
        <v>12.426884926576067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547.47594853369401</v>
      </c>
      <c r="C30" s="39">
        <f>IF(ISERROR(B30*3.6/1000000/'E Balans VL '!Z18*100),0,B30*3.6/1000000/'E Balans VL '!Z18*100)</f>
        <v>3.6445808210717343E-2</v>
      </c>
      <c r="D30" s="233" t="s">
        <v>676</v>
      </c>
    </row>
    <row r="31" spans="1:18">
      <c r="A31" s="6" t="s">
        <v>32</v>
      </c>
      <c r="B31" s="37">
        <f>IF( ISERROR(IND_ander_ele_kWh/1000),0,IND_ander_ele_kWh/1000)</f>
        <v>2314.4783714414998</v>
      </c>
      <c r="C31" s="39">
        <f>IF(ISERROR(B31*3.6/1000000/'E Balans VL '!Z19*100),0,B31*3.6/1000000/'E Balans VL '!Z19*100)</f>
        <v>0.10259165405122606</v>
      </c>
      <c r="D31" s="233" t="s">
        <v>676</v>
      </c>
    </row>
    <row r="32" spans="1:18">
      <c r="A32" s="168" t="s">
        <v>40</v>
      </c>
      <c r="B32" s="37">
        <f>IF( ISERROR(IND_voed_ele_kWh/1000),0,IND_voed_ele_kWh/1000)</f>
        <v>281.93601250974797</v>
      </c>
      <c r="C32" s="39">
        <f>IF(ISERROR(B32*3.6/1000000/'E Balans VL '!Z20*100),0,B32*3.6/1000000/'E Balans VL '!Z20*100)</f>
        <v>9.4174715875702114E-3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3332.46238390902</v>
      </c>
      <c r="C37" s="39">
        <f>IF(ISERROR(B37*3.6/1000000/'E Balans VL '!Z15*100),0,B37*3.6/1000000/'E Balans VL '!Z15*100)</f>
        <v>2.4788091090663263E-2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11634.0668632208</v>
      </c>
      <c r="C5" s="17">
        <f>'Eigen informatie GS &amp; warmtenet'!B60</f>
        <v>0</v>
      </c>
      <c r="D5" s="30">
        <f>IF(ISERROR(SUM(LB_lb_gas_kWh,LB_rest_gas_kWh)/1000),0,SUM(LB_lb_gas_kWh,LB_rest_gas_kWh)/1000)*0.902</f>
        <v>123925.73755409209</v>
      </c>
      <c r="E5" s="17">
        <f>B17*'E Balans VL '!I25/3.6*1000000/100</f>
        <v>104.83770476734686</v>
      </c>
      <c r="F5" s="17">
        <f>B17*('E Balans VL '!L25/3.6*1000000+'E Balans VL '!N25/3.6*1000000)/100</f>
        <v>43593.203363777997</v>
      </c>
      <c r="G5" s="18"/>
      <c r="H5" s="17"/>
      <c r="I5" s="17"/>
      <c r="J5" s="17">
        <f>('E Balans VL '!D25+'E Balans VL '!E25)/3.6*1000000*landbouw!B17/100</f>
        <v>1177.3194494009867</v>
      </c>
      <c r="K5" s="17"/>
      <c r="L5" s="17">
        <f>L6*(-1)</f>
        <v>0</v>
      </c>
      <c r="M5" s="17"/>
      <c r="N5" s="17">
        <f>N6*(-1)</f>
        <v>0</v>
      </c>
      <c r="O5" s="17"/>
      <c r="P5" s="17"/>
      <c r="R5" s="32"/>
    </row>
    <row r="6" spans="1:18">
      <c r="A6" s="16" t="s">
        <v>483</v>
      </c>
      <c r="B6" s="17" t="s">
        <v>204</v>
      </c>
      <c r="C6" s="17">
        <f>'lokale energieproductie'!O42+'lokale energieproductie'!O35</f>
        <v>70290</v>
      </c>
      <c r="D6" s="302">
        <f>('lokale energieproductie'!P35+'lokale energieproductie'!P42)*(-1)</f>
        <v>-140580</v>
      </c>
      <c r="E6" s="244"/>
      <c r="F6" s="302">
        <f>('lokale energieproductie'!S35+'lokale energieproductie'!S42)*(-1)</f>
        <v>0</v>
      </c>
      <c r="G6" s="245"/>
      <c r="H6" s="244"/>
      <c r="I6" s="244"/>
      <c r="J6" s="244"/>
      <c r="K6" s="244"/>
      <c r="L6" s="302">
        <f>('lokale energieproductie'!T35+'lokale energieproductie'!U35+'lokale energieproductie'!T42+'lokale energieproductie'!U42)*(-1)</f>
        <v>0</v>
      </c>
      <c r="M6" s="244"/>
      <c r="N6" s="302">
        <f>('lokale energieproductie'!V35+'lokale energieproductie'!R35+'lokale energieproductie'!Q35+'lokale energieproductie'!Q42+'lokale energieproductie'!R42+'lokale energieproductie'!V42)*(-1)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11634.0668632208</v>
      </c>
      <c r="C8" s="21">
        <f>C5+C6</f>
        <v>70290</v>
      </c>
      <c r="D8" s="21">
        <f>MAX((D5+D6),0)</f>
        <v>0</v>
      </c>
      <c r="E8" s="21">
        <f>MAX((E5+E6),0)</f>
        <v>104.83770476734686</v>
      </c>
      <c r="F8" s="21">
        <f>MAX((F5+F6),0)</f>
        <v>43593.203363777997</v>
      </c>
      <c r="G8" s="21"/>
      <c r="H8" s="21"/>
      <c r="I8" s="21"/>
      <c r="J8" s="21">
        <f>MAX((J5+J6),0)</f>
        <v>1177.3194494009867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0.21938014827746322</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2552.2833135233004</v>
      </c>
      <c r="C12" s="23">
        <f ca="1">C8*C10</f>
        <v>16704.211764705884</v>
      </c>
      <c r="D12" s="23">
        <f>D8*D10</f>
        <v>0</v>
      </c>
      <c r="E12" s="23">
        <f>E8*E10</f>
        <v>23.79815898218774</v>
      </c>
      <c r="F12" s="23">
        <f>F8*F10</f>
        <v>11639.385298128725</v>
      </c>
      <c r="G12" s="23"/>
      <c r="H12" s="23"/>
      <c r="I12" s="23"/>
      <c r="J12" s="23">
        <f>J8*J10</f>
        <v>416.7710850879493</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1.790707469241988</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1598.5770836476854</v>
      </c>
      <c r="C26" s="243">
        <f>B26*'GWP N2O_CH4'!B5</f>
        <v>33570.11875660139</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965.55357372153708</v>
      </c>
      <c r="C27" s="243">
        <f>B27*'GWP N2O_CH4'!B5</f>
        <v>20276.62504815228</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27.115864008007875</v>
      </c>
      <c r="C28" s="243">
        <f>B28*'GWP N2O_CH4'!B4</f>
        <v>8405.9178424824422</v>
      </c>
      <c r="D28" s="50"/>
    </row>
    <row r="29" spans="1:4">
      <c r="A29" s="41" t="s">
        <v>266</v>
      </c>
      <c r="B29" s="243">
        <f>B34*'ha_N2O bodem landbouw'!B4</f>
        <v>33.85174840167096</v>
      </c>
      <c r="C29" s="243">
        <f>B29*'GWP N2O_CH4'!B4</f>
        <v>10494.042004517998</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8.7889637616943329E-3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7.3569050233936822E-6</v>
      </c>
      <c r="C5" s="431" t="s">
        <v>204</v>
      </c>
      <c r="D5" s="416">
        <f>SUM(D6:D11)</f>
        <v>2.1998437559857876E-5</v>
      </c>
      <c r="E5" s="416">
        <f>SUM(E6:E11)</f>
        <v>2.5420303431151984E-3</v>
      </c>
      <c r="F5" s="429" t="s">
        <v>204</v>
      </c>
      <c r="G5" s="416">
        <f>SUM(G6:G11)</f>
        <v>0.63068960715838962</v>
      </c>
      <c r="H5" s="416">
        <f>SUM(H6:H11)</f>
        <v>7.8655529309933983E-2</v>
      </c>
      <c r="I5" s="431" t="s">
        <v>204</v>
      </c>
      <c r="J5" s="431" t="s">
        <v>204</v>
      </c>
      <c r="K5" s="431" t="s">
        <v>204</v>
      </c>
      <c r="L5" s="431" t="s">
        <v>204</v>
      </c>
      <c r="M5" s="416">
        <f>SUM(M6:M11)</f>
        <v>3.0789713584522309E-2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2.6142897020089974E-6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8.2519449629443833E-6</v>
      </c>
      <c r="E6" s="419">
        <f>vkm_GW_PW*SUMIFS(TableVerdeelsleutelVkm[LPG],TableVerdeelsleutelVkm[Voertuigtype],"Lichte voertuigen")*SUMIFS(TableECFTransport[EnergieConsumptieFactor (PJ per km)],TableECFTransport[Index],CONCATENATE($A6,"_LPG_LPG"))</f>
        <v>8.5703431628655663E-4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0.1143990768137715</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2.8732118247983125E-2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6.2506159924263288E-3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1.0253904554971442E-7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4.6222092402184792E-2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1.3600551859555214E-6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1.9912719595801148E-3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5.0766579218856714E-7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2.7178628113521376E-6</v>
      </c>
      <c r="E8" s="419">
        <f>vkm_NGW_PW*SUMIFS(TableVerdeelsleutelVkm[LPG],TableVerdeelsleutelVkm[Voertuigtype],"Lichte voertuigen")*SUMIFS(TableECFTransport[EnergieConsumptieFactor (PJ per km)],TableECFTransport[Index],CONCATENATE($A8,"_LPG_LPG"))</f>
        <v>2.6567147463146633E-4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3.3734926179693522E-2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8.9376180011147138E-3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1.8646274134135456E-3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6.2819010985584578E-9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3.9223870076098523E-3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1.0057147069088643E-7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1.6897780437758522E-4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3.5365671288913213E-6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1.1028629785561353E-5</v>
      </c>
      <c r="E10" s="419">
        <f>vkm_SW_PW*SUMIFS(TableVerdeelsleutelVkm[LPG],TableVerdeelsleutelVkm[Voertuigtype],"Lichte voertuigen")*SUMIFS(TableECFTransport[EnergieConsumptieFactor (PJ per km)],TableECFTransport[Index],CONCATENATE($A10,"_LPG_LPG"))</f>
        <v>1.4193245521971754E-3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0.17597500126333385</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4.0976283714899704E-2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9.4667946881616949E-3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5.8956145365652377E-7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0.25643612349179606</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8.0487192797931801E-6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1.1047425726563039E-2</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2.0435847287204671</v>
      </c>
      <c r="C14" s="21"/>
      <c r="D14" s="21">
        <f t="shared" ref="D14:M14" si="0">((D5)*10^9/3600)+D12</f>
        <v>6.1106770999605216</v>
      </c>
      <c r="E14" s="21">
        <f t="shared" si="0"/>
        <v>706.11953975422182</v>
      </c>
      <c r="F14" s="21"/>
      <c r="G14" s="21">
        <f t="shared" si="0"/>
        <v>175191.5575439971</v>
      </c>
      <c r="H14" s="21">
        <f t="shared" si="0"/>
        <v>21848.75814164833</v>
      </c>
      <c r="I14" s="21"/>
      <c r="J14" s="21"/>
      <c r="K14" s="21"/>
      <c r="L14" s="21"/>
      <c r="M14" s="21">
        <f t="shared" si="0"/>
        <v>8552.6982179228635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0.21938014827746322</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0.44832192080425554</v>
      </c>
      <c r="C18" s="23"/>
      <c r="D18" s="23">
        <f t="shared" ref="D18:M18" si="1">D14*D16</f>
        <v>1.2343567741920254</v>
      </c>
      <c r="E18" s="23">
        <f t="shared" si="1"/>
        <v>160.28913552420835</v>
      </c>
      <c r="F18" s="23"/>
      <c r="G18" s="23">
        <f t="shared" si="1"/>
        <v>46776.145864247228</v>
      </c>
      <c r="H18" s="23">
        <f t="shared" si="1"/>
        <v>5440.340777270434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3.544443365070271E-5</v>
      </c>
      <c r="C50" s="313">
        <f t="shared" ref="C50:P50" si="2">SUM(C51:C52)</f>
        <v>0</v>
      </c>
      <c r="D50" s="313">
        <f t="shared" si="2"/>
        <v>0</v>
      </c>
      <c r="E50" s="313">
        <f t="shared" si="2"/>
        <v>0</v>
      </c>
      <c r="F50" s="313">
        <f t="shared" si="2"/>
        <v>0</v>
      </c>
      <c r="G50" s="313">
        <f t="shared" si="2"/>
        <v>7.6893140234266522E-3</v>
      </c>
      <c r="H50" s="313">
        <f t="shared" si="2"/>
        <v>0</v>
      </c>
      <c r="I50" s="313">
        <f t="shared" si="2"/>
        <v>0</v>
      </c>
      <c r="J50" s="313">
        <f t="shared" si="2"/>
        <v>0</v>
      </c>
      <c r="K50" s="313">
        <f t="shared" si="2"/>
        <v>0</v>
      </c>
      <c r="L50" s="313">
        <f t="shared" si="2"/>
        <v>0</v>
      </c>
      <c r="M50" s="313">
        <f t="shared" si="2"/>
        <v>3.2922688991311277E-4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3.544443365070271E-5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7.6893140234266522E-3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3.2922688991311277E-4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9.845676014084086</v>
      </c>
      <c r="C54" s="21">
        <f t="shared" ref="C54:P54" si="3">(C50)*10^9/3600</f>
        <v>0</v>
      </c>
      <c r="D54" s="21">
        <f t="shared" si="3"/>
        <v>0</v>
      </c>
      <c r="E54" s="21">
        <f t="shared" si="3"/>
        <v>0</v>
      </c>
      <c r="F54" s="21">
        <f t="shared" si="3"/>
        <v>0</v>
      </c>
      <c r="G54" s="21">
        <f t="shared" si="3"/>
        <v>2135.9205620629587</v>
      </c>
      <c r="H54" s="21">
        <f t="shared" si="3"/>
        <v>0</v>
      </c>
      <c r="I54" s="21">
        <f t="shared" si="3"/>
        <v>0</v>
      </c>
      <c r="J54" s="21">
        <f t="shared" si="3"/>
        <v>0</v>
      </c>
      <c r="K54" s="21">
        <f t="shared" si="3"/>
        <v>0</v>
      </c>
      <c r="L54" s="21">
        <f t="shared" si="3"/>
        <v>0</v>
      </c>
      <c r="M54" s="21">
        <f t="shared" si="3"/>
        <v>91.45191386475355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0.21938014827746322</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2.1599458638616298</v>
      </c>
      <c r="C58" s="23">
        <f t="shared" ref="C58:P58" ca="1" si="4">C54*C56</f>
        <v>0</v>
      </c>
      <c r="D58" s="23">
        <f t="shared" si="4"/>
        <v>0</v>
      </c>
      <c r="E58" s="23">
        <f t="shared" si="4"/>
        <v>0</v>
      </c>
      <c r="F58" s="23">
        <f t="shared" si="4"/>
        <v>0</v>
      </c>
      <c r="G58" s="23">
        <f t="shared" si="4"/>
        <v>570.29079007080998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4266.9614588839777</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N32</f>
        <v>49203</v>
      </c>
      <c r="C8" s="542">
        <f>B51</f>
        <v>57885.882352941175</v>
      </c>
      <c r="D8" s="920"/>
      <c r="E8" s="920">
        <f>E51</f>
        <v>0</v>
      </c>
      <c r="F8" s="921"/>
      <c r="G8" s="543"/>
      <c r="H8" s="920">
        <f>I51</f>
        <v>0</v>
      </c>
      <c r="I8" s="920">
        <f>G51+F51</f>
        <v>0</v>
      </c>
      <c r="J8" s="920">
        <f>H51+D51+C51</f>
        <v>0</v>
      </c>
      <c r="K8" s="920"/>
      <c r="L8" s="920"/>
      <c r="M8" s="920"/>
      <c r="N8" s="544"/>
      <c r="O8" s="545">
        <f>C8*$C$12+D8*$D$12+E8*$E$12+F8*$F$12+G8*$G$12+H8*$H$12+I8*$I$12+J8*$J$12</f>
        <v>11692.948235294118</v>
      </c>
      <c r="P8" s="1181"/>
      <c r="Q8" s="1182"/>
      <c r="S8" s="953"/>
      <c r="T8" s="1169"/>
      <c r="U8" s="1169"/>
    </row>
    <row r="9" spans="1:21" s="530" customFormat="1" ht="17.45" customHeight="1" thickBot="1">
      <c r="A9" s="546" t="s">
        <v>237</v>
      </c>
      <c r="B9" s="957">
        <f>N39+'Eigen informatie GS &amp; warmtenet'!B12</f>
        <v>0</v>
      </c>
      <c r="C9" s="547">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53469.961458883976</v>
      </c>
      <c r="C10" s="554">
        <f t="shared" ref="C10:L10" si="0">SUM(C8:C9)</f>
        <v>57885.882352941175</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11692.948235294118</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O32</f>
        <v>70290</v>
      </c>
      <c r="C17" s="566">
        <f>B52</f>
        <v>82694.117647058825</v>
      </c>
      <c r="D17" s="567"/>
      <c r="E17" s="567">
        <f>E52</f>
        <v>0</v>
      </c>
      <c r="F17" s="568"/>
      <c r="G17" s="569"/>
      <c r="H17" s="566">
        <f>I52</f>
        <v>0</v>
      </c>
      <c r="I17" s="567">
        <f>G52+F52</f>
        <v>0</v>
      </c>
      <c r="J17" s="567">
        <f>H52+D52+C52</f>
        <v>0</v>
      </c>
      <c r="K17" s="567"/>
      <c r="L17" s="567"/>
      <c r="M17" s="567"/>
      <c r="N17" s="916"/>
      <c r="O17" s="570">
        <f>C17*$C$22+E17*$E$22+H17*$H$22+I17*$I$22+J17*$J$22+D17*$D$22+F17*$F$22+G17*$G$22+K17*$K$22+L17*$L$22</f>
        <v>16704.211764705884</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70290</v>
      </c>
      <c r="C20" s="553">
        <f>SUM(C17:C19)</f>
        <v>82694.117647058825</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16704.211764705884</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11053</v>
      </c>
      <c r="C28" s="736">
        <v>2990</v>
      </c>
      <c r="D28" s="626"/>
      <c r="E28" s="625"/>
      <c r="F28" s="625"/>
      <c r="G28" s="625" t="s">
        <v>962</v>
      </c>
      <c r="H28" s="625" t="s">
        <v>963</v>
      </c>
      <c r="I28" s="625"/>
      <c r="J28" s="735"/>
      <c r="K28" s="735"/>
      <c r="L28" s="625" t="s">
        <v>964</v>
      </c>
      <c r="M28" s="625">
        <v>801</v>
      </c>
      <c r="N28" s="625">
        <v>3604.5</v>
      </c>
      <c r="O28" s="625">
        <v>5149.2857142857147</v>
      </c>
      <c r="P28" s="625">
        <v>10298.571428571429</v>
      </c>
      <c r="Q28" s="625">
        <v>0</v>
      </c>
      <c r="R28" s="625">
        <v>0</v>
      </c>
      <c r="S28" s="625">
        <v>0</v>
      </c>
      <c r="T28" s="625">
        <v>0</v>
      </c>
      <c r="U28" s="625">
        <v>0</v>
      </c>
      <c r="V28" s="625">
        <v>0</v>
      </c>
      <c r="W28" s="625">
        <v>0</v>
      </c>
      <c r="X28" s="625"/>
      <c r="Y28" s="625">
        <v>10</v>
      </c>
      <c r="Z28" s="625" t="s">
        <v>105</v>
      </c>
      <c r="AA28" s="627" t="s">
        <v>105</v>
      </c>
    </row>
    <row r="29" spans="1:27" s="579" customFormat="1" ht="25.5" hidden="1">
      <c r="A29" s="578"/>
      <c r="B29" s="736">
        <v>11053</v>
      </c>
      <c r="C29" s="736">
        <v>2990</v>
      </c>
      <c r="D29" s="626"/>
      <c r="E29" s="625"/>
      <c r="F29" s="625"/>
      <c r="G29" s="625" t="s">
        <v>962</v>
      </c>
      <c r="H29" s="625" t="s">
        <v>963</v>
      </c>
      <c r="I29" s="625"/>
      <c r="J29" s="735"/>
      <c r="K29" s="735"/>
      <c r="L29" s="625" t="s">
        <v>964</v>
      </c>
      <c r="M29" s="625">
        <v>1558</v>
      </c>
      <c r="N29" s="625">
        <v>7011</v>
      </c>
      <c r="O29" s="625">
        <v>10015.714285714286</v>
      </c>
      <c r="P29" s="625">
        <v>20031.428571428572</v>
      </c>
      <c r="Q29" s="625">
        <v>0</v>
      </c>
      <c r="R29" s="625">
        <v>0</v>
      </c>
      <c r="S29" s="625">
        <v>0</v>
      </c>
      <c r="T29" s="625">
        <v>0</v>
      </c>
      <c r="U29" s="625">
        <v>0</v>
      </c>
      <c r="V29" s="625">
        <v>0</v>
      </c>
      <c r="W29" s="625">
        <v>0</v>
      </c>
      <c r="X29" s="625"/>
      <c r="Y29" s="625">
        <v>10</v>
      </c>
      <c r="Z29" s="625" t="s">
        <v>105</v>
      </c>
      <c r="AA29" s="627" t="s">
        <v>105</v>
      </c>
    </row>
    <row r="30" spans="1:27" s="579" customFormat="1" ht="25.5" hidden="1">
      <c r="A30" s="578"/>
      <c r="B30" s="736">
        <v>11053</v>
      </c>
      <c r="C30" s="736">
        <v>2990</v>
      </c>
      <c r="D30" s="626"/>
      <c r="E30" s="625"/>
      <c r="F30" s="625"/>
      <c r="G30" s="625" t="s">
        <v>962</v>
      </c>
      <c r="H30" s="625" t="s">
        <v>963</v>
      </c>
      <c r="I30" s="625"/>
      <c r="J30" s="735"/>
      <c r="K30" s="735"/>
      <c r="L30" s="625" t="s">
        <v>964</v>
      </c>
      <c r="M30" s="625">
        <v>3435</v>
      </c>
      <c r="N30" s="625">
        <v>15457.5</v>
      </c>
      <c r="O30" s="625">
        <v>22082.142857142859</v>
      </c>
      <c r="P30" s="625">
        <v>44164.285714285717</v>
      </c>
      <c r="Q30" s="625">
        <v>0</v>
      </c>
      <c r="R30" s="625">
        <v>0</v>
      </c>
      <c r="S30" s="625">
        <v>0</v>
      </c>
      <c r="T30" s="625">
        <v>0</v>
      </c>
      <c r="U30" s="625">
        <v>0</v>
      </c>
      <c r="V30" s="625">
        <v>0</v>
      </c>
      <c r="W30" s="625">
        <v>0</v>
      </c>
      <c r="X30" s="625"/>
      <c r="Y30" s="625">
        <v>10</v>
      </c>
      <c r="Z30" s="625" t="s">
        <v>105</v>
      </c>
      <c r="AA30" s="627" t="s">
        <v>105</v>
      </c>
    </row>
    <row r="31" spans="1:27" s="579" customFormat="1" ht="25.5" hidden="1">
      <c r="A31" s="578"/>
      <c r="B31" s="736">
        <v>11053</v>
      </c>
      <c r="C31" s="736">
        <v>2990</v>
      </c>
      <c r="D31" s="626"/>
      <c r="E31" s="625"/>
      <c r="F31" s="625"/>
      <c r="G31" s="625" t="s">
        <v>962</v>
      </c>
      <c r="H31" s="625" t="s">
        <v>963</v>
      </c>
      <c r="I31" s="625"/>
      <c r="J31" s="735"/>
      <c r="K31" s="735"/>
      <c r="L31" s="625" t="s">
        <v>964</v>
      </c>
      <c r="M31" s="625">
        <v>5140</v>
      </c>
      <c r="N31" s="625">
        <v>23130</v>
      </c>
      <c r="O31" s="625">
        <v>33042.857142857145</v>
      </c>
      <c r="P31" s="625">
        <v>66085.71428571429</v>
      </c>
      <c r="Q31" s="625">
        <v>0</v>
      </c>
      <c r="R31" s="625">
        <v>0</v>
      </c>
      <c r="S31" s="625">
        <v>0</v>
      </c>
      <c r="T31" s="625">
        <v>0</v>
      </c>
      <c r="U31" s="625">
        <v>0</v>
      </c>
      <c r="V31" s="625">
        <v>0</v>
      </c>
      <c r="W31" s="625">
        <v>0</v>
      </c>
      <c r="X31" s="625"/>
      <c r="Y31" s="625">
        <v>10</v>
      </c>
      <c r="Z31" s="625" t="s">
        <v>105</v>
      </c>
      <c r="AA31" s="627" t="s">
        <v>105</v>
      </c>
    </row>
    <row r="32" spans="1:27" s="561" customFormat="1" hidden="1">
      <c r="A32" s="581" t="s">
        <v>269</v>
      </c>
      <c r="B32" s="582"/>
      <c r="C32" s="582"/>
      <c r="D32" s="582"/>
      <c r="E32" s="582"/>
      <c r="F32" s="582"/>
      <c r="G32" s="582"/>
      <c r="H32" s="582"/>
      <c r="I32" s="582"/>
      <c r="J32" s="582"/>
      <c r="K32" s="582"/>
      <c r="L32" s="583"/>
      <c r="M32" s="583">
        <f>SUM(M28:M31)</f>
        <v>10934</v>
      </c>
      <c r="N32" s="583">
        <f>SUM(N28:N31)</f>
        <v>49203</v>
      </c>
      <c r="O32" s="583">
        <f>SUM(O28:O31)</f>
        <v>70290</v>
      </c>
      <c r="P32" s="583">
        <f>SUM(P28:P31)</f>
        <v>140580</v>
      </c>
      <c r="Q32" s="583">
        <f>SUM(Q28:Q31)</f>
        <v>0</v>
      </c>
      <c r="R32" s="583">
        <f>SUM(R28:R31)</f>
        <v>0</v>
      </c>
      <c r="S32" s="583">
        <f>SUM(S28:S31)</f>
        <v>0</v>
      </c>
      <c r="T32" s="583">
        <f>SUM(T28:T31)</f>
        <v>0</v>
      </c>
      <c r="U32" s="583">
        <f>SUM(U28:U31)</f>
        <v>0</v>
      </c>
      <c r="V32" s="583">
        <f>SUM(V28:V31)</f>
        <v>0</v>
      </c>
      <c r="W32" s="583">
        <f>SUM(W28:W31)</f>
        <v>0</v>
      </c>
      <c r="X32" s="583"/>
      <c r="Y32" s="584"/>
      <c r="Z32" s="584"/>
      <c r="AA32" s="585"/>
    </row>
    <row r="33" spans="1:28" s="561" customFormat="1">
      <c r="A33" s="581" t="s">
        <v>276</v>
      </c>
      <c r="B33" s="582"/>
      <c r="C33" s="582"/>
      <c r="D33" s="582"/>
      <c r="E33" s="582"/>
      <c r="F33" s="582"/>
      <c r="G33" s="582"/>
      <c r="H33" s="582"/>
      <c r="I33" s="582"/>
      <c r="J33" s="582"/>
      <c r="K33" s="582"/>
      <c r="L33" s="583"/>
      <c r="M33" s="583">
        <f>SUMIF($AA$28:$AA$31,"industrie",M28:M31)</f>
        <v>0</v>
      </c>
      <c r="N33" s="583">
        <f>SUMIF($AA$28:$AA$31,"industrie",N28:N31)</f>
        <v>0</v>
      </c>
      <c r="O33" s="583">
        <f>SUMIF($AA$28:$AA$31,"industrie",O28:O31)</f>
        <v>0</v>
      </c>
      <c r="P33" s="583">
        <f>SUMIF($AA$28:$AA$31,"industrie",P28:P31)</f>
        <v>0</v>
      </c>
      <c r="Q33" s="583">
        <f>SUMIF($AA$28:$AA$31,"industrie",Q28:Q31)</f>
        <v>0</v>
      </c>
      <c r="R33" s="583">
        <f>SUMIF($AA$28:$AA$31,"industrie",R28:R31)</f>
        <v>0</v>
      </c>
      <c r="S33" s="583">
        <f>SUMIF($AA$28:$AA$31,"industrie",S28:S31)</f>
        <v>0</v>
      </c>
      <c r="T33" s="583">
        <f>SUMIF($AA$28:$AA$31,"industrie",T28:T31)</f>
        <v>0</v>
      </c>
      <c r="U33" s="583">
        <f>SUMIF($AA$28:$AA$31,"industrie",U28:U31)</f>
        <v>0</v>
      </c>
      <c r="V33" s="583">
        <f>SUMIF($AA$28:$AA$31,"industrie",V28:V31)</f>
        <v>0</v>
      </c>
      <c r="W33" s="583">
        <f>SUMIF($AA$28:$AA$31,"industrie",W28:W31)</f>
        <v>0</v>
      </c>
      <c r="X33" s="583"/>
      <c r="Y33" s="584"/>
      <c r="Z33" s="584"/>
      <c r="AA33" s="585"/>
    </row>
    <row r="34" spans="1:28" s="561" customFormat="1">
      <c r="A34" s="581" t="s">
        <v>277</v>
      </c>
      <c r="B34" s="582"/>
      <c r="C34" s="582"/>
      <c r="D34" s="582"/>
      <c r="E34" s="582"/>
      <c r="F34" s="582"/>
      <c r="G34" s="582"/>
      <c r="H34" s="582"/>
      <c r="I34" s="582"/>
      <c r="J34" s="582"/>
      <c r="K34" s="582"/>
      <c r="L34" s="583"/>
      <c r="M34" s="583">
        <f ca="1">SUMIF($AA$28:AD31,"tertiair",M28:M31)</f>
        <v>0</v>
      </c>
      <c r="N34" s="583">
        <f ca="1">SUMIF($AA$28:AE31,"tertiair",N28:N31)</f>
        <v>0</v>
      </c>
      <c r="O34" s="583">
        <f ca="1">SUMIF($AA$28:AF31,"tertiair",O28:O31)</f>
        <v>0</v>
      </c>
      <c r="P34" s="583">
        <f ca="1">SUMIF($AA$28:AG31,"tertiair",P28:P31)</f>
        <v>0</v>
      </c>
      <c r="Q34" s="583">
        <f ca="1">SUMIF($AA$28:AH31,"tertiair",Q28:Q31)</f>
        <v>0</v>
      </c>
      <c r="R34" s="583">
        <f ca="1">SUMIF($AA$28:AI31,"tertiair",R28:R31)</f>
        <v>0</v>
      </c>
      <c r="S34" s="583">
        <f ca="1">SUMIF($AA$28:AJ31,"tertiair",S28:S31)</f>
        <v>0</v>
      </c>
      <c r="T34" s="583">
        <f ca="1">SUMIF($AA$28:AK31,"tertiair",T28:T31)</f>
        <v>0</v>
      </c>
      <c r="U34" s="583">
        <f ca="1">SUMIF($AA$28:AL31,"tertiair",U28:U31)</f>
        <v>0</v>
      </c>
      <c r="V34" s="583">
        <f ca="1">SUMIF($AA$28:AM31,"tertiair",V28:V31)</f>
        <v>0</v>
      </c>
      <c r="W34" s="583">
        <f ca="1">SUMIF($AA$28:AN31,"tertiair",W28:W31)</f>
        <v>0</v>
      </c>
      <c r="X34" s="583"/>
      <c r="Y34" s="584"/>
      <c r="Z34" s="584"/>
      <c r="AA34" s="585"/>
    </row>
    <row r="35" spans="1:28" s="561" customFormat="1" ht="15.75" thickBot="1">
      <c r="A35" s="586" t="s">
        <v>278</v>
      </c>
      <c r="B35" s="587"/>
      <c r="C35" s="587"/>
      <c r="D35" s="587"/>
      <c r="E35" s="587"/>
      <c r="F35" s="587"/>
      <c r="G35" s="587"/>
      <c r="H35" s="587"/>
      <c r="I35" s="587"/>
      <c r="J35" s="587"/>
      <c r="K35" s="587"/>
      <c r="L35" s="588"/>
      <c r="M35" s="588">
        <f>SUMIF($AA$28:$AA$31,"landbouw",M28:M31)</f>
        <v>10934</v>
      </c>
      <c r="N35" s="588">
        <f>SUMIF($AA$28:$AA$31,"landbouw",N28:N31)</f>
        <v>49203</v>
      </c>
      <c r="O35" s="588">
        <f>SUMIF($AA$28:$AA$31,"landbouw",O28:O31)</f>
        <v>70290</v>
      </c>
      <c r="P35" s="588">
        <f>SUMIF($AA$28:$AA$31,"landbouw",P28:P31)</f>
        <v>140580</v>
      </c>
      <c r="Q35" s="588">
        <f>SUMIF($AA$28:$AA$31,"landbouw",Q28:Q31)</f>
        <v>0</v>
      </c>
      <c r="R35" s="588">
        <f>SUMIF($AA$28:$AA$31,"landbouw",R28:R31)</f>
        <v>0</v>
      </c>
      <c r="S35" s="588">
        <f>SUMIF($AA$28:$AA$31,"landbouw",S28:S31)</f>
        <v>0</v>
      </c>
      <c r="T35" s="588">
        <f>SUMIF($AA$28:$AA$31,"landbouw",T28:T31)</f>
        <v>0</v>
      </c>
      <c r="U35" s="588">
        <f>SUMIF($AA$28:$AA$31,"landbouw",U28:U31)</f>
        <v>0</v>
      </c>
      <c r="V35" s="588">
        <f>SUMIF($AA$28:$AA$31,"landbouw",V28:V31)</f>
        <v>0</v>
      </c>
      <c r="W35" s="588">
        <f>SUMIF($AA$28:$AA$31,"landbouw",W28:W31)</f>
        <v>0</v>
      </c>
      <c r="X35" s="588"/>
      <c r="Y35" s="589"/>
      <c r="Z35" s="589"/>
      <c r="AA35" s="590"/>
    </row>
    <row r="36" spans="1:28" s="530" customFormat="1" ht="15.75" thickBot="1">
      <c r="A36" s="591"/>
      <c r="B36" s="592"/>
      <c r="C36" s="592"/>
      <c r="D36" s="592"/>
      <c r="E36" s="592"/>
      <c r="F36" s="592"/>
      <c r="G36" s="592"/>
      <c r="H36" s="592"/>
      <c r="I36" s="592"/>
      <c r="J36" s="592"/>
      <c r="K36" s="592"/>
      <c r="L36" s="575"/>
      <c r="M36" s="575"/>
      <c r="N36" s="575"/>
      <c r="O36" s="576"/>
      <c r="P36" s="576"/>
    </row>
    <row r="37" spans="1:28" s="530" customFormat="1" ht="45">
      <c r="A37" s="593" t="s">
        <v>270</v>
      </c>
      <c r="B37" s="622" t="s">
        <v>89</v>
      </c>
      <c r="C37" s="622" t="s">
        <v>90</v>
      </c>
      <c r="D37" s="622"/>
      <c r="E37" s="622"/>
      <c r="F37" s="622"/>
      <c r="G37" s="622" t="s">
        <v>91</v>
      </c>
      <c r="H37" s="622" t="s">
        <v>92</v>
      </c>
      <c r="I37" s="622"/>
      <c r="J37" s="622"/>
      <c r="K37" s="622"/>
      <c r="L37" s="622" t="s">
        <v>93</v>
      </c>
      <c r="M37" s="623" t="s">
        <v>287</v>
      </c>
      <c r="N37" s="623" t="s">
        <v>94</v>
      </c>
      <c r="O37" s="623" t="s">
        <v>95</v>
      </c>
      <c r="P37" s="623" t="s">
        <v>528</v>
      </c>
      <c r="Q37" s="623" t="s">
        <v>96</v>
      </c>
      <c r="R37" s="623" t="s">
        <v>97</v>
      </c>
      <c r="S37" s="623" t="s">
        <v>98</v>
      </c>
      <c r="T37" s="623" t="s">
        <v>99</v>
      </c>
      <c r="U37" s="623" t="s">
        <v>100</v>
      </c>
      <c r="V37" s="623" t="s">
        <v>101</v>
      </c>
      <c r="W37" s="622" t="s">
        <v>102</v>
      </c>
      <c r="X37" s="622" t="s">
        <v>961</v>
      </c>
      <c r="Y37" s="622" t="s">
        <v>288</v>
      </c>
      <c r="Z37" s="622" t="s">
        <v>103</v>
      </c>
      <c r="AA37" s="624" t="s">
        <v>289</v>
      </c>
    </row>
    <row r="38" spans="1:28" s="594" customFormat="1" ht="12.75" hidden="1">
      <c r="A38" s="580"/>
      <c r="B38" s="736"/>
      <c r="C38" s="736"/>
      <c r="D38" s="628"/>
      <c r="E38" s="628"/>
      <c r="F38" s="628"/>
      <c r="G38" s="628"/>
      <c r="H38" s="628"/>
      <c r="I38" s="628"/>
      <c r="J38" s="735"/>
      <c r="K38" s="735"/>
      <c r="L38" s="628"/>
      <c r="M38" s="628"/>
      <c r="N38" s="628"/>
      <c r="O38" s="628"/>
      <c r="P38" s="628"/>
      <c r="Q38" s="628"/>
      <c r="R38" s="628"/>
      <c r="S38" s="628"/>
      <c r="T38" s="628"/>
      <c r="U38" s="628"/>
      <c r="V38" s="628"/>
      <c r="W38" s="628"/>
      <c r="X38" s="628"/>
      <c r="Y38" s="628"/>
      <c r="Z38" s="628"/>
      <c r="AA38" s="629"/>
    </row>
    <row r="39" spans="1:28" s="561" customFormat="1" hidden="1">
      <c r="A39" s="581" t="s">
        <v>269</v>
      </c>
      <c r="B39" s="582"/>
      <c r="C39" s="582"/>
      <c r="D39" s="582"/>
      <c r="E39" s="582"/>
      <c r="F39" s="582"/>
      <c r="G39" s="582"/>
      <c r="H39" s="582"/>
      <c r="I39" s="582"/>
      <c r="J39" s="582"/>
      <c r="K39" s="582"/>
      <c r="L39" s="583"/>
      <c r="M39" s="583">
        <f>SUM(M38:M38)</f>
        <v>0</v>
      </c>
      <c r="N39" s="583">
        <f>SUM(N38:N38)</f>
        <v>0</v>
      </c>
      <c r="O39" s="583">
        <f>SUM(O38:O38)</f>
        <v>0</v>
      </c>
      <c r="P39" s="583">
        <f>SUM(P38:P38)</f>
        <v>0</v>
      </c>
      <c r="Q39" s="583">
        <f>SUM(Q38:Q38)</f>
        <v>0</v>
      </c>
      <c r="R39" s="583">
        <f>SUM(R38:R38)</f>
        <v>0</v>
      </c>
      <c r="S39" s="583">
        <f>SUM(S38:S38)</f>
        <v>0</v>
      </c>
      <c r="T39" s="583">
        <f>SUM(T38:T38)</f>
        <v>0</v>
      </c>
      <c r="U39" s="583">
        <f>SUM(U38:U38)</f>
        <v>0</v>
      </c>
      <c r="V39" s="583">
        <f>SUM(V38:V38)</f>
        <v>0</v>
      </c>
      <c r="W39" s="583">
        <f>SUM(W38:W38)</f>
        <v>0</v>
      </c>
      <c r="X39" s="583"/>
      <c r="Y39" s="584"/>
      <c r="Z39" s="584"/>
      <c r="AA39" s="585"/>
    </row>
    <row r="40" spans="1:28" s="561" customFormat="1">
      <c r="A40" s="581" t="s">
        <v>276</v>
      </c>
      <c r="B40" s="582"/>
      <c r="C40" s="582"/>
      <c r="D40" s="582"/>
      <c r="E40" s="582"/>
      <c r="F40" s="582"/>
      <c r="G40" s="582"/>
      <c r="H40" s="582"/>
      <c r="I40" s="582"/>
      <c r="J40" s="582"/>
      <c r="K40" s="582"/>
      <c r="L40" s="583"/>
      <c r="M40" s="583">
        <f>SUMIF($AA$38:$AA$38,"industrie",M38:M38)</f>
        <v>0</v>
      </c>
      <c r="N40" s="583">
        <f>SUMIF($AA$38:$AA$38,"industrie",N38:N38)</f>
        <v>0</v>
      </c>
      <c r="O40" s="583">
        <f>SUMIF($AA$38:$AA$38,"industrie",O38:O38)</f>
        <v>0</v>
      </c>
      <c r="P40" s="583">
        <f>SUMIF($AA$38:$AA$38,"industrie",P38:P38)</f>
        <v>0</v>
      </c>
      <c r="Q40" s="583">
        <f>SUMIF($AA$38:$AA$38,"industrie",Q38:Q38)</f>
        <v>0</v>
      </c>
      <c r="R40" s="583">
        <f>SUMIF($AA$38:$AA$38,"industrie",R38:R38)</f>
        <v>0</v>
      </c>
      <c r="S40" s="583">
        <f>SUMIF($AA$38:$AA$38,"industrie",S38:S38)</f>
        <v>0</v>
      </c>
      <c r="T40" s="583">
        <f>SUMIF($AA$38:$AA$38,"industrie",T38:T38)</f>
        <v>0</v>
      </c>
      <c r="U40" s="583">
        <f>SUMIF($AA$38:$AA$38,"industrie",U38:U38)</f>
        <v>0</v>
      </c>
      <c r="V40" s="583">
        <f>SUMIF($AA$38:$AA$38,"industrie",V38:V38)</f>
        <v>0</v>
      </c>
      <c r="W40" s="583">
        <f>SUMIF($AA$38:$AA$38,"industrie",W38:W38)</f>
        <v>0</v>
      </c>
      <c r="X40" s="583"/>
      <c r="Y40" s="584"/>
      <c r="Z40" s="584"/>
      <c r="AA40" s="585"/>
    </row>
    <row r="41" spans="1:28" s="561" customFormat="1">
      <c r="A41" s="581" t="s">
        <v>277</v>
      </c>
      <c r="B41" s="582"/>
      <c r="C41" s="582"/>
      <c r="D41" s="582"/>
      <c r="E41" s="582"/>
      <c r="F41" s="582"/>
      <c r="G41" s="582"/>
      <c r="H41" s="582"/>
      <c r="I41" s="582"/>
      <c r="J41" s="582"/>
      <c r="K41" s="582"/>
      <c r="L41" s="583"/>
      <c r="M41" s="583">
        <f>SUMIF($AA$38:$AA$39,"tertiair",M38:M39)</f>
        <v>0</v>
      </c>
      <c r="N41" s="583">
        <f>SUMIF($AA$38:$AA$39,"tertiair",N38:N39)</f>
        <v>0</v>
      </c>
      <c r="O41" s="583">
        <f>SUMIF($AA$38:$AA$39,"tertiair",O38:O39)</f>
        <v>0</v>
      </c>
      <c r="P41" s="583">
        <f>SUMIF($AA$38:$AA$39,"tertiair",P38:P39)</f>
        <v>0</v>
      </c>
      <c r="Q41" s="583">
        <f>SUMIF($AA$38:$AA$39,"tertiair",Q38:Q39)</f>
        <v>0</v>
      </c>
      <c r="R41" s="583">
        <f>SUMIF($AA$38:$AA$39,"tertiair",R38:R39)</f>
        <v>0</v>
      </c>
      <c r="S41" s="583">
        <f>SUMIF($AA$38:$AA$39,"tertiair",S38:S39)</f>
        <v>0</v>
      </c>
      <c r="T41" s="583">
        <f>SUMIF($AA$38:$AA$39,"tertiair",T38:T39)</f>
        <v>0</v>
      </c>
      <c r="U41" s="583">
        <f>SUMIF($AA$38:$AA$39,"tertiair",U38:U39)</f>
        <v>0</v>
      </c>
      <c r="V41" s="583">
        <f>SUMIF($AA$38:$AA$39,"tertiair",V38:V39)</f>
        <v>0</v>
      </c>
      <c r="W41" s="583">
        <f>SUMIF($AA$38:$AA$39,"tertiair",W38:W39)</f>
        <v>0</v>
      </c>
      <c r="X41" s="583"/>
      <c r="Y41" s="584"/>
      <c r="Z41" s="584"/>
      <c r="AA41" s="585"/>
    </row>
    <row r="42" spans="1:28" s="561" customFormat="1" ht="15.75" thickBot="1">
      <c r="A42" s="586" t="s">
        <v>278</v>
      </c>
      <c r="B42" s="587"/>
      <c r="C42" s="587"/>
      <c r="D42" s="587"/>
      <c r="E42" s="587"/>
      <c r="F42" s="587"/>
      <c r="G42" s="587"/>
      <c r="H42" s="587"/>
      <c r="I42" s="587"/>
      <c r="J42" s="587"/>
      <c r="K42" s="587"/>
      <c r="L42" s="588"/>
      <c r="M42" s="588">
        <f>SUMIF($AA$38:$AA$40,"landbouw",M38:M40)</f>
        <v>0</v>
      </c>
      <c r="N42" s="588">
        <f>SUMIF($AA$38:$AA$40,"landbouw",N38:N40)</f>
        <v>0</v>
      </c>
      <c r="O42" s="588">
        <f>SUMIF($AA$38:$AA$40,"landbouw",O38:O40)</f>
        <v>0</v>
      </c>
      <c r="P42" s="588">
        <f>SUMIF($AA$38:$AA$40,"landbouw",P38:P40)</f>
        <v>0</v>
      </c>
      <c r="Q42" s="588">
        <f>SUMIF($AA$38:$AA$40,"landbouw",Q38:Q40)</f>
        <v>0</v>
      </c>
      <c r="R42" s="588">
        <f>SUMIF($AA$38:$AA$40,"landbouw",R38:R40)</f>
        <v>0</v>
      </c>
      <c r="S42" s="588">
        <f>SUMIF($AA$38:$AA$40,"landbouw",S38:S40)</f>
        <v>0</v>
      </c>
      <c r="T42" s="588">
        <f>SUMIF($AA$38:$AA$40,"landbouw",T38:T40)</f>
        <v>0</v>
      </c>
      <c r="U42" s="588">
        <f>SUMIF($AA$38:$AA$40,"landbouw",U38:U40)</f>
        <v>0</v>
      </c>
      <c r="V42" s="588">
        <f>SUMIF($AA$38:$AA$40,"landbouw",V38:V40)</f>
        <v>0</v>
      </c>
      <c r="W42" s="588">
        <f>SUMIF($AA$38:$AA$40,"landbouw",W38:W40)</f>
        <v>0</v>
      </c>
      <c r="X42" s="588"/>
      <c r="Y42" s="589"/>
      <c r="Z42" s="589"/>
      <c r="AA42" s="590"/>
    </row>
    <row r="43" spans="1:28" s="595" customFormat="1">
      <c r="A43" s="591"/>
      <c r="B43" s="575"/>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row>
    <row r="44" spans="1:28" s="595" customFormat="1" ht="15.75" thickBot="1">
      <c r="A44" s="591"/>
      <c r="B44" s="575"/>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row>
    <row r="45" spans="1:28">
      <c r="A45" s="596" t="s">
        <v>271</v>
      </c>
      <c r="B45" s="597"/>
      <c r="C45" s="597"/>
      <c r="D45" s="597"/>
      <c r="E45" s="597"/>
      <c r="F45" s="597"/>
      <c r="G45" s="597"/>
      <c r="H45" s="597"/>
      <c r="I45" s="598"/>
      <c r="J45" s="599"/>
      <c r="K45" s="599"/>
      <c r="L45" s="600"/>
      <c r="M45" s="600"/>
      <c r="N45" s="600"/>
      <c r="O45" s="600"/>
      <c r="P45" s="600"/>
    </row>
    <row r="46" spans="1:28">
      <c r="A46" s="602"/>
      <c r="B46" s="592"/>
      <c r="C46" s="592"/>
      <c r="D46" s="592"/>
      <c r="E46" s="592"/>
      <c r="F46" s="592"/>
      <c r="G46" s="592"/>
      <c r="H46" s="592"/>
      <c r="I46" s="603"/>
      <c r="J46" s="592"/>
      <c r="K46" s="592"/>
      <c r="L46" s="600"/>
      <c r="M46" s="600"/>
      <c r="N46" s="600"/>
      <c r="O46" s="600"/>
      <c r="P46" s="600"/>
    </row>
    <row r="47" spans="1:28">
      <c r="A47" s="604"/>
      <c r="B47" s="605" t="s">
        <v>272</v>
      </c>
      <c r="C47" s="605" t="s">
        <v>273</v>
      </c>
      <c r="D47" s="605"/>
      <c r="E47" s="605"/>
      <c r="F47" s="605"/>
      <c r="G47" s="605"/>
      <c r="H47" s="605"/>
      <c r="I47" s="606"/>
      <c r="J47" s="605"/>
      <c r="K47" s="605"/>
      <c r="L47" s="605"/>
      <c r="M47" s="605"/>
      <c r="N47" s="605"/>
      <c r="O47" s="605"/>
      <c r="P47" s="600"/>
    </row>
    <row r="48" spans="1:28">
      <c r="A48" s="602" t="s">
        <v>269</v>
      </c>
      <c r="B48" s="607">
        <f>IF(ISERROR(O32/(O32+N32)),0,O32/(O32+N32))</f>
        <v>0.58823529411764708</v>
      </c>
      <c r="C48" s="608">
        <f>IF(ISERROR(N32/(O32+N32)),0,N32/(N32+O32))</f>
        <v>0.41176470588235292</v>
      </c>
      <c r="D48" s="575"/>
      <c r="E48" s="575"/>
      <c r="F48" s="575"/>
      <c r="G48" s="575"/>
      <c r="H48" s="575"/>
      <c r="I48" s="609"/>
      <c r="J48" s="575"/>
      <c r="K48" s="575"/>
      <c r="L48" s="610"/>
      <c r="M48" s="610"/>
      <c r="N48" s="610"/>
      <c r="O48" s="610"/>
      <c r="P48" s="600"/>
    </row>
    <row r="49" spans="1:16">
      <c r="A49" s="602"/>
      <c r="B49" s="611"/>
      <c r="C49" s="611"/>
      <c r="D49" s="611"/>
      <c r="E49" s="611"/>
      <c r="F49" s="611"/>
      <c r="G49" s="611"/>
      <c r="H49" s="611"/>
      <c r="I49" s="612"/>
      <c r="J49" s="611"/>
      <c r="K49" s="611"/>
      <c r="L49" s="613"/>
      <c r="M49" s="613"/>
      <c r="N49" s="613"/>
      <c r="O49" s="613"/>
      <c r="P49" s="600"/>
    </row>
    <row r="50" spans="1:16" ht="30">
      <c r="A50" s="614"/>
      <c r="B50" s="615" t="s">
        <v>528</v>
      </c>
      <c r="C50" s="615" t="s">
        <v>96</v>
      </c>
      <c r="D50" s="615" t="s">
        <v>97</v>
      </c>
      <c r="E50" s="615" t="s">
        <v>98</v>
      </c>
      <c r="F50" s="615" t="s">
        <v>99</v>
      </c>
      <c r="G50" s="615" t="s">
        <v>100</v>
      </c>
      <c r="H50" s="615" t="s">
        <v>101</v>
      </c>
      <c r="I50" s="616" t="s">
        <v>102</v>
      </c>
      <c r="J50" s="605"/>
      <c r="K50" s="605"/>
      <c r="L50" s="613"/>
      <c r="M50" s="613"/>
      <c r="N50" s="613"/>
      <c r="O50" s="600"/>
      <c r="P50" s="600"/>
    </row>
    <row r="51" spans="1:16">
      <c r="A51" s="604" t="s">
        <v>274</v>
      </c>
      <c r="B51" s="617">
        <f t="shared" ref="B51:I51" si="2">$C$48*P32</f>
        <v>57885.882352941175</v>
      </c>
      <c r="C51" s="617">
        <f t="shared" si="2"/>
        <v>0</v>
      </c>
      <c r="D51" s="617">
        <f t="shared" si="2"/>
        <v>0</v>
      </c>
      <c r="E51" s="617">
        <f t="shared" si="2"/>
        <v>0</v>
      </c>
      <c r="F51" s="617">
        <f t="shared" si="2"/>
        <v>0</v>
      </c>
      <c r="G51" s="617">
        <f t="shared" si="2"/>
        <v>0</v>
      </c>
      <c r="H51" s="617">
        <f t="shared" si="2"/>
        <v>0</v>
      </c>
      <c r="I51" s="618">
        <f t="shared" si="2"/>
        <v>0</v>
      </c>
      <c r="J51" s="575"/>
      <c r="K51" s="575"/>
      <c r="L51" s="613"/>
      <c r="M51" s="613"/>
      <c r="N51" s="613"/>
      <c r="O51" s="600"/>
      <c r="P51" s="600"/>
    </row>
    <row r="52" spans="1:16" ht="15.75" thickBot="1">
      <c r="A52" s="619" t="s">
        <v>275</v>
      </c>
      <c r="B52" s="620">
        <f t="shared" ref="B52:I52" si="3">$B$48*P32</f>
        <v>82694.117647058825</v>
      </c>
      <c r="C52" s="620">
        <f t="shared" si="3"/>
        <v>0</v>
      </c>
      <c r="D52" s="620">
        <f t="shared" si="3"/>
        <v>0</v>
      </c>
      <c r="E52" s="620">
        <f t="shared" si="3"/>
        <v>0</v>
      </c>
      <c r="F52" s="620">
        <f t="shared" si="3"/>
        <v>0</v>
      </c>
      <c r="G52" s="620">
        <f t="shared" si="3"/>
        <v>0</v>
      </c>
      <c r="H52" s="620">
        <f t="shared" si="3"/>
        <v>0</v>
      </c>
      <c r="I52" s="621">
        <f t="shared" si="3"/>
        <v>0</v>
      </c>
      <c r="J52" s="575"/>
      <c r="K52" s="575"/>
      <c r="L52" s="613"/>
      <c r="M52" s="613"/>
      <c r="N52" s="613"/>
      <c r="O52" s="600"/>
      <c r="P52" s="600"/>
    </row>
    <row r="53" spans="1:16">
      <c r="J53" s="559"/>
      <c r="K53" s="559"/>
      <c r="L53" s="559"/>
      <c r="M53" s="559"/>
      <c r="N53" s="559"/>
    </row>
    <row r="54" spans="1:16">
      <c r="J54" s="559"/>
      <c r="K54" s="559"/>
      <c r="L54" s="559"/>
      <c r="M54" s="559"/>
      <c r="N54"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15718.060764706845</v>
      </c>
      <c r="D10" s="635">
        <f ca="1">tertiair!C16</f>
        <v>0</v>
      </c>
      <c r="E10" s="635">
        <f ca="1">tertiair!D16</f>
        <v>14622.053202904823</v>
      </c>
      <c r="F10" s="635">
        <f>tertiair!E16</f>
        <v>265.3316374376933</v>
      </c>
      <c r="G10" s="635">
        <f ca="1">tertiair!F16</f>
        <v>2770.1189183532433</v>
      </c>
      <c r="H10" s="635">
        <f>tertiair!G16</f>
        <v>0</v>
      </c>
      <c r="I10" s="635">
        <f>tertiair!H16</f>
        <v>0</v>
      </c>
      <c r="J10" s="635">
        <f>tertiair!I16</f>
        <v>0</v>
      </c>
      <c r="K10" s="635">
        <f>tertiair!J16</f>
        <v>0</v>
      </c>
      <c r="L10" s="635">
        <f>tertiair!K16</f>
        <v>0</v>
      </c>
      <c r="M10" s="635">
        <f ca="1">tertiair!L16</f>
        <v>0</v>
      </c>
      <c r="N10" s="635">
        <f>tertiair!M16</f>
        <v>0</v>
      </c>
      <c r="O10" s="635">
        <f ca="1">tertiair!N16</f>
        <v>581.04560629556022</v>
      </c>
      <c r="P10" s="635">
        <f>tertiair!O16</f>
        <v>1.5633333333333335</v>
      </c>
      <c r="Q10" s="636">
        <f>tertiair!P16</f>
        <v>38.133333333333333</v>
      </c>
      <c r="R10" s="638">
        <f ca="1">SUM(C10:Q10)</f>
        <v>33996.306796364828</v>
      </c>
      <c r="S10" s="67"/>
    </row>
    <row r="11" spans="1:19" s="441" customFormat="1">
      <c r="A11" s="749" t="s">
        <v>214</v>
      </c>
      <c r="B11" s="754"/>
      <c r="C11" s="635">
        <f>huishoudens!B8</f>
        <v>40657.045602607606</v>
      </c>
      <c r="D11" s="635">
        <f>huishoudens!C8</f>
        <v>0</v>
      </c>
      <c r="E11" s="635">
        <f>huishoudens!D8</f>
        <v>81319.114011917831</v>
      </c>
      <c r="F11" s="635">
        <f>huishoudens!E8</f>
        <v>1414.2135493793676</v>
      </c>
      <c r="G11" s="635">
        <f>huishoudens!F8</f>
        <v>48273.324816061482</v>
      </c>
      <c r="H11" s="635">
        <f>huishoudens!G8</f>
        <v>0</v>
      </c>
      <c r="I11" s="635">
        <f>huishoudens!H8</f>
        <v>0</v>
      </c>
      <c r="J11" s="635">
        <f>huishoudens!I8</f>
        <v>0</v>
      </c>
      <c r="K11" s="635">
        <f>huishoudens!J8</f>
        <v>1086.9928881160185</v>
      </c>
      <c r="L11" s="635">
        <f>huishoudens!K8</f>
        <v>0</v>
      </c>
      <c r="M11" s="635">
        <f>huishoudens!L8</f>
        <v>0</v>
      </c>
      <c r="N11" s="635">
        <f>huishoudens!M8</f>
        <v>0</v>
      </c>
      <c r="O11" s="635">
        <f>huishoudens!N8</f>
        <v>8959.0686546283396</v>
      </c>
      <c r="P11" s="635">
        <f>huishoudens!O8</f>
        <v>79.73</v>
      </c>
      <c r="Q11" s="636">
        <f>huishoudens!P8</f>
        <v>572</v>
      </c>
      <c r="R11" s="638">
        <f>SUM(C11:Q11)</f>
        <v>182361.48952271065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6476.3527163939616</v>
      </c>
      <c r="D13" s="635">
        <f>industrie!C18</f>
        <v>0</v>
      </c>
      <c r="E13" s="635">
        <f>industrie!D18</f>
        <v>6051.566793835118</v>
      </c>
      <c r="F13" s="635">
        <f>industrie!E18</f>
        <v>75.368444184417825</v>
      </c>
      <c r="G13" s="635">
        <f>industrie!F18</f>
        <v>2581.108111025063</v>
      </c>
      <c r="H13" s="635">
        <f>industrie!G18</f>
        <v>0</v>
      </c>
      <c r="I13" s="635">
        <f>industrie!H18</f>
        <v>0</v>
      </c>
      <c r="J13" s="635">
        <f>industrie!I18</f>
        <v>0</v>
      </c>
      <c r="K13" s="635">
        <f>industrie!J18</f>
        <v>35.104194707841998</v>
      </c>
      <c r="L13" s="635">
        <f>industrie!K18</f>
        <v>0</v>
      </c>
      <c r="M13" s="635">
        <f>industrie!L18</f>
        <v>0</v>
      </c>
      <c r="N13" s="635">
        <f>industrie!M18</f>
        <v>0</v>
      </c>
      <c r="O13" s="635">
        <f>industrie!N18</f>
        <v>237.68697696727173</v>
      </c>
      <c r="P13" s="635">
        <f>industrie!O18</f>
        <v>0</v>
      </c>
      <c r="Q13" s="636">
        <f>industrie!P18</f>
        <v>0</v>
      </c>
      <c r="R13" s="638">
        <f>SUM(C13:Q13)</f>
        <v>15457.187237113676</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62851.459083708411</v>
      </c>
      <c r="D16" s="668">
        <f t="shared" ref="D16:R16" ca="1" si="0">SUM(D9:D15)</f>
        <v>0</v>
      </c>
      <c r="E16" s="668">
        <f t="shared" ca="1" si="0"/>
        <v>101992.73400865778</v>
      </c>
      <c r="F16" s="668">
        <f t="shared" si="0"/>
        <v>1754.9136310014785</v>
      </c>
      <c r="G16" s="668">
        <f t="shared" ca="1" si="0"/>
        <v>53624.551845439782</v>
      </c>
      <c r="H16" s="668">
        <f t="shared" si="0"/>
        <v>0</v>
      </c>
      <c r="I16" s="668">
        <f t="shared" si="0"/>
        <v>0</v>
      </c>
      <c r="J16" s="668">
        <f t="shared" si="0"/>
        <v>0</v>
      </c>
      <c r="K16" s="668">
        <f t="shared" si="0"/>
        <v>1122.0970828238605</v>
      </c>
      <c r="L16" s="668">
        <f t="shared" si="0"/>
        <v>0</v>
      </c>
      <c r="M16" s="668">
        <f t="shared" ca="1" si="0"/>
        <v>0</v>
      </c>
      <c r="N16" s="668">
        <f t="shared" si="0"/>
        <v>0</v>
      </c>
      <c r="O16" s="668">
        <f t="shared" ca="1" si="0"/>
        <v>9777.8012378911717</v>
      </c>
      <c r="P16" s="668">
        <f t="shared" si="0"/>
        <v>81.293333333333337</v>
      </c>
      <c r="Q16" s="668">
        <f t="shared" si="0"/>
        <v>610.13333333333333</v>
      </c>
      <c r="R16" s="668">
        <f t="shared" ca="1" si="0"/>
        <v>231814.98355618917</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9.845676014084086</v>
      </c>
      <c r="D19" s="635">
        <f>transport!C54</f>
        <v>0</v>
      </c>
      <c r="E19" s="635">
        <f>transport!D54</f>
        <v>0</v>
      </c>
      <c r="F19" s="635">
        <f>transport!E54</f>
        <v>0</v>
      </c>
      <c r="G19" s="635">
        <f>transport!F54</f>
        <v>0</v>
      </c>
      <c r="H19" s="635">
        <f>transport!G54</f>
        <v>2135.9205620629587</v>
      </c>
      <c r="I19" s="635">
        <f>transport!H54</f>
        <v>0</v>
      </c>
      <c r="J19" s="635">
        <f>transport!I54</f>
        <v>0</v>
      </c>
      <c r="K19" s="635">
        <f>transport!J54</f>
        <v>0</v>
      </c>
      <c r="L19" s="635">
        <f>transport!K54</f>
        <v>0</v>
      </c>
      <c r="M19" s="635">
        <f>transport!L54</f>
        <v>0</v>
      </c>
      <c r="N19" s="635">
        <f>transport!M54</f>
        <v>91.45191386475355</v>
      </c>
      <c r="O19" s="635">
        <f>transport!N54</f>
        <v>0</v>
      </c>
      <c r="P19" s="635">
        <f>transport!O54</f>
        <v>0</v>
      </c>
      <c r="Q19" s="636">
        <f>transport!P54</f>
        <v>0</v>
      </c>
      <c r="R19" s="638">
        <f>SUM(C19:Q19)</f>
        <v>2237.2181519417959</v>
      </c>
      <c r="S19" s="67"/>
    </row>
    <row r="20" spans="1:19" s="441" customFormat="1">
      <c r="A20" s="749" t="s">
        <v>296</v>
      </c>
      <c r="B20" s="754"/>
      <c r="C20" s="635">
        <f>transport!B14</f>
        <v>2.0435847287204671</v>
      </c>
      <c r="D20" s="635">
        <f>transport!C14</f>
        <v>0</v>
      </c>
      <c r="E20" s="635">
        <f>transport!D14</f>
        <v>6.1106770999605216</v>
      </c>
      <c r="F20" s="635">
        <f>transport!E14</f>
        <v>706.11953975422182</v>
      </c>
      <c r="G20" s="635">
        <f>transport!F14</f>
        <v>0</v>
      </c>
      <c r="H20" s="635">
        <f>transport!G14</f>
        <v>175191.5575439971</v>
      </c>
      <c r="I20" s="635">
        <f>transport!H14</f>
        <v>21848.75814164833</v>
      </c>
      <c r="J20" s="635">
        <f>transport!I14</f>
        <v>0</v>
      </c>
      <c r="K20" s="635">
        <f>transport!J14</f>
        <v>0</v>
      </c>
      <c r="L20" s="635">
        <f>transport!K14</f>
        <v>0</v>
      </c>
      <c r="M20" s="635">
        <f>transport!L14</f>
        <v>0</v>
      </c>
      <c r="N20" s="635">
        <f>transport!M14</f>
        <v>8552.6982179228635</v>
      </c>
      <c r="O20" s="635">
        <f>transport!N14</f>
        <v>0</v>
      </c>
      <c r="P20" s="635">
        <f>transport!O14</f>
        <v>0</v>
      </c>
      <c r="Q20" s="636">
        <f>transport!P14</f>
        <v>0</v>
      </c>
      <c r="R20" s="638">
        <f>SUM(C20:Q20)</f>
        <v>206307.28770515116</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11.889260742804552</v>
      </c>
      <c r="D22" s="752">
        <f t="shared" ref="D22:R22" si="1">SUM(D18:D21)</f>
        <v>0</v>
      </c>
      <c r="E22" s="752">
        <f t="shared" si="1"/>
        <v>6.1106770999605216</v>
      </c>
      <c r="F22" s="752">
        <f t="shared" si="1"/>
        <v>706.11953975422182</v>
      </c>
      <c r="G22" s="752">
        <f t="shared" si="1"/>
        <v>0</v>
      </c>
      <c r="H22" s="752">
        <f t="shared" si="1"/>
        <v>177327.47810606007</v>
      </c>
      <c r="I22" s="752">
        <f t="shared" si="1"/>
        <v>21848.75814164833</v>
      </c>
      <c r="J22" s="752">
        <f t="shared" si="1"/>
        <v>0</v>
      </c>
      <c r="K22" s="752">
        <f t="shared" si="1"/>
        <v>0</v>
      </c>
      <c r="L22" s="752">
        <f t="shared" si="1"/>
        <v>0</v>
      </c>
      <c r="M22" s="752">
        <f t="shared" si="1"/>
        <v>0</v>
      </c>
      <c r="N22" s="752">
        <f t="shared" si="1"/>
        <v>8644.1501317876173</v>
      </c>
      <c r="O22" s="752">
        <f t="shared" si="1"/>
        <v>0</v>
      </c>
      <c r="P22" s="752">
        <f t="shared" si="1"/>
        <v>0</v>
      </c>
      <c r="Q22" s="752">
        <f t="shared" si="1"/>
        <v>0</v>
      </c>
      <c r="R22" s="752">
        <f t="shared" si="1"/>
        <v>208544.50585709297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11634.0668632208</v>
      </c>
      <c r="D24" s="635">
        <f>+landbouw!C8</f>
        <v>70290</v>
      </c>
      <c r="E24" s="635">
        <f>+landbouw!D8</f>
        <v>0</v>
      </c>
      <c r="F24" s="635">
        <f>+landbouw!E8</f>
        <v>104.83770476734686</v>
      </c>
      <c r="G24" s="635">
        <f>+landbouw!F8</f>
        <v>43593.203363777997</v>
      </c>
      <c r="H24" s="635">
        <f>+landbouw!G8</f>
        <v>0</v>
      </c>
      <c r="I24" s="635">
        <f>+landbouw!H8</f>
        <v>0</v>
      </c>
      <c r="J24" s="635">
        <f>+landbouw!I8</f>
        <v>0</v>
      </c>
      <c r="K24" s="635">
        <f>+landbouw!J8</f>
        <v>1177.3194494009867</v>
      </c>
      <c r="L24" s="635">
        <f>+landbouw!K8</f>
        <v>0</v>
      </c>
      <c r="M24" s="635">
        <f>+landbouw!L8</f>
        <v>0</v>
      </c>
      <c r="N24" s="635">
        <f>+landbouw!M8</f>
        <v>0</v>
      </c>
      <c r="O24" s="635">
        <f>+landbouw!N8</f>
        <v>0</v>
      </c>
      <c r="P24" s="635">
        <f>+landbouw!O8</f>
        <v>0</v>
      </c>
      <c r="Q24" s="636">
        <f>+landbouw!P8</f>
        <v>0</v>
      </c>
      <c r="R24" s="638">
        <f>SUM(C24:Q24)</f>
        <v>126799.42738116712</v>
      </c>
      <c r="S24" s="67"/>
    </row>
    <row r="25" spans="1:19" s="441" customFormat="1" ht="15" thickBot="1">
      <c r="A25" s="771" t="s">
        <v>864</v>
      </c>
      <c r="B25" s="923"/>
      <c r="C25" s="924">
        <f>IF(Onbekend_ele_kWh="---",0,Onbekend_ele_kWh)/1000+IF(REST_rest_ele_kWh="---",0,REST_rest_ele_kWh)/1000</f>
        <v>1999.24519355641</v>
      </c>
      <c r="D25" s="924"/>
      <c r="E25" s="924">
        <f>IF(onbekend_gas_kWh="---",0,onbekend_gas_kWh)/1000+IF(REST_rest_gas_kWh="---",0,REST_rest_gas_kWh)/1000</f>
        <v>3325.3292212215601</v>
      </c>
      <c r="F25" s="924"/>
      <c r="G25" s="924"/>
      <c r="H25" s="924"/>
      <c r="I25" s="924"/>
      <c r="J25" s="924"/>
      <c r="K25" s="924"/>
      <c r="L25" s="924"/>
      <c r="M25" s="924"/>
      <c r="N25" s="924"/>
      <c r="O25" s="924"/>
      <c r="P25" s="924"/>
      <c r="Q25" s="925"/>
      <c r="R25" s="638">
        <f>SUM(C25:Q25)</f>
        <v>5324.5744147779697</v>
      </c>
      <c r="S25" s="67"/>
    </row>
    <row r="26" spans="1:19" s="441" customFormat="1" ht="15.75" thickBot="1">
      <c r="A26" s="641" t="s">
        <v>865</v>
      </c>
      <c r="B26" s="757"/>
      <c r="C26" s="752">
        <f>SUM(C24:C25)</f>
        <v>13633.312056777209</v>
      </c>
      <c r="D26" s="752">
        <f t="shared" ref="D26:R26" si="2">SUM(D24:D25)</f>
        <v>70290</v>
      </c>
      <c r="E26" s="752">
        <f t="shared" si="2"/>
        <v>3325.3292212215601</v>
      </c>
      <c r="F26" s="752">
        <f t="shared" si="2"/>
        <v>104.83770476734686</v>
      </c>
      <c r="G26" s="752">
        <f t="shared" si="2"/>
        <v>43593.203363777997</v>
      </c>
      <c r="H26" s="752">
        <f t="shared" si="2"/>
        <v>0</v>
      </c>
      <c r="I26" s="752">
        <f t="shared" si="2"/>
        <v>0</v>
      </c>
      <c r="J26" s="752">
        <f t="shared" si="2"/>
        <v>0</v>
      </c>
      <c r="K26" s="752">
        <f t="shared" si="2"/>
        <v>1177.3194494009867</v>
      </c>
      <c r="L26" s="752">
        <f t="shared" si="2"/>
        <v>0</v>
      </c>
      <c r="M26" s="752">
        <f t="shared" si="2"/>
        <v>0</v>
      </c>
      <c r="N26" s="752">
        <f t="shared" si="2"/>
        <v>0</v>
      </c>
      <c r="O26" s="752">
        <f t="shared" si="2"/>
        <v>0</v>
      </c>
      <c r="P26" s="752">
        <f t="shared" si="2"/>
        <v>0</v>
      </c>
      <c r="Q26" s="752">
        <f t="shared" si="2"/>
        <v>0</v>
      </c>
      <c r="R26" s="752">
        <f t="shared" si="2"/>
        <v>132124.00179594508</v>
      </c>
      <c r="S26" s="67"/>
    </row>
    <row r="27" spans="1:19" s="441" customFormat="1" ht="17.25" thickTop="1" thickBot="1">
      <c r="A27" s="642" t="s">
        <v>109</v>
      </c>
      <c r="B27" s="744"/>
      <c r="C27" s="643">
        <f ca="1">C22+C16+C26</f>
        <v>76496.660401228422</v>
      </c>
      <c r="D27" s="643">
        <f t="shared" ref="D27:R27" ca="1" si="3">D22+D16+D26</f>
        <v>70290</v>
      </c>
      <c r="E27" s="643">
        <f t="shared" ca="1" si="3"/>
        <v>105324.1739069793</v>
      </c>
      <c r="F27" s="643">
        <f t="shared" si="3"/>
        <v>2565.8708755230473</v>
      </c>
      <c r="G27" s="643">
        <f t="shared" ca="1" si="3"/>
        <v>97217.755209217779</v>
      </c>
      <c r="H27" s="643">
        <f t="shared" si="3"/>
        <v>177327.47810606007</v>
      </c>
      <c r="I27" s="643">
        <f t="shared" si="3"/>
        <v>21848.75814164833</v>
      </c>
      <c r="J27" s="643">
        <f t="shared" si="3"/>
        <v>0</v>
      </c>
      <c r="K27" s="643">
        <f t="shared" si="3"/>
        <v>2299.4165322248473</v>
      </c>
      <c r="L27" s="643">
        <f t="shared" si="3"/>
        <v>0</v>
      </c>
      <c r="M27" s="643">
        <f t="shared" ca="1" si="3"/>
        <v>0</v>
      </c>
      <c r="N27" s="643">
        <f t="shared" si="3"/>
        <v>8644.1501317876173</v>
      </c>
      <c r="O27" s="643">
        <f t="shared" ca="1" si="3"/>
        <v>9777.8012378911717</v>
      </c>
      <c r="P27" s="643">
        <f t="shared" si="3"/>
        <v>81.293333333333337</v>
      </c>
      <c r="Q27" s="643">
        <f t="shared" si="3"/>
        <v>610.13333333333333</v>
      </c>
      <c r="R27" s="643">
        <f t="shared" ca="1" si="3"/>
        <v>572483.49120922724</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3448.2305011955646</v>
      </c>
      <c r="D40" s="635">
        <f ca="1">tertiair!C20</f>
        <v>0</v>
      </c>
      <c r="E40" s="635">
        <f ca="1">tertiair!D20</f>
        <v>2953.6547469867742</v>
      </c>
      <c r="F40" s="635">
        <f>tertiair!E20</f>
        <v>60.230281698356379</v>
      </c>
      <c r="G40" s="635">
        <f ca="1">tertiair!F20</f>
        <v>739.621751200316</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7201.7372810810111</v>
      </c>
    </row>
    <row r="41" spans="1:18">
      <c r="A41" s="762" t="s">
        <v>214</v>
      </c>
      <c r="B41" s="769"/>
      <c r="C41" s="635">
        <f ca="1">huishoudens!B12</f>
        <v>8919.3486928236398</v>
      </c>
      <c r="D41" s="635">
        <f ca="1">huishoudens!C12</f>
        <v>0</v>
      </c>
      <c r="E41" s="635">
        <f>huishoudens!D12</f>
        <v>16426.461030407401</v>
      </c>
      <c r="F41" s="635">
        <f>huishoudens!E12</f>
        <v>321.02647570911643</v>
      </c>
      <c r="G41" s="635">
        <f>huishoudens!F12</f>
        <v>12888.977725888417</v>
      </c>
      <c r="H41" s="635">
        <f>huishoudens!G12</f>
        <v>0</v>
      </c>
      <c r="I41" s="635">
        <f>huishoudens!H12</f>
        <v>0</v>
      </c>
      <c r="J41" s="635">
        <f>huishoudens!I12</f>
        <v>0</v>
      </c>
      <c r="K41" s="635">
        <f>huishoudens!J12</f>
        <v>384.79548239307053</v>
      </c>
      <c r="L41" s="635">
        <f>huishoudens!K12</f>
        <v>0</v>
      </c>
      <c r="M41" s="635">
        <f>huishoudens!L12</f>
        <v>0</v>
      </c>
      <c r="N41" s="635">
        <f>huishoudens!M12</f>
        <v>0</v>
      </c>
      <c r="O41" s="635">
        <f>huishoudens!N12</f>
        <v>0</v>
      </c>
      <c r="P41" s="635">
        <f>huishoudens!O12</f>
        <v>0</v>
      </c>
      <c r="Q41" s="710">
        <f>huishoudens!P12</f>
        <v>0</v>
      </c>
      <c r="R41" s="790">
        <f t="shared" ca="1" si="4"/>
        <v>38940.609407221644</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1420.783219219659</v>
      </c>
      <c r="D43" s="635">
        <f ca="1">industrie!C22</f>
        <v>0</v>
      </c>
      <c r="E43" s="635">
        <f>industrie!D22</f>
        <v>1222.4164923546939</v>
      </c>
      <c r="F43" s="635">
        <f>industrie!E22</f>
        <v>17.108636829862846</v>
      </c>
      <c r="G43" s="635">
        <f>industrie!F22</f>
        <v>689.15586564369187</v>
      </c>
      <c r="H43" s="635">
        <f>industrie!G22</f>
        <v>0</v>
      </c>
      <c r="I43" s="635">
        <f>industrie!H22</f>
        <v>0</v>
      </c>
      <c r="J43" s="635">
        <f>industrie!I22</f>
        <v>0</v>
      </c>
      <c r="K43" s="635">
        <f>industrie!J22</f>
        <v>12.426884926576067</v>
      </c>
      <c r="L43" s="635">
        <f>industrie!K22</f>
        <v>0</v>
      </c>
      <c r="M43" s="635">
        <f>industrie!L22</f>
        <v>0</v>
      </c>
      <c r="N43" s="635">
        <f>industrie!M22</f>
        <v>0</v>
      </c>
      <c r="O43" s="635">
        <f>industrie!N22</f>
        <v>0</v>
      </c>
      <c r="P43" s="635">
        <f>industrie!O22</f>
        <v>0</v>
      </c>
      <c r="Q43" s="710">
        <f>industrie!P22</f>
        <v>0</v>
      </c>
      <c r="R43" s="789">
        <f t="shared" ca="1" si="4"/>
        <v>3361.8910989744836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13788.362413238863</v>
      </c>
      <c r="D46" s="668">
        <f t="shared" ref="D46:Q46" ca="1" si="5">SUM(D39:D45)</f>
        <v>0</v>
      </c>
      <c r="E46" s="668">
        <f t="shared" ca="1" si="5"/>
        <v>20602.532269748866</v>
      </c>
      <c r="F46" s="668">
        <f t="shared" si="5"/>
        <v>398.36539423733569</v>
      </c>
      <c r="G46" s="668">
        <f t="shared" ca="1" si="5"/>
        <v>14317.755342732426</v>
      </c>
      <c r="H46" s="668">
        <f t="shared" si="5"/>
        <v>0</v>
      </c>
      <c r="I46" s="668">
        <f t="shared" si="5"/>
        <v>0</v>
      </c>
      <c r="J46" s="668">
        <f t="shared" si="5"/>
        <v>0</v>
      </c>
      <c r="K46" s="668">
        <f t="shared" si="5"/>
        <v>397.22236731964659</v>
      </c>
      <c r="L46" s="668">
        <f t="shared" si="5"/>
        <v>0</v>
      </c>
      <c r="M46" s="668">
        <f t="shared" ca="1" si="5"/>
        <v>0</v>
      </c>
      <c r="N46" s="668">
        <f t="shared" si="5"/>
        <v>0</v>
      </c>
      <c r="O46" s="668">
        <f t="shared" ca="1" si="5"/>
        <v>0</v>
      </c>
      <c r="P46" s="668">
        <f t="shared" si="5"/>
        <v>0</v>
      </c>
      <c r="Q46" s="668">
        <f t="shared" si="5"/>
        <v>0</v>
      </c>
      <c r="R46" s="668">
        <f ca="1">SUM(R39:R45)</f>
        <v>49504.237787277139</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2.1599458638616298</v>
      </c>
      <c r="D49" s="635">
        <f ca="1">transport!C58</f>
        <v>0</v>
      </c>
      <c r="E49" s="635">
        <f>transport!D58</f>
        <v>0</v>
      </c>
      <c r="F49" s="635">
        <f>transport!E58</f>
        <v>0</v>
      </c>
      <c r="G49" s="635">
        <f>transport!F58</f>
        <v>0</v>
      </c>
      <c r="H49" s="635">
        <f>transport!G58</f>
        <v>570.29079007080998</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572.45073593467157</v>
      </c>
    </row>
    <row r="50" spans="1:18">
      <c r="A50" s="765" t="s">
        <v>296</v>
      </c>
      <c r="B50" s="775"/>
      <c r="C50" s="930">
        <f ca="1">transport!B18</f>
        <v>0.44832192080425554</v>
      </c>
      <c r="D50" s="930">
        <f>transport!C18</f>
        <v>0</v>
      </c>
      <c r="E50" s="930">
        <f>transport!D18</f>
        <v>1.2343567741920254</v>
      </c>
      <c r="F50" s="930">
        <f>transport!E18</f>
        <v>160.28913552420835</v>
      </c>
      <c r="G50" s="930">
        <f>transport!F18</f>
        <v>0</v>
      </c>
      <c r="H50" s="930">
        <f>transport!G18</f>
        <v>46776.145864247228</v>
      </c>
      <c r="I50" s="930">
        <f>transport!H18</f>
        <v>5440.340777270434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52378.458455736865</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2.6082677846658853</v>
      </c>
      <c r="D52" s="668">
        <f t="shared" ref="D52:Q52" ca="1" si="6">SUM(D48:D51)</f>
        <v>0</v>
      </c>
      <c r="E52" s="668">
        <f t="shared" si="6"/>
        <v>1.2343567741920254</v>
      </c>
      <c r="F52" s="668">
        <f t="shared" si="6"/>
        <v>160.28913552420835</v>
      </c>
      <c r="G52" s="668">
        <f t="shared" si="6"/>
        <v>0</v>
      </c>
      <c r="H52" s="668">
        <f t="shared" si="6"/>
        <v>47346.436654318037</v>
      </c>
      <c r="I52" s="668">
        <f t="shared" si="6"/>
        <v>5440.340777270434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52950.909191671533</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2552.2833135233004</v>
      </c>
      <c r="D54" s="930">
        <f ca="1">+landbouw!C12</f>
        <v>16704.211764705884</v>
      </c>
      <c r="E54" s="930">
        <f>+landbouw!D12</f>
        <v>0</v>
      </c>
      <c r="F54" s="930">
        <f>+landbouw!E12</f>
        <v>23.79815898218774</v>
      </c>
      <c r="G54" s="930">
        <f>+landbouw!F12</f>
        <v>11639.385298128725</v>
      </c>
      <c r="H54" s="930">
        <f>+landbouw!G12</f>
        <v>0</v>
      </c>
      <c r="I54" s="930">
        <f>+landbouw!H12</f>
        <v>0</v>
      </c>
      <c r="J54" s="930">
        <f>+landbouw!I12</f>
        <v>0</v>
      </c>
      <c r="K54" s="930">
        <f>+landbouw!J12</f>
        <v>416.7710850879493</v>
      </c>
      <c r="L54" s="930">
        <f>+landbouw!K12</f>
        <v>0</v>
      </c>
      <c r="M54" s="930">
        <f>+landbouw!L12</f>
        <v>0</v>
      </c>
      <c r="N54" s="930">
        <f>+landbouw!M12</f>
        <v>0</v>
      </c>
      <c r="O54" s="930">
        <f>+landbouw!N12</f>
        <v>0</v>
      </c>
      <c r="P54" s="930">
        <f>+landbouw!O12</f>
        <v>0</v>
      </c>
      <c r="Q54" s="931">
        <f>+landbouw!P12</f>
        <v>0</v>
      </c>
      <c r="R54" s="667">
        <f ca="1">SUM(C54:Q54)</f>
        <v>31336.449620428048</v>
      </c>
    </row>
    <row r="55" spans="1:18" ht="15" thickBot="1">
      <c r="A55" s="765" t="s">
        <v>864</v>
      </c>
      <c r="B55" s="775"/>
      <c r="C55" s="930">
        <f ca="1">C25*'EF ele_warmte'!B12</f>
        <v>438.59470700541084</v>
      </c>
      <c r="D55" s="930"/>
      <c r="E55" s="930">
        <f>E25*EF_CO2_aardgas</f>
        <v>671.71650268675523</v>
      </c>
      <c r="F55" s="930"/>
      <c r="G55" s="930"/>
      <c r="H55" s="930"/>
      <c r="I55" s="930"/>
      <c r="J55" s="930"/>
      <c r="K55" s="930"/>
      <c r="L55" s="930"/>
      <c r="M55" s="930"/>
      <c r="N55" s="930"/>
      <c r="O55" s="930"/>
      <c r="P55" s="930"/>
      <c r="Q55" s="931"/>
      <c r="R55" s="667">
        <f ca="1">SUM(C55:Q55)</f>
        <v>1110.3112096921661</v>
      </c>
    </row>
    <row r="56" spans="1:18" ht="15.75" thickBot="1">
      <c r="A56" s="763" t="s">
        <v>865</v>
      </c>
      <c r="B56" s="776"/>
      <c r="C56" s="668">
        <f ca="1">SUM(C54:C55)</f>
        <v>2990.8780205287112</v>
      </c>
      <c r="D56" s="668">
        <f t="shared" ref="D56:Q56" ca="1" si="7">SUM(D54:D55)</f>
        <v>16704.211764705884</v>
      </c>
      <c r="E56" s="668">
        <f t="shared" si="7"/>
        <v>671.71650268675523</v>
      </c>
      <c r="F56" s="668">
        <f t="shared" si="7"/>
        <v>23.79815898218774</v>
      </c>
      <c r="G56" s="668">
        <f t="shared" si="7"/>
        <v>11639.385298128725</v>
      </c>
      <c r="H56" s="668">
        <f t="shared" si="7"/>
        <v>0</v>
      </c>
      <c r="I56" s="668">
        <f t="shared" si="7"/>
        <v>0</v>
      </c>
      <c r="J56" s="668">
        <f t="shared" si="7"/>
        <v>0</v>
      </c>
      <c r="K56" s="668">
        <f t="shared" si="7"/>
        <v>416.7710850879493</v>
      </c>
      <c r="L56" s="668">
        <f t="shared" si="7"/>
        <v>0</v>
      </c>
      <c r="M56" s="668">
        <f t="shared" si="7"/>
        <v>0</v>
      </c>
      <c r="N56" s="668">
        <f t="shared" si="7"/>
        <v>0</v>
      </c>
      <c r="O56" s="668">
        <f t="shared" si="7"/>
        <v>0</v>
      </c>
      <c r="P56" s="668">
        <f t="shared" si="7"/>
        <v>0</v>
      </c>
      <c r="Q56" s="669">
        <f t="shared" si="7"/>
        <v>0</v>
      </c>
      <c r="R56" s="670">
        <f ca="1">SUM(R54:R55)</f>
        <v>32446.760830120213</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16781.848701552241</v>
      </c>
      <c r="D61" s="676">
        <f t="shared" ref="D61:Q61" ca="1" si="8">D46+D52+D56</f>
        <v>16704.211764705884</v>
      </c>
      <c r="E61" s="676">
        <f t="shared" ca="1" si="8"/>
        <v>21275.483129209813</v>
      </c>
      <c r="F61" s="676">
        <f t="shared" si="8"/>
        <v>582.45268874373176</v>
      </c>
      <c r="G61" s="676">
        <f t="shared" ca="1" si="8"/>
        <v>25957.140640861151</v>
      </c>
      <c r="H61" s="676">
        <f t="shared" si="8"/>
        <v>47346.436654318037</v>
      </c>
      <c r="I61" s="676">
        <f t="shared" si="8"/>
        <v>5440.340777270434</v>
      </c>
      <c r="J61" s="676">
        <f t="shared" si="8"/>
        <v>0</v>
      </c>
      <c r="K61" s="676">
        <f t="shared" si="8"/>
        <v>813.9934524075959</v>
      </c>
      <c r="L61" s="676">
        <f t="shared" si="8"/>
        <v>0</v>
      </c>
      <c r="M61" s="676">
        <f t="shared" ca="1" si="8"/>
        <v>0</v>
      </c>
      <c r="N61" s="676">
        <f t="shared" si="8"/>
        <v>0</v>
      </c>
      <c r="O61" s="676">
        <f t="shared" ca="1" si="8"/>
        <v>0</v>
      </c>
      <c r="P61" s="676">
        <f t="shared" si="8"/>
        <v>0</v>
      </c>
      <c r="Q61" s="676">
        <f t="shared" si="8"/>
        <v>0</v>
      </c>
      <c r="R61" s="676">
        <f ca="1">R46+R52+R56</f>
        <v>134901.90780906889</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0.21938014827746322</v>
      </c>
      <c r="D63" s="720">
        <f t="shared" ca="1" si="9"/>
        <v>0.23764705882352943</v>
      </c>
      <c r="E63" s="932">
        <f t="shared" ca="1" si="9"/>
        <v>0.20199999999999996</v>
      </c>
      <c r="F63" s="720">
        <f t="shared" si="9"/>
        <v>0.22700000000000001</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4266.9614588839777</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49203</v>
      </c>
      <c r="D76" s="942">
        <f>'lokale energieproductie'!C8</f>
        <v>57885.882352941175</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11692.948235294118</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4266.9614588839777</v>
      </c>
      <c r="C78" s="691">
        <f>SUM(C72:C77)</f>
        <v>49203</v>
      </c>
      <c r="D78" s="692">
        <f t="shared" ref="D78:H78" si="10">SUM(D76:D77)</f>
        <v>57885.882352941175</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11692.948235294118</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70290</v>
      </c>
      <c r="D87" s="713">
        <f>'lokale energieproductie'!C17</f>
        <v>82694.117647058825</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16704.211764705884</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70290</v>
      </c>
      <c r="D90" s="691">
        <f t="shared" ref="D90:H90" si="12">SUM(D87:D89)</f>
        <v>82694.117647058825</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16704.211764705884</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40657.045602607606</v>
      </c>
      <c r="C4" s="445">
        <f>huishoudens!C8</f>
        <v>0</v>
      </c>
      <c r="D4" s="445">
        <f>huishoudens!D8</f>
        <v>81319.114011917831</v>
      </c>
      <c r="E4" s="445">
        <f>huishoudens!E8</f>
        <v>1414.2135493793676</v>
      </c>
      <c r="F4" s="445">
        <f>huishoudens!F8</f>
        <v>48273.324816061482</v>
      </c>
      <c r="G4" s="445">
        <f>huishoudens!G8</f>
        <v>0</v>
      </c>
      <c r="H4" s="445">
        <f>huishoudens!H8</f>
        <v>0</v>
      </c>
      <c r="I4" s="445">
        <f>huishoudens!I8</f>
        <v>0</v>
      </c>
      <c r="J4" s="445">
        <f>huishoudens!J8</f>
        <v>1086.9928881160185</v>
      </c>
      <c r="K4" s="445">
        <f>huishoudens!K8</f>
        <v>0</v>
      </c>
      <c r="L4" s="445">
        <f>huishoudens!L8</f>
        <v>0</v>
      </c>
      <c r="M4" s="445">
        <f>huishoudens!M8</f>
        <v>0</v>
      </c>
      <c r="N4" s="445">
        <f>huishoudens!N8</f>
        <v>8959.0686546283396</v>
      </c>
      <c r="O4" s="445">
        <f>huishoudens!O8</f>
        <v>79.73</v>
      </c>
      <c r="P4" s="446">
        <f>huishoudens!P8</f>
        <v>572</v>
      </c>
      <c r="Q4" s="447">
        <f>SUM(B4:P4)</f>
        <v>182361.48952271065</v>
      </c>
    </row>
    <row r="5" spans="1:17">
      <c r="A5" s="444" t="s">
        <v>149</v>
      </c>
      <c r="B5" s="445">
        <f ca="1">tertiair!B16</f>
        <v>14324.360764706844</v>
      </c>
      <c r="C5" s="445">
        <f ca="1">tertiair!C16</f>
        <v>0</v>
      </c>
      <c r="D5" s="445">
        <f ca="1">tertiair!D16</f>
        <v>14622.053202904823</v>
      </c>
      <c r="E5" s="445">
        <f>tertiair!E16</f>
        <v>265.3316374376933</v>
      </c>
      <c r="F5" s="445">
        <f ca="1">tertiair!F16</f>
        <v>2770.1189183532433</v>
      </c>
      <c r="G5" s="445">
        <f>tertiair!G16</f>
        <v>0</v>
      </c>
      <c r="H5" s="445">
        <f>tertiair!H16</f>
        <v>0</v>
      </c>
      <c r="I5" s="445">
        <f>tertiair!I16</f>
        <v>0</v>
      </c>
      <c r="J5" s="445">
        <f>tertiair!J16</f>
        <v>0</v>
      </c>
      <c r="K5" s="445">
        <f>tertiair!K16</f>
        <v>0</v>
      </c>
      <c r="L5" s="445">
        <f ca="1">tertiair!L16</f>
        <v>0</v>
      </c>
      <c r="M5" s="445">
        <f>tertiair!M16</f>
        <v>0</v>
      </c>
      <c r="N5" s="445">
        <f ca="1">tertiair!N16</f>
        <v>581.04560629556022</v>
      </c>
      <c r="O5" s="445">
        <f>tertiair!O16</f>
        <v>1.5633333333333335</v>
      </c>
      <c r="P5" s="446">
        <f>tertiair!P16</f>
        <v>38.133333333333333</v>
      </c>
      <c r="Q5" s="444">
        <f t="shared" ref="Q5:Q14" ca="1" si="0">SUM(B5:P5)</f>
        <v>32602.606796364831</v>
      </c>
    </row>
    <row r="6" spans="1:17">
      <c r="A6" s="444" t="s">
        <v>187</v>
      </c>
      <c r="B6" s="445">
        <f>'openbare verlichting'!B8</f>
        <v>1393.7</v>
      </c>
      <c r="C6" s="445"/>
      <c r="D6" s="445"/>
      <c r="E6" s="445"/>
      <c r="F6" s="445"/>
      <c r="G6" s="445"/>
      <c r="H6" s="445"/>
      <c r="I6" s="445"/>
      <c r="J6" s="445"/>
      <c r="K6" s="445"/>
      <c r="L6" s="445"/>
      <c r="M6" s="445"/>
      <c r="N6" s="445"/>
      <c r="O6" s="445"/>
      <c r="P6" s="446"/>
      <c r="Q6" s="444">
        <f t="shared" si="0"/>
        <v>1393.7</v>
      </c>
    </row>
    <row r="7" spans="1:17">
      <c r="A7" s="444" t="s">
        <v>105</v>
      </c>
      <c r="B7" s="445">
        <f>landbouw!B8</f>
        <v>11634.0668632208</v>
      </c>
      <c r="C7" s="445">
        <f>landbouw!C8</f>
        <v>70290</v>
      </c>
      <c r="D7" s="445">
        <f>landbouw!D8</f>
        <v>0</v>
      </c>
      <c r="E7" s="445">
        <f>landbouw!E8</f>
        <v>104.83770476734686</v>
      </c>
      <c r="F7" s="445">
        <f>landbouw!F8</f>
        <v>43593.203363777997</v>
      </c>
      <c r="G7" s="445">
        <f>landbouw!G8</f>
        <v>0</v>
      </c>
      <c r="H7" s="445">
        <f>landbouw!H8</f>
        <v>0</v>
      </c>
      <c r="I7" s="445">
        <f>landbouw!I8</f>
        <v>0</v>
      </c>
      <c r="J7" s="445">
        <f>landbouw!J8</f>
        <v>1177.3194494009867</v>
      </c>
      <c r="K7" s="445">
        <f>landbouw!K8</f>
        <v>0</v>
      </c>
      <c r="L7" s="445">
        <f>landbouw!L8</f>
        <v>0</v>
      </c>
      <c r="M7" s="445">
        <f>landbouw!M8</f>
        <v>0</v>
      </c>
      <c r="N7" s="445">
        <f>landbouw!N8</f>
        <v>0</v>
      </c>
      <c r="O7" s="445">
        <f>landbouw!O8</f>
        <v>0</v>
      </c>
      <c r="P7" s="446">
        <f>landbouw!P8</f>
        <v>0</v>
      </c>
      <c r="Q7" s="444">
        <f t="shared" si="0"/>
        <v>126799.42738116712</v>
      </c>
    </row>
    <row r="8" spans="1:17">
      <c r="A8" s="444" t="s">
        <v>613</v>
      </c>
      <c r="B8" s="445">
        <f>industrie!B18</f>
        <v>6476.3527163939616</v>
      </c>
      <c r="C8" s="445">
        <f>industrie!C18</f>
        <v>0</v>
      </c>
      <c r="D8" s="445">
        <f>industrie!D18</f>
        <v>6051.566793835118</v>
      </c>
      <c r="E8" s="445">
        <f>industrie!E18</f>
        <v>75.368444184417825</v>
      </c>
      <c r="F8" s="445">
        <f>industrie!F18</f>
        <v>2581.108111025063</v>
      </c>
      <c r="G8" s="445">
        <f>industrie!G18</f>
        <v>0</v>
      </c>
      <c r="H8" s="445">
        <f>industrie!H18</f>
        <v>0</v>
      </c>
      <c r="I8" s="445">
        <f>industrie!I18</f>
        <v>0</v>
      </c>
      <c r="J8" s="445">
        <f>industrie!J18</f>
        <v>35.104194707841998</v>
      </c>
      <c r="K8" s="445">
        <f>industrie!K18</f>
        <v>0</v>
      </c>
      <c r="L8" s="445">
        <f>industrie!L18</f>
        <v>0</v>
      </c>
      <c r="M8" s="445">
        <f>industrie!M18</f>
        <v>0</v>
      </c>
      <c r="N8" s="445">
        <f>industrie!N18</f>
        <v>237.68697696727173</v>
      </c>
      <c r="O8" s="445">
        <f>industrie!O18</f>
        <v>0</v>
      </c>
      <c r="P8" s="446">
        <f>industrie!P18</f>
        <v>0</v>
      </c>
      <c r="Q8" s="444">
        <f t="shared" si="0"/>
        <v>15457.187237113676</v>
      </c>
    </row>
    <row r="9" spans="1:17" s="450" customFormat="1">
      <c r="A9" s="448" t="s">
        <v>555</v>
      </c>
      <c r="B9" s="449">
        <f>transport!B14</f>
        <v>2.0435847287204671</v>
      </c>
      <c r="C9" s="449">
        <f>transport!C14</f>
        <v>0</v>
      </c>
      <c r="D9" s="449">
        <f>transport!D14</f>
        <v>6.1106770999605216</v>
      </c>
      <c r="E9" s="449">
        <f>transport!E14</f>
        <v>706.11953975422182</v>
      </c>
      <c r="F9" s="449">
        <f>transport!F14</f>
        <v>0</v>
      </c>
      <c r="G9" s="449">
        <f>transport!G14</f>
        <v>175191.5575439971</v>
      </c>
      <c r="H9" s="449">
        <f>transport!H14</f>
        <v>21848.75814164833</v>
      </c>
      <c r="I9" s="449">
        <f>transport!I14</f>
        <v>0</v>
      </c>
      <c r="J9" s="449">
        <f>transport!J14</f>
        <v>0</v>
      </c>
      <c r="K9" s="449">
        <f>transport!K14</f>
        <v>0</v>
      </c>
      <c r="L9" s="449">
        <f>transport!L14</f>
        <v>0</v>
      </c>
      <c r="M9" s="449">
        <f>transport!M14</f>
        <v>8552.6982179228635</v>
      </c>
      <c r="N9" s="449">
        <f>transport!N14</f>
        <v>0</v>
      </c>
      <c r="O9" s="449">
        <f>transport!O14</f>
        <v>0</v>
      </c>
      <c r="P9" s="449">
        <f>transport!P14</f>
        <v>0</v>
      </c>
      <c r="Q9" s="448">
        <f>SUM(B9:P9)</f>
        <v>206307.28770515116</v>
      </c>
    </row>
    <row r="10" spans="1:17">
      <c r="A10" s="444" t="s">
        <v>545</v>
      </c>
      <c r="B10" s="445">
        <f>transport!B54</f>
        <v>9.845676014084086</v>
      </c>
      <c r="C10" s="445">
        <f>transport!C54</f>
        <v>0</v>
      </c>
      <c r="D10" s="445">
        <f>transport!D54</f>
        <v>0</v>
      </c>
      <c r="E10" s="445">
        <f>transport!E54</f>
        <v>0</v>
      </c>
      <c r="F10" s="445">
        <f>transport!F54</f>
        <v>0</v>
      </c>
      <c r="G10" s="445">
        <f>transport!G54</f>
        <v>2135.9205620629587</v>
      </c>
      <c r="H10" s="445">
        <f>transport!H54</f>
        <v>0</v>
      </c>
      <c r="I10" s="445">
        <f>transport!I54</f>
        <v>0</v>
      </c>
      <c r="J10" s="445">
        <f>transport!J54</f>
        <v>0</v>
      </c>
      <c r="K10" s="445">
        <f>transport!K54</f>
        <v>0</v>
      </c>
      <c r="L10" s="445">
        <f>transport!L54</f>
        <v>0</v>
      </c>
      <c r="M10" s="445">
        <f>transport!M54</f>
        <v>91.45191386475355</v>
      </c>
      <c r="N10" s="445">
        <f>transport!N54</f>
        <v>0</v>
      </c>
      <c r="O10" s="445">
        <f>transport!O54</f>
        <v>0</v>
      </c>
      <c r="P10" s="446">
        <f>transport!P54</f>
        <v>0</v>
      </c>
      <c r="Q10" s="444">
        <f t="shared" si="0"/>
        <v>2237.2181519417959</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1999.24519355641</v>
      </c>
      <c r="C14" s="452"/>
      <c r="D14" s="452">
        <f>'SEAP template'!E25</f>
        <v>3325.3292212215601</v>
      </c>
      <c r="E14" s="452"/>
      <c r="F14" s="452"/>
      <c r="G14" s="452"/>
      <c r="H14" s="452"/>
      <c r="I14" s="452"/>
      <c r="J14" s="452"/>
      <c r="K14" s="452"/>
      <c r="L14" s="452"/>
      <c r="M14" s="452"/>
      <c r="N14" s="452"/>
      <c r="O14" s="452"/>
      <c r="P14" s="453"/>
      <c r="Q14" s="444">
        <f t="shared" si="0"/>
        <v>5324.5744147779697</v>
      </c>
    </row>
    <row r="15" spans="1:17" s="457" customFormat="1">
      <c r="A15" s="454" t="s">
        <v>549</v>
      </c>
      <c r="B15" s="455">
        <f ca="1">SUM(B4:B14)</f>
        <v>76496.660401228422</v>
      </c>
      <c r="C15" s="455">
        <f t="shared" ref="C15:Q15" ca="1" si="1">SUM(C4:C14)</f>
        <v>70290</v>
      </c>
      <c r="D15" s="455">
        <f t="shared" ca="1" si="1"/>
        <v>105324.1739069793</v>
      </c>
      <c r="E15" s="455">
        <f t="shared" si="1"/>
        <v>2565.8708755230473</v>
      </c>
      <c r="F15" s="455">
        <f t="shared" ca="1" si="1"/>
        <v>97217.755209217779</v>
      </c>
      <c r="G15" s="455">
        <f t="shared" si="1"/>
        <v>177327.47810606007</v>
      </c>
      <c r="H15" s="455">
        <f t="shared" si="1"/>
        <v>21848.75814164833</v>
      </c>
      <c r="I15" s="455">
        <f t="shared" si="1"/>
        <v>0</v>
      </c>
      <c r="J15" s="455">
        <f t="shared" si="1"/>
        <v>2299.4165322248473</v>
      </c>
      <c r="K15" s="455">
        <f t="shared" si="1"/>
        <v>0</v>
      </c>
      <c r="L15" s="455">
        <f t="shared" ca="1" si="1"/>
        <v>0</v>
      </c>
      <c r="M15" s="455">
        <f t="shared" si="1"/>
        <v>8644.1501317876173</v>
      </c>
      <c r="N15" s="455">
        <f t="shared" ca="1" si="1"/>
        <v>9777.8012378911717</v>
      </c>
      <c r="O15" s="455">
        <f t="shared" si="1"/>
        <v>81.293333333333337</v>
      </c>
      <c r="P15" s="455">
        <f t="shared" si="1"/>
        <v>610.13333333333333</v>
      </c>
      <c r="Q15" s="455">
        <f t="shared" ca="1" si="1"/>
        <v>572483.49120922713</v>
      </c>
    </row>
    <row r="17" spans="1:17">
      <c r="A17" s="458" t="s">
        <v>550</v>
      </c>
      <c r="B17" s="725">
        <f ca="1">huishoudens!B10</f>
        <v>0.21938014827746322</v>
      </c>
      <c r="C17" s="725">
        <f ca="1">huishoudens!C10</f>
        <v>0.23764705882352943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8919.3486928236398</v>
      </c>
      <c r="C22" s="445">
        <f t="shared" ref="C22:C32" ca="1" si="3">C4*$C$17</f>
        <v>0</v>
      </c>
      <c r="D22" s="445">
        <f t="shared" ref="D22:D32" si="4">D4*$D$17</f>
        <v>16426.461030407401</v>
      </c>
      <c r="E22" s="445">
        <f t="shared" ref="E22:E32" si="5">E4*$E$17</f>
        <v>321.02647570911643</v>
      </c>
      <c r="F22" s="445">
        <f t="shared" ref="F22:F32" si="6">F4*$F$17</f>
        <v>12888.977725888417</v>
      </c>
      <c r="G22" s="445">
        <f t="shared" ref="G22:G32" si="7">G4*$G$17</f>
        <v>0</v>
      </c>
      <c r="H22" s="445">
        <f t="shared" ref="H22:H32" si="8">H4*$H$17</f>
        <v>0</v>
      </c>
      <c r="I22" s="445">
        <f t="shared" ref="I22:I32" si="9">I4*$I$17</f>
        <v>0</v>
      </c>
      <c r="J22" s="445">
        <f t="shared" ref="J22:J32" si="10">J4*$J$17</f>
        <v>384.79548239307053</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38940.609407221644</v>
      </c>
    </row>
    <row r="23" spans="1:17">
      <c r="A23" s="444" t="s">
        <v>149</v>
      </c>
      <c r="B23" s="445">
        <f t="shared" ca="1" si="2"/>
        <v>3142.4803885412639</v>
      </c>
      <c r="C23" s="445">
        <f t="shared" ca="1" si="3"/>
        <v>0</v>
      </c>
      <c r="D23" s="445">
        <f t="shared" ca="1" si="4"/>
        <v>2953.6547469867742</v>
      </c>
      <c r="E23" s="445">
        <f t="shared" si="5"/>
        <v>60.230281698356379</v>
      </c>
      <c r="F23" s="445">
        <f t="shared" ca="1" si="6"/>
        <v>739.621751200316</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6895.9871684267109</v>
      </c>
    </row>
    <row r="24" spans="1:17">
      <c r="A24" s="444" t="s">
        <v>187</v>
      </c>
      <c r="B24" s="445">
        <f t="shared" ca="1" si="2"/>
        <v>305.75011265430049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305.75011265430049</v>
      </c>
    </row>
    <row r="25" spans="1:17">
      <c r="A25" s="444" t="s">
        <v>105</v>
      </c>
      <c r="B25" s="445">
        <f t="shared" ca="1" si="2"/>
        <v>2552.2833135233004</v>
      </c>
      <c r="C25" s="445">
        <f t="shared" ca="1" si="3"/>
        <v>16704.211764705884</v>
      </c>
      <c r="D25" s="445">
        <f t="shared" si="4"/>
        <v>0</v>
      </c>
      <c r="E25" s="445">
        <f t="shared" si="5"/>
        <v>23.79815898218774</v>
      </c>
      <c r="F25" s="445">
        <f t="shared" si="6"/>
        <v>11639.385298128725</v>
      </c>
      <c r="G25" s="445">
        <f t="shared" si="7"/>
        <v>0</v>
      </c>
      <c r="H25" s="445">
        <f t="shared" si="8"/>
        <v>0</v>
      </c>
      <c r="I25" s="445">
        <f t="shared" si="9"/>
        <v>0</v>
      </c>
      <c r="J25" s="445">
        <f t="shared" si="10"/>
        <v>416.7710850879493</v>
      </c>
      <c r="K25" s="445">
        <f t="shared" si="11"/>
        <v>0</v>
      </c>
      <c r="L25" s="445">
        <f t="shared" si="12"/>
        <v>0</v>
      </c>
      <c r="M25" s="445">
        <f t="shared" si="13"/>
        <v>0</v>
      </c>
      <c r="N25" s="445">
        <f t="shared" si="14"/>
        <v>0</v>
      </c>
      <c r="O25" s="445">
        <f t="shared" si="15"/>
        <v>0</v>
      </c>
      <c r="P25" s="446">
        <f t="shared" si="16"/>
        <v>0</v>
      </c>
      <c r="Q25" s="444">
        <f t="shared" ca="1" si="17"/>
        <v>31336.449620428048</v>
      </c>
    </row>
    <row r="26" spans="1:17">
      <c r="A26" s="444" t="s">
        <v>613</v>
      </c>
      <c r="B26" s="445">
        <f t="shared" ca="1" si="2"/>
        <v>1420.783219219659</v>
      </c>
      <c r="C26" s="445">
        <f t="shared" ca="1" si="3"/>
        <v>0</v>
      </c>
      <c r="D26" s="445">
        <f t="shared" si="4"/>
        <v>1222.4164923546939</v>
      </c>
      <c r="E26" s="445">
        <f t="shared" si="5"/>
        <v>17.108636829862846</v>
      </c>
      <c r="F26" s="445">
        <f t="shared" si="6"/>
        <v>689.15586564369187</v>
      </c>
      <c r="G26" s="445">
        <f t="shared" si="7"/>
        <v>0</v>
      </c>
      <c r="H26" s="445">
        <f t="shared" si="8"/>
        <v>0</v>
      </c>
      <c r="I26" s="445">
        <f t="shared" si="9"/>
        <v>0</v>
      </c>
      <c r="J26" s="445">
        <f t="shared" si="10"/>
        <v>12.426884926576067</v>
      </c>
      <c r="K26" s="445">
        <f t="shared" si="11"/>
        <v>0</v>
      </c>
      <c r="L26" s="445">
        <f t="shared" si="12"/>
        <v>0</v>
      </c>
      <c r="M26" s="445">
        <f t="shared" si="13"/>
        <v>0</v>
      </c>
      <c r="N26" s="445">
        <f t="shared" si="14"/>
        <v>0</v>
      </c>
      <c r="O26" s="445">
        <f t="shared" si="15"/>
        <v>0</v>
      </c>
      <c r="P26" s="446">
        <f t="shared" si="16"/>
        <v>0</v>
      </c>
      <c r="Q26" s="444">
        <f t="shared" ca="1" si="17"/>
        <v>3361.8910989744836</v>
      </c>
    </row>
    <row r="27" spans="1:17" s="450" customFormat="1">
      <c r="A27" s="448" t="s">
        <v>555</v>
      </c>
      <c r="B27" s="719">
        <f t="shared" ca="1" si="2"/>
        <v>0.44832192080425554</v>
      </c>
      <c r="C27" s="449">
        <f t="shared" ca="1" si="3"/>
        <v>0</v>
      </c>
      <c r="D27" s="449">
        <f t="shared" si="4"/>
        <v>1.2343567741920254</v>
      </c>
      <c r="E27" s="449">
        <f t="shared" si="5"/>
        <v>160.28913552420835</v>
      </c>
      <c r="F27" s="449">
        <f t="shared" si="6"/>
        <v>0</v>
      </c>
      <c r="G27" s="449">
        <f t="shared" si="7"/>
        <v>46776.145864247228</v>
      </c>
      <c r="H27" s="449">
        <f t="shared" si="8"/>
        <v>5440.340777270434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52378.458455736865</v>
      </c>
    </row>
    <row r="28" spans="1:17">
      <c r="A28" s="444" t="s">
        <v>545</v>
      </c>
      <c r="B28" s="445">
        <f t="shared" ca="1" si="2"/>
        <v>2.1599458638616298</v>
      </c>
      <c r="C28" s="445">
        <f t="shared" ca="1" si="3"/>
        <v>0</v>
      </c>
      <c r="D28" s="445">
        <f t="shared" si="4"/>
        <v>0</v>
      </c>
      <c r="E28" s="445">
        <f t="shared" si="5"/>
        <v>0</v>
      </c>
      <c r="F28" s="445">
        <f t="shared" si="6"/>
        <v>0</v>
      </c>
      <c r="G28" s="445">
        <f t="shared" si="7"/>
        <v>570.29079007080998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572.45073593467157</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438.59470700541084</v>
      </c>
      <c r="C32" s="445">
        <f t="shared" ca="1" si="3"/>
        <v>0</v>
      </c>
      <c r="D32" s="445">
        <f t="shared" si="4"/>
        <v>671.71650268675523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1110.3112096921661</v>
      </c>
    </row>
    <row r="33" spans="1:17" s="457" customFormat="1">
      <c r="A33" s="454" t="s">
        <v>549</v>
      </c>
      <c r="B33" s="455">
        <f ca="1">SUM(B22:B32)</f>
        <v>16781.848701552241</v>
      </c>
      <c r="C33" s="455">
        <f t="shared" ref="C33:Q33" ca="1" si="19">SUM(C22:C32)</f>
        <v>16704.211764705884</v>
      </c>
      <c r="D33" s="455">
        <f t="shared" ca="1" si="19"/>
        <v>21275.483129209813</v>
      </c>
      <c r="E33" s="455">
        <f t="shared" si="19"/>
        <v>582.45268874373176</v>
      </c>
      <c r="F33" s="455">
        <f t="shared" ca="1" si="19"/>
        <v>25957.140640861151</v>
      </c>
      <c r="G33" s="455">
        <f t="shared" si="19"/>
        <v>47346.436654318037</v>
      </c>
      <c r="H33" s="455">
        <f t="shared" si="19"/>
        <v>5440.340777270434</v>
      </c>
      <c r="I33" s="455">
        <f t="shared" si="19"/>
        <v>0</v>
      </c>
      <c r="J33" s="455">
        <f t="shared" si="19"/>
        <v>813.9934524075959</v>
      </c>
      <c r="K33" s="455">
        <f t="shared" si="19"/>
        <v>0</v>
      </c>
      <c r="L33" s="455">
        <f t="shared" ca="1" si="19"/>
        <v>0</v>
      </c>
      <c r="M33" s="455">
        <f t="shared" si="19"/>
        <v>0</v>
      </c>
      <c r="N33" s="455">
        <f t="shared" ca="1" si="19"/>
        <v>0</v>
      </c>
      <c r="O33" s="455">
        <f t="shared" si="19"/>
        <v>0</v>
      </c>
      <c r="P33" s="455">
        <f t="shared" si="19"/>
        <v>0</v>
      </c>
      <c r="Q33" s="455">
        <f t="shared" ca="1" si="19"/>
        <v>134901.90780906886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4266.9614588839777</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49203</v>
      </c>
      <c r="D8" s="963">
        <f>'SEAP template'!D76</f>
        <v>57885.882352941175</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11692.948235294118</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4266.9614588839777</v>
      </c>
      <c r="C10" s="967">
        <f>SUM(C4:C9)</f>
        <v>49203</v>
      </c>
      <c r="D10" s="967">
        <f t="shared" ref="D10:H10" si="0">SUM(D8:D9)</f>
        <v>57885.882352941175</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11692.948235294118</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0.21938014827746322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70290</v>
      </c>
      <c r="D17" s="964">
        <f>'SEAP template'!D87</f>
        <v>82694.117647058825</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16704.211764705884</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70290</v>
      </c>
      <c r="D20" s="967">
        <f t="shared" ref="D20:H20" si="2">SUM(D17:D19)</f>
        <v>82694.117647058825</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16704.211764705884</v>
      </c>
    </row>
    <row r="22" spans="1:16">
      <c r="A22" s="458" t="s">
        <v>885</v>
      </c>
      <c r="B22" s="725" t="s">
        <v>879</v>
      </c>
      <c r="C22" s="72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0.21938014827746322</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2022-07-26T12:44:09Z</dcterms:modified>
</cp:coreProperties>
</file>