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300F393-75D0-4900-9FE4-66C41244919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7" i="18"/>
  <c r="V47" i="18"/>
  <c r="U47" i="18"/>
  <c r="T47" i="18"/>
  <c r="S47" i="18"/>
  <c r="R47" i="18"/>
  <c r="Q47" i="18"/>
  <c r="P47" i="18"/>
  <c r="O47" i="18"/>
  <c r="N47" i="18"/>
  <c r="M47" i="18"/>
  <c r="W46" i="18"/>
  <c r="V46" i="18"/>
  <c r="U46" i="18"/>
  <c r="T46" i="18"/>
  <c r="S46" i="18"/>
  <c r="R46" i="18"/>
  <c r="Q46" i="18"/>
  <c r="P46" i="18"/>
  <c r="O46" i="18"/>
  <c r="N46" i="18"/>
  <c r="M46" i="18"/>
  <c r="W45" i="18"/>
  <c r="V45" i="18"/>
  <c r="U45" i="18"/>
  <c r="T45" i="18"/>
  <c r="S45" i="18"/>
  <c r="R45" i="18"/>
  <c r="Q45" i="18"/>
  <c r="P45" i="18"/>
  <c r="O45" i="18"/>
  <c r="N45" i="18"/>
  <c r="M45" i="18"/>
  <c r="W44" i="18"/>
  <c r="H9" i="18"/>
  <c r="V44" i="18"/>
  <c r="U44" i="18"/>
  <c r="T44" i="18"/>
  <c r="I9" i="18"/>
  <c r="S44" i="18"/>
  <c r="E9" i="18"/>
  <c r="R44" i="18"/>
  <c r="Q44" i="18"/>
  <c r="P44" i="18"/>
  <c r="C9" i="18"/>
  <c r="O44" i="18"/>
  <c r="N44" i="18"/>
  <c r="B9" i="18"/>
  <c r="M44"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B8" i="18"/>
  <c r="M37" i="18"/>
  <c r="G22" i="18"/>
  <c r="F22" i="18"/>
  <c r="E22" i="18"/>
  <c r="D22" i="18"/>
  <c r="C22" i="18"/>
  <c r="D20" i="18"/>
  <c r="G12" i="18"/>
  <c r="F12" i="18"/>
  <c r="E12" i="18"/>
  <c r="D12" i="18"/>
  <c r="C12" i="18"/>
  <c r="L10" i="18"/>
  <c r="K10" i="18"/>
  <c r="G10" i="18"/>
  <c r="D10" i="18"/>
  <c r="B6" i="18"/>
  <c r="B5" i="18"/>
  <c r="B4" i="18"/>
  <c r="G20" i="18"/>
  <c r="K20" i="18"/>
  <c r="B53" i="18"/>
  <c r="I57" i="18"/>
  <c r="H17" i="18"/>
  <c r="J9" i="18"/>
  <c r="O9" i="18"/>
  <c r="B17" i="18"/>
  <c r="B20" i="18"/>
  <c r="C53" i="18"/>
  <c r="H56" i="18"/>
  <c r="O19" i="18"/>
  <c r="O18" i="18"/>
  <c r="L20" i="18"/>
  <c r="B10" i="18"/>
  <c r="D57"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7" i="18"/>
  <c r="C17" i="18"/>
  <c r="D87" i="14"/>
  <c r="D17" i="55"/>
  <c r="D20" i="55"/>
  <c r="L20" i="55"/>
  <c r="F57" i="18"/>
  <c r="G57" i="18"/>
  <c r="I17" i="18"/>
  <c r="J77" i="14"/>
  <c r="J9" i="55"/>
  <c r="H57" i="18"/>
  <c r="H20" i="18"/>
  <c r="M87" i="14"/>
  <c r="M17" i="55"/>
  <c r="M20" i="55"/>
  <c r="C57" i="18"/>
  <c r="E57" i="18"/>
  <c r="E17" i="18"/>
  <c r="K10" i="55"/>
  <c r="C56" i="18"/>
  <c r="E56" i="18"/>
  <c r="E8" i="18"/>
  <c r="G56" i="18"/>
  <c r="I56" i="18"/>
  <c r="H8" i="18"/>
  <c r="B56" i="18"/>
  <c r="C8" i="18"/>
  <c r="D76" i="14"/>
  <c r="D8" i="55"/>
  <c r="D10" i="55"/>
  <c r="D56" i="18"/>
  <c r="F56"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<sst xmlns="http://schemas.openxmlformats.org/spreadsheetml/2006/main" count="2558" uniqueCount="966">
  <si>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</si>
  <si>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</si>
  <si>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</si>
  <si>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</si>
  <si>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</si>
  <si>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</si>
  <si>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</si>
  <si>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</si>
  <si>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</si>
  <si>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</si>
  <si>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</si>
  <si>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</si>
  <si>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</si>
  <si>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</si>
  <si>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</si>
  <si>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</si>
  <si>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</si>
  <si>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</si>
  <si>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</si>
  <si>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</si>
  <si>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</si>
  <si>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</si>
  <si>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</si>
  <si>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</si>
  <si>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</si>
  <si>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</si>
  <si>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</si>
  <si>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</si>
  <si>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</si>
  <si>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</si>
  <si>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</si>
  <si>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</si>
  <si>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</si>
  <si>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</si>
  <si>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</si>
  <si>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</si>
  <si>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</si>
  <si>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</si>
  <si>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</si>
  <si>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</si>
  <si>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</si>
  <si>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</si>
  <si>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</si>
  <si>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</si>
  <si>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</si>
  <si>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</si>
  <si>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</si>
  <si>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</si>
  <si>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</si>
  <si>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</si>
  <si>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</si>
  <si>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</si>
  <si>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</si>
  <si>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</si>
  <si>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</si>
  <si>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</si>
  <si>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</si>
  <si>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</si>
  <si>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</si>
  <si>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</si>
  <si>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</si>
  <si>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</si>
  <si>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</si>
  <si>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</si>
  <si>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</si>
  <si>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</si>
  <si>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</si>
  <si>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</si>
  <si>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</si>
  <si>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</si>
  <si>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</si>
  <si>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</si>
  <si>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</si>
  <si>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</si>
  <si>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</si>
  <si>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</si>
  <si>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</si>
  <si>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</si>
  <si>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</si>
  <si>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</si>
  <si>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</si>
  <si>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</si>
  <si>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</si>
  <si>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</si>
  <si>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</si>
  <si>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</si>
  <si>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</si>
  <si>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</si>
  <si>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</si>
  <si>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</si>
  <si>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</si>
  <si>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</si>
  <si>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</si>
  <si>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</si>
  <si>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</si>
  <si>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</si>
  <si>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</si>
  <si>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</si>
  <si>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</si>
  <si>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</si>
  <si>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</si>
  <si>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</si>
  <si>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</si>
  <si>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</si>
  <si>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</si>
  <si>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</si>
  <si>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</si>
  <si>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</si>
  <si>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</si>
  <si>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</si>
  <si>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</si>
  <si>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</si>
  <si>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</si>
  <si>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</si>
  <si>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</si>
  <si>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</si>
  <si>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</si>
  <si>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</si>
  <si>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</si>
  <si>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</si>
  <si>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</si>
  <si>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</si>
  <si>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</si>
  <si>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</si>
  <si>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</si>
  <si>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</si>
  <si>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</si>
  <si>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</si>
  <si>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</si>
  <si>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</si>
  <si>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</si>
  <si>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</si>
  <si>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</si>
  <si>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</si>
  <si>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</si>
  <si>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</si>
  <si>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</si>
  <si>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</si>
  <si>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</si>
  <si>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</si>
  <si>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</si>
  <si>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</si>
  <si>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</si>
  <si>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</si>
  <si>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</si>
  <si>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</si>
  <si>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</si>
  <si>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</si>
  <si>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</si>
  <si>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</si>
  <si>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</si>
  <si>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</si>
  <si>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</si>
  <si>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</si>
  <si>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</si>
  <si>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</si>
  <si>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</si>
  <si>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</si>
  <si>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</si>
  <si>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</si>
  <si>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</si>
  <si>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</si>
  <si>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</si>
  <si>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</si>
  <si>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</si>
  <si>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</si>
  <si>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</si>
  <si>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</si>
  <si>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</si>
  <si>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</si>
  <si>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</si>
  <si>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</si>
  <si>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</si>
  <si>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</si>
  <si>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</si>
  <si>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</si>
  <si>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</si>
  <si>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</si>
  <si>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</si>
  <si>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</si>
  <si>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</si>
  <si>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</si>
  <si>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</si>
  <si>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</si>
  <si>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</si>
  <si>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</si>
  <si>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</si>
  <si>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</si>
  <si>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</si>
  <si>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</si>
  <si>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</si>
  <si>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</si>
  <si>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</si>
  <si>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</si>
  <si>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</si>
  <si>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</si>
  <si>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</si>
  <si>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</si>
  <si>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</si>
  <si>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</si>
  <si>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</si>
  <si>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</si>
  <si>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</si>
  <si>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</si>
  <si>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</si>
  <si>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</si>
  <si>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</si>
  <si>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</si>
  <si>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</si>
  <si>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</si>
  <si>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</si>
  <si>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</si>
  <si>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</si>
  <si>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</si>
  <si>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</si>
  <si>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</si>
  <si>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</si>
  <si>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</si>
  <si>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</si>
  <si>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</si>
  <si>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</si>
  <si>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</si>
  <si>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</si>
  <si>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</si>
  <si>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</si>
  <si>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</si>
  <si>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</si>
  <si>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</si>
  <si>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</si>
  <si>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</si>
  <si>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</si>
  <si>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</si>
  <si>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</si>
  <si>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</si>
  <si>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</si>
  <si>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</si>
  <si>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</si>
  <si>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</si>
  <si>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</si>
  <si>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</si>
  <si>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</si>
  <si>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</si>
  <si>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</si>
  <si>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</si>
  <si>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</si>
  <si>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</si>
  <si>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</si>
  <si>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</si>
  <si>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</si>
  <si>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</si>
  <si>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</si>
  <si>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</si>
  <si>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</si>
  <si>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</si>
  <si>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</si>
  <si>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</si>
  <si>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</si>
  <si>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</si>
  <si>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</si>
  <si>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</si>
  <si>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</si>
  <si>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</si>
  <si>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</si>
  <si>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</si>
  <si>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</si>
  <si>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</si>
  <si>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</si>
  <si>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</si>
  <si>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</si>
  <si>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</si>
  <si>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</si>
  <si>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</si>
  <si>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</si>
  <si>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</si>
  <si>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</si>
  <si>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</si>
  <si>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</si>
  <si>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</si>
  <si>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</si>
  <si>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</si>
  <si>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</si>
  <si>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</si>
  <si>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</si>
  <si>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</si>
  <si>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</si>
  <si>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</si>
  <si>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</si>
  <si>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</si>
  <si>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</si>
  <si>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</si>
  <si>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</si>
  <si>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</si>
  <si>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</si>
  <si>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</si>
  <si>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</si>
  <si>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</si>
  <si>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</si>
  <si>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</si>
  <si>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</si>
  <si>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</si>
  <si>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</si>
  <si>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</si>
  <si>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</si>
  <si>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</si>
  <si>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</si>
  <si>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</si>
  <si>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</si>
  <si>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</si>
  <si>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</si>
  <si>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</si>
  <si>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</si>
  <si>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</si>
  <si>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</si>
  <si>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</si>
  <si>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</si>
  <si>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</si>
  <si>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</si>
  <si>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</si>
  <si>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</si>
  <si>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</si>
  <si>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</si>
  <si>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</si>
  <si>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</si>
  <si>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</si>
  <si>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</si>
  <si>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</si>
  <si>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</si>
  <si>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</si>
  <si>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</si>
  <si>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</si>
  <si>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</si>
  <si>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</si>
  <si>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</si>
  <si>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</si>
  <si>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</si>
  <si>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</si>
  <si>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</si>
  <si>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</si>
  <si>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</si>
  <si>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</si>
  <si>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</si>
  <si>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</si>
  <si>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</si>
  <si>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</si>
  <si>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</si>
  <si>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</si>
  <si>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</si>
  <si>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</si>
  <si>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</si>
  <si>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</si>
  <si>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</si>
  <si>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</si>
  <si>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</si>
  <si>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</si>
  <si>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</si>
  <si>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</si>
  <si>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</si>
  <si>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</si>
  <si>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</si>
  <si>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</si>
  <si>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</si>
  <si>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</si>
  <si>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</si>
  <si>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</si>
  <si>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</si>
  <si>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</si>
  <si>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</si>
  <si>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</si>
  <si>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</si>
  <si>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</si>
  <si>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</si>
  <si>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</si>
  <si>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</si>
  <si>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</si>
  <si>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</si>
  <si>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</si>
  <si>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</si>
  <si>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</si>
  <si>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</si>
  <si>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</si>
  <si>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</si>
  <si>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</si>
  <si>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</si>
  <si>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</si>
  <si>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</si>
  <si>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</si>
  <si>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</si>
  <si>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</si>
  <si>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</si>
  <si>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</si>
  <si>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</si>
  <si>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</si>
  <si>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</si>
  <si>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</si>
  <si>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</si>
  <si>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</si>
  <si>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</si>
  <si>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</si>
  <si>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</si>
  <si>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</si>
  <si>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</si>
  <si>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</si>
  <si>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</si>
  <si>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</si>
  <si>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</si>
  <si>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</si>
  <si>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</si>
  <si>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</si>
  <si>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</si>
  <si>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</si>
  <si>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</si>
  <si>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</si>
  <si>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</si>
  <si>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</si>
  <si>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</si>
  <si>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</si>
  <si>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</si>
  <si>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</si>
  <si>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</si>
  <si>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</si>
  <si>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</si>
  <si>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</si>
  <si>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</si>
  <si>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</si>
  <si>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</si>
  <si>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</si>
  <si>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</si>
  <si>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</si>
  <si>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</si>
  <si>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</si>
  <si>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</si>
  <si>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</si>
  <si>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</si>
  <si>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</si>
  <si>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</si>
  <si>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</si>
  <si>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</si>
  <si>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</si>
  <si>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</si>
  <si>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</si>
  <si>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</si>
  <si>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</si>
  <si>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</si>
  <si>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</si>
  <si>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</si>
  <si>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</si>
  <si>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</si>
  <si>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</si>
  <si>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</si>
  <si>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</si>
  <si>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</si>
  <si>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</si>
  <si>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</si>
  <si>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</si>
  <si>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</si>
  <si>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</si>
  <si>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</si>
  <si>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</si>
  <si>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</si>
  <si>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</si>
  <si>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</si>
  <si>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</si>
  <si>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</si>
  <si>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</si>
  <si>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</si>
  <si>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</si>
  <si>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</si>
  <si>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</si>
  <si>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</si>
  <si>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</si>
  <si>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</si>
  <si>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</si>
  <si>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</si>
  <si>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</si>
  <si>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</si>
  <si>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</si>
  <si>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</si>
  <si>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</si>
  <si>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</si>
  <si>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</si>
  <si>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</si>
  <si>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</si>
  <si>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</si>
  <si>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</si>
  <si>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</si>
  <si>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</si>
  <si>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</si>
  <si>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</si>
  <si>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</si>
  <si>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</si>
  <si>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</si>
  <si>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</si>
  <si>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</si>
  <si>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</si>
  <si>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</si>
  <si>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</si>
  <si>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</si>
  <si>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</si>
  <si>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</si>
  <si>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</si>
  <si>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</si>
  <si>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</si>
  <si>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</si>
  <si>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</si>
  <si>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</si>
  <si>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</si>
  <si>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</si>
  <si>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</si>
  <si>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</si>
  <si>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</si>
  <si>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</si>
  <si>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</si>
  <si>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</si>
  <si>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</si>
  <si>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</si>
  <si>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</si>
  <si>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</si>
  <si>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</si>
  <si>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</si>
  <si>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</si>
  <si>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</si>
  <si>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</si>
  <si>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</si>
  <si>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</si>
  <si>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</si>
  <si>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</si>
  <si>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</si>
  <si>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</si>
  <si>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</si>
  <si>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</si>
  <si>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</si>
  <si>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</si>
  <si>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</si>
  <si>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</si>
  <si>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</si>
  <si>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</si>
  <si>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</si>
  <si>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</si>
  <si>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</si>
  <si>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</si>
  <si>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</si>
  <si>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</si>
  <si>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</si>
  <si>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</si>
  <si>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</si>
  <si>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</si>
  <si>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</si>
  <si>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</si>
  <si>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</si>
  <si>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</si>
  <si>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</si>
  <si>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</si>
  <si>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</si>
  <si>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</si>
  <si>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</si>
  <si>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</si>
  <si>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</si>
  <si>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</si>
  <si>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</si>
  <si>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</si>
  <si>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</si>
  <si>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</si>
  <si>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</si>
  <si>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</si>
  <si>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</si>
  <si>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</si>
  <si>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</si>
  <si>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</si>
  <si>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</si>
  <si>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</si>
  <si>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</si>
  <si>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</si>
  <si>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</si>
  <si>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</si>
  <si>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</si>
  <si>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</si>
  <si>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</si>
  <si>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</si>
  <si>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</si>
  <si>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</si>
  <si>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</si>
  <si>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</si>
  <si>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</si>
  <si>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</si>
  <si>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</si>
  <si>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</si>
  <si>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</si>
  <si>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</si>
  <si>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</si>
  <si>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</si>
  <si>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</si>
  <si>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</si>
  <si>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</si>
  <si>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</si>
  <si>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</si>
  <si>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</si>
  <si>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</si>
  <si>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</si>
  <si>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</si>
  <si>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</si>
  <si>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</si>
  <si>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</si>
  <si>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</si>
  <si>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</si>
  <si>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</si>
  <si>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</si>
  <si>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</si>
  <si>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</si>
  <si>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</si>
  <si>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</si>
  <si>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</si>
  <si>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</si>
  <si>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</si>
  <si>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</si>
  <si>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</si>
  <si>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</si>
  <si>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</si>
  <si>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</si>
  <si>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</si>
  <si>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</si>
  <si>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</si>
  <si>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</si>
  <si>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</si>
  <si>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</si>
  <si>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</si>
  <si>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</si>
  <si>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</si>
  <si>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</si>
  <si>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</si>
  <si>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</si>
  <si>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</si>
  <si>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</si>
  <si>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</si>
  <si>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</si>
  <si>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</si>
  <si>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</si>
  <si>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</si>
  <si>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</si>
  <si>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</si>
  <si>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</si>
  <si>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</si>
  <si>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</si>
  <si>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</si>
  <si>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</si>
  <si>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</si>
  <si>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</si>
  <si>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</si>
  <si>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</si>
  <si>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</si>
  <si>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</si>
  <si>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</si>
  <si>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</si>
  <si>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</si>
  <si>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</si>
  <si>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</si>
  <si>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</si>
  <si>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</si>
  <si>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</si>
  <si>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</si>
  <si>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</si>
  <si>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</si>
  <si>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</si>
  <si>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</si>
  <si>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</si>
  <si>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</si>
  <si>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</si>
  <si>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</si>
  <si>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</si>
  <si>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</si>
  <si>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</si>
  <si>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</si>
  <si>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</si>
  <si>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</si>
  <si>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</si>
  <si>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</si>
  <si>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</si>
  <si>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</si>
  <si>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</si>
  <si>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</si>
  <si>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</si>
  <si>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</si>
  <si>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</si>
  <si>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</si>
  <si>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</si>
  <si>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</si>
  <si>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</si>
  <si>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</si>
  <si>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</si>
  <si>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</si>
  <si>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</si>
  <si>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</si>
  <si>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</si>
  <si>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</si>
  <si>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</si>
  <si>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</si>
  <si>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</si>
  <si>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</si>
  <si>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</si>
  <si>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</si>
  <si>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</si>
  <si>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</si>
  <si>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</si>
  <si>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</si>
  <si>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</si>
  <si>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</si>
  <si>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</si>
  <si>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</si>
  <si>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</si>
  <si>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</si>
  <si>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</si>
  <si>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</si>
  <si>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</si>
  <si>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</si>
  <si>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</si>
  <si>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</si>
  <si>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</si>
  <si>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</si>
  <si>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</si>
  <si>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</si>
  <si>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</si>
  <si>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</si>
  <si>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</si>
  <si>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</si>
  <si>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</si>
  <si>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</si>
  <si>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</si>
  <si>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</si>
  <si>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</si>
  <si>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</si>
  <si>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</si>
  <si>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</si>
  <si>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</si>
  <si>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</si>
  <si>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</si>
  <si>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</si>
  <si>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</si>
  <si>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</si>
  <si>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</si>
  <si>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</si>
  <si>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</si>
  <si>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</si>
  <si>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</si>
  <si>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</si>
  <si>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</si>
  <si>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</si>
  <si>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</si>
  <si>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</si>
  <si>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</si>
  <si>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</si>
  <si>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</si>
  <si>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</si>
  <si>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</si>
  <si>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</si>
  <si>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</si>
  <si>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</si>
  <si>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</si>
  <si>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</si>
  <si>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</si>
  <si>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</si>
  <si>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</si>
  <si>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</si>
  <si>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</si>
  <si>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</si>
  <si>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</si>
  <si>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</si>
  <si>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</si>
  <si>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</si>
  <si>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</si>
  <si>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</si>
  <si>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</si>
  <si>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</si>
  <si>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</si>
  <si>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</si>
  <si>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</si>
  <si>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</si>
  <si>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</si>
  <si>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</si>
  <si>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</si>
  <si>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</si>
  <si>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</si>
  <si>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</si>
  <si>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</si>
  <si>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</si>
  <si>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</si>
  <si>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</si>
  <si>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</si>
  <si>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</si>
  <si>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</si>
  <si>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</si>
  <si>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</si>
  <si>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</si>
  <si>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</si>
  <si>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</si>
  <si>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</si>
  <si>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</si>
  <si>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</si>
  <si>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</si>
  <si>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</si>
  <si>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</si>
  <si>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</si>
  <si>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</si>
  <si>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</si>
  <si>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</si>
  <si>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</si>
  <si>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</si>
  <si>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</si>
  <si>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</si>
  <si>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</si>
  <si>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</si>
  <si>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</si>
  <si>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</si>
  <si>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</si>
  <si>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</si>
  <si>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</si>
  <si>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</si>
  <si>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</si>
  <si>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</si>
  <si>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</si>
  <si>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</si>
  <si>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</si>
  <si>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</si>
  <si>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</si>
  <si>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</si>
  <si>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</si>
  <si>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</si>
  <si>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</si>
  <si>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</si>
  <si>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</si>
  <si>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</si>
  <si>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</si>
  <si>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</si>
  <si>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</si>
  <si>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</si>
  <si>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</si>
  <si>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</si>
  <si>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</si>
  <si>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</si>
  <si>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</si>
  <si>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</si>
  <si>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</si>
  <si>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</si>
  <si>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</si>
  <si>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</si>
  <si>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</si>
  <si>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</si>
  <si>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</si>
  <si>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</si>
  <si>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</si>
  <si>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</si>
  <si>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</si>
  <si>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</si>
  <si>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</si>
  <si>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</si>
  <si>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</si>
  <si>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</si>
  <si>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</si>
  <si>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</si>
  <si>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</si>
  <si>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</si>
  <si>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</si>
  <si>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</si>
  <si>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</si>
  <si>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</si>
  <si>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</si>
  <si>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</si>
  <si>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</si>
  <si>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</si>
  <si>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</si>
  <si>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</si>
  <si>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</si>
  <si>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</si>
  <si>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</si>
  <si>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</si>
  <si>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</si>
  <si>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</si>
  <si>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</si>
  <si>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</si>
  <si>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</si>
  <si>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</si>
  <si>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</si>
  <si>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</si>
  <si>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</si>
  <si>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</si>
  <si>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</si>
  <si>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</si>
  <si>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</si>
  <si>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</si>
  <si>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</si>
  <si>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</si>
  <si>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</si>
  <si>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</si>
  <si>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</si>
  <si>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</si>
  <si>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</si>
  <si>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</si>
  <si>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</si>
  <si>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</si>
  <si>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</si>
  <si>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</si>
  <si>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</si>
  <si>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</si>
  <si>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</si>
  <si>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</si>
  <si>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</si>
  <si>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</si>
  <si>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</si>
  <si>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</si>
  <si>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</si>
  <si>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</si>
  <si>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</si>
  <si>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</si>
  <si>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</si>
  <si>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</si>
  <si>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</si>
  <si>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</si>
  <si>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</si>
  <si>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</si>
  <si>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</si>
  <si>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</si>
  <si>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</si>
  <si>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</si>
  <si>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</si>
  <si>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</si>
  <si>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</si>
  <si>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</si>
  <si>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</si>
  <si>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</si>
  <si>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</si>
  <si>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</si>
  <si>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</si>
  <si>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</si>
  <si>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</si>
  <si>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</si>
  <si>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</si>
  <si>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</si>
  <si>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</si>
  <si>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</si>
  <si>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</si>
  <si>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</si>
  <si>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</si>
  <si>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</si>
  <si>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</si>
  <si>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</si>
  <si>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</si>
  <si>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</si>
  <si>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</si>
  <si>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</si>
  <si>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</si>
  <si>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</si>
  <si>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</si>
  <si>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</si>
  <si>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</si>
  <si>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</si>
  <si>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</si>
  <si>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</si>
  <si>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</si>
  <si>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</si>
  <si>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11004</t>
  </si>
  <si>
    <t>BOECHOUT</t>
  </si>
  <si>
    <t>Paarden&amp;pony's 200 - 600 kg</t>
  </si>
  <si>
    <t>Paarden&amp;pony's &lt; 200 kg</t>
  </si>
  <si>
    <t>vloeibaar gas (MWh)</t>
  </si>
  <si>
    <t>interne verbrandingsmotor</t>
  </si>
  <si>
    <t>WKK interne verbrandinsgmotor (gas)</t>
  </si>
  <si>
    <t>eilandwerking</t>
  </si>
  <si>
    <t>IVEG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</si>
</sst>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C3B20F1-19C7-4D8A-8342-4BFDA88AFF69}"/>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11004</v>
      </c>
      <c r="B6" s="382"/>
      <c r="C6" s="383"/>
    </row>
    <row r="7" spans="1:7" s="380" customFormat="1" ht="15.75" customHeight="1">
      <c r="A7" s="384" t="str">
        <f>txtMunicipality</f>
        <v>BOECHOUT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0.23520189969080779</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0.23520189969080779</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4977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925</v>
      </c>
      <c r="C14" s="324"/>
      <c r="D14" s="324"/>
      <c r="E14" s="324"/>
      <c r="F14" s="324"/>
    </row>
    <row r="15" spans="1:6">
      <c r="A15" s="1235" t="s">
        <v>177</v>
      </c>
      <c r="B15" s="1236">
        <v>1</v>
      </c>
      <c r="C15" s="324"/>
      <c r="D15" s="324"/>
      <c r="E15" s="324"/>
      <c r="F15" s="324"/>
    </row>
    <row r="16" spans="1:6">
      <c r="A16" s="1235" t="s">
        <v>6</v>
      </c>
      <c r="B16" s="1236">
        <v>29</v>
      </c>
      <c r="C16" s="324"/>
      <c r="D16" s="324"/>
      <c r="E16" s="324"/>
      <c r="F16" s="324"/>
    </row>
    <row r="17" spans="1:6">
      <c r="A17" s="1235" t="s">
        <v>7</v>
      </c>
      <c r="B17" s="1236">
        <v>126</v>
      </c>
      <c r="C17" s="324"/>
      <c r="D17" s="324"/>
      <c r="E17" s="324"/>
      <c r="F17" s="324"/>
    </row>
    <row r="18" spans="1:6">
      <c r="A18" s="1235" t="s">
        <v>8</v>
      </c>
      <c r="B18" s="1236">
        <v>112</v>
      </c>
      <c r="C18" s="324"/>
      <c r="D18" s="324"/>
      <c r="E18" s="324"/>
      <c r="F18" s="324"/>
    </row>
    <row r="19" spans="1:6">
      <c r="A19" s="1235" t="s">
        <v>9</v>
      </c>
      <c r="B19" s="1236">
        <v>82</v>
      </c>
      <c r="C19" s="324"/>
      <c r="D19" s="324"/>
      <c r="E19" s="324"/>
      <c r="F19" s="324"/>
    </row>
    <row r="20" spans="1:6">
      <c r="A20" s="1235" t="s">
        <v>10</v>
      </c>
      <c r="B20" s="1236">
        <v>70</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1</v>
      </c>
      <c r="C24" s="324"/>
      <c r="D24" s="324"/>
      <c r="E24" s="324"/>
      <c r="F24" s="324"/>
    </row>
    <row r="25" spans="1:6">
      <c r="A25" s="1235" t="s">
        <v>15</v>
      </c>
      <c r="B25" s="1236">
        <v>0</v>
      </c>
      <c r="C25" s="324"/>
      <c r="D25" s="324"/>
      <c r="E25" s="324"/>
      <c r="F25" s="324"/>
    </row>
    <row r="26" spans="1:6">
      <c r="A26" s="1235" t="s">
        <v>16</v>
      </c>
      <c r="B26" s="1236">
        <v>54</v>
      </c>
      <c r="C26" s="324"/>
      <c r="D26" s="324"/>
      <c r="E26" s="324"/>
      <c r="F26" s="324"/>
    </row>
    <row r="27" spans="1:6">
      <c r="A27" s="1235" t="s">
        <v>17</v>
      </c>
      <c r="B27" s="1236">
        <v>0</v>
      </c>
      <c r="C27" s="324"/>
      <c r="D27" s="324"/>
      <c r="E27" s="324"/>
      <c r="F27" s="324"/>
    </row>
    <row r="28" spans="1:6">
      <c r="A28" s="1235" t="s">
        <v>18</v>
      </c>
      <c r="B28" s="1237">
        <v>9182</v>
      </c>
      <c r="C28" s="324"/>
      <c r="D28" s="324"/>
      <c r="E28" s="324"/>
      <c r="F28" s="324"/>
    </row>
    <row r="29" spans="1:6">
      <c r="A29" s="1235" t="s">
        <v>959</v>
      </c>
      <c r="B29" s="1237">
        <v>66</v>
      </c>
      <c r="C29" s="324"/>
      <c r="D29" s="324"/>
      <c r="E29" s="324"/>
      <c r="F29" s="324"/>
    </row>
    <row r="30" spans="1:6">
      <c r="A30" s="1230" t="s">
        <v>960</v>
      </c>
      <c r="B30" s="1238">
        <v>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15764996</v>
      </c>
      <c r="E38" s="1236">
        <v>3</v>
      </c>
      <c r="F38" s="1236">
        <v>331967</v>
      </c>
    </row>
    <row r="39" spans="1:6">
      <c r="A39" s="1235" t="s">
        <v>29</v>
      </c>
      <c r="B39" s="1235" t="s">
        <v>30</v>
      </c>
      <c r="C39" s="1236">
        <v>4000</v>
      </c>
      <c r="D39" s="1236">
        <v>74908919</v>
      </c>
      <c r="E39" s="1236">
        <v>5114</v>
      </c>
      <c r="F39" s="1236">
        <v>22469063</v>
      </c>
    </row>
    <row r="40" spans="1:6">
      <c r="A40" s="1235" t="s">
        <v>29</v>
      </c>
      <c r="B40" s="1235" t="s">
        <v>28</v>
      </c>
      <c r="C40" s="1236">
        <v>0</v>
      </c>
      <c r="D40" s="1236">
        <v>0</v>
      </c>
      <c r="E40" s="1236">
        <v>0</v>
      </c>
      <c r="F40" s="1236">
        <v>0</v>
      </c>
    </row>
    <row r="41" spans="1:6">
      <c r="A41" s="1235" t="s">
        <v>31</v>
      </c>
      <c r="B41" s="1235" t="s">
        <v>32</v>
      </c>
      <c r="C41" s="1236">
        <v>19</v>
      </c>
      <c r="D41" s="1236">
        <v>552793</v>
      </c>
      <c r="E41" s="1236">
        <v>43</v>
      </c>
      <c r="F41" s="1236">
        <v>369929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5</v>
      </c>
      <c r="F44" s="1236">
        <v>2519160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6</v>
      </c>
      <c r="D47" s="1236">
        <v>1423149</v>
      </c>
      <c r="E47" s="1236">
        <v>7</v>
      </c>
      <c r="F47" s="1236">
        <v>6615554</v>
      </c>
    </row>
    <row r="48" spans="1:6">
      <c r="A48" s="1235" t="s">
        <v>31</v>
      </c>
      <c r="B48" s="1235" t="s">
        <v>28</v>
      </c>
      <c r="C48" s="1236">
        <v>0</v>
      </c>
      <c r="D48" s="1236">
        <v>0</v>
      </c>
      <c r="E48" s="1236">
        <v>3</v>
      </c>
      <c r="F48" s="1236">
        <v>26020</v>
      </c>
    </row>
    <row r="49" spans="1:6">
      <c r="A49" s="1235" t="s">
        <v>31</v>
      </c>
      <c r="B49" s="1235" t="s">
        <v>39</v>
      </c>
      <c r="C49" s="1236">
        <v>0</v>
      </c>
      <c r="D49" s="1236">
        <v>0</v>
      </c>
      <c r="E49" s="1236">
        <v>0</v>
      </c>
      <c r="F49" s="1236">
        <v>0</v>
      </c>
    </row>
    <row r="50" spans="1:6">
      <c r="A50" s="1235" t="s">
        <v>31</v>
      </c>
      <c r="B50" s="1235" t="s">
        <v>40</v>
      </c>
      <c r="C50" s="1236">
        <v>4</v>
      </c>
      <c r="D50" s="1236">
        <v>187296</v>
      </c>
      <c r="E50" s="1236">
        <v>6</v>
      </c>
      <c r="F50" s="1236">
        <v>296320</v>
      </c>
    </row>
    <row r="51" spans="1:6">
      <c r="A51" s="1235" t="s">
        <v>41</v>
      </c>
      <c r="B51" s="1235" t="s">
        <v>42</v>
      </c>
      <c r="C51" s="1236">
        <v>20</v>
      </c>
      <c r="D51" s="1236">
        <v>242963184</v>
      </c>
      <c r="E51" s="1236">
        <v>65</v>
      </c>
      <c r="F51" s="1236">
        <v>4083145</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10</v>
      </c>
      <c r="F54" s="1236">
        <v>778386</v>
      </c>
    </row>
    <row r="55" spans="1:6">
      <c r="A55" s="1235" t="s">
        <v>45</v>
      </c>
      <c r="B55" s="1235" t="s">
        <v>28</v>
      </c>
      <c r="C55" s="1236">
        <v>0</v>
      </c>
      <c r="D55" s="1236">
        <v>0</v>
      </c>
      <c r="E55" s="1236">
        <v>0</v>
      </c>
      <c r="F55" s="1236">
        <v>0</v>
      </c>
    </row>
    <row r="56" spans="1:6">
      <c r="A56" s="1235" t="s">
        <v>47</v>
      </c>
      <c r="B56" s="1235" t="s">
        <v>28</v>
      </c>
      <c r="C56" s="1236">
        <v>40</v>
      </c>
      <c r="D56" s="1236">
        <v>8603395</v>
      </c>
      <c r="E56" s="1236">
        <v>120</v>
      </c>
      <c r="F56" s="1236">
        <v>996872</v>
      </c>
    </row>
    <row r="57" spans="1:6">
      <c r="A57" s="1235" t="s">
        <v>48</v>
      </c>
      <c r="B57" s="1235" t="s">
        <v>49</v>
      </c>
      <c r="C57" s="1236">
        <v>16</v>
      </c>
      <c r="D57" s="1236">
        <v>1527737</v>
      </c>
      <c r="E57" s="1236">
        <v>29</v>
      </c>
      <c r="F57" s="1236">
        <v>686156</v>
      </c>
    </row>
    <row r="58" spans="1:6">
      <c r="A58" s="1235" t="s">
        <v>48</v>
      </c>
      <c r="B58" s="1235" t="s">
        <v>50</v>
      </c>
      <c r="C58" s="1236">
        <v>15</v>
      </c>
      <c r="D58" s="1236">
        <v>6509185</v>
      </c>
      <c r="E58" s="1236">
        <v>20</v>
      </c>
      <c r="F58" s="1236">
        <v>1423400</v>
      </c>
    </row>
    <row r="59" spans="1:6">
      <c r="A59" s="1235" t="s">
        <v>48</v>
      </c>
      <c r="B59" s="1235" t="s">
        <v>51</v>
      </c>
      <c r="C59" s="1236">
        <v>49</v>
      </c>
      <c r="D59" s="1236">
        <v>2947134</v>
      </c>
      <c r="E59" s="1236">
        <v>104</v>
      </c>
      <c r="F59" s="1236">
        <v>3202503</v>
      </c>
    </row>
    <row r="60" spans="1:6">
      <c r="A60" s="1235" t="s">
        <v>48</v>
      </c>
      <c r="B60" s="1235" t="s">
        <v>52</v>
      </c>
      <c r="C60" s="1236">
        <v>23</v>
      </c>
      <c r="D60" s="1236">
        <v>2502748</v>
      </c>
      <c r="E60" s="1236">
        <v>39</v>
      </c>
      <c r="F60" s="1236">
        <v>2448126</v>
      </c>
    </row>
    <row r="61" spans="1:6">
      <c r="A61" s="1235" t="s">
        <v>48</v>
      </c>
      <c r="B61" s="1235" t="s">
        <v>53</v>
      </c>
      <c r="C61" s="1236">
        <v>97</v>
      </c>
      <c r="D61" s="1236">
        <v>4026998</v>
      </c>
      <c r="E61" s="1236">
        <v>241</v>
      </c>
      <c r="F61" s="1236">
        <v>2614552</v>
      </c>
    </row>
    <row r="62" spans="1:6">
      <c r="A62" s="1235" t="s">
        <v>48</v>
      </c>
      <c r="B62" s="1235" t="s">
        <v>54</v>
      </c>
      <c r="C62" s="1236">
        <v>18</v>
      </c>
      <c r="D62" s="1236">
        <v>2642644</v>
      </c>
      <c r="E62" s="1236">
        <v>42</v>
      </c>
      <c r="F62" s="1236">
        <v>668057</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2</v>
      </c>
      <c r="D65" s="1236">
        <v>64352</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24954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57811159</v>
      </c>
      <c r="E73" s="443"/>
      <c r="F73" s="324"/>
    </row>
    <row r="74" spans="1:6">
      <c r="A74" s="1235" t="s">
        <v>63</v>
      </c>
      <c r="B74" s="1235" t="s">
        <v>730</v>
      </c>
      <c r="C74" s="1248" t="s">
        <v>731</v>
      </c>
      <c r="D74" s="1236">
        <v>5074924.7958251247</v>
      </c>
      <c r="E74" s="443"/>
      <c r="F74" s="324"/>
    </row>
    <row r="75" spans="1:6">
      <c r="A75" s="1235" t="s">
        <v>64</v>
      </c>
      <c r="B75" s="1235" t="s">
        <v>728</v>
      </c>
      <c r="C75" s="1248" t="s">
        <v>732</v>
      </c>
      <c r="D75" s="1236">
        <v>7186209</v>
      </c>
      <c r="E75" s="443"/>
      <c r="F75" s="324"/>
    </row>
    <row r="76" spans="1:6">
      <c r="A76" s="1235" t="s">
        <v>64</v>
      </c>
      <c r="B76" s="1235" t="s">
        <v>730</v>
      </c>
      <c r="C76" s="1248" t="s">
        <v>733</v>
      </c>
      <c r="D76" s="1236">
        <v>392160.79582512489</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414844.40834975021</v>
      </c>
      <c r="C83" s="443"/>
      <c r="D83" s="324"/>
      <c r="E83" s="324"/>
      <c r="F83" s="324"/>
    </row>
    <row r="84" spans="1:6">
      <c r="A84" s="1230" t="s">
        <v>324</v>
      </c>
      <c r="B84" s="1238">
        <v>185442.53664794451</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968.2189217759518</v>
      </c>
      <c r="C91" s="324"/>
      <c r="D91" s="324"/>
      <c r="E91" s="324"/>
      <c r="F91" s="324"/>
    </row>
    <row r="92" spans="1:6">
      <c r="A92" s="1230" t="s">
        <v>68</v>
      </c>
      <c r="B92" s="1231">
        <v>106.83931591897922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2831</v>
      </c>
      <c r="C97" s="324"/>
      <c r="D97" s="324"/>
      <c r="E97" s="324"/>
      <c r="F97" s="324"/>
    </row>
    <row r="98" spans="1:6">
      <c r="A98" s="1235" t="s">
        <v>71</v>
      </c>
      <c r="B98" s="1236">
        <v>2</v>
      </c>
      <c r="C98" s="324"/>
      <c r="D98" s="324"/>
      <c r="E98" s="324"/>
      <c r="F98" s="324"/>
    </row>
    <row r="99" spans="1:6">
      <c r="A99" s="1235" t="s">
        <v>72</v>
      </c>
      <c r="B99" s="1236">
        <v>22</v>
      </c>
      <c r="C99" s="324"/>
      <c r="D99" s="324"/>
      <c r="E99" s="324"/>
      <c r="F99" s="324"/>
    </row>
    <row r="100" spans="1:6">
      <c r="A100" s="1235" t="s">
        <v>73</v>
      </c>
      <c r="B100" s="1236">
        <v>329</v>
      </c>
      <c r="C100" s="324"/>
      <c r="D100" s="324"/>
      <c r="E100" s="324"/>
      <c r="F100" s="324"/>
    </row>
    <row r="101" spans="1:6">
      <c r="A101" s="1235" t="s">
        <v>74</v>
      </c>
      <c r="B101" s="1236">
        <v>48</v>
      </c>
      <c r="C101" s="324"/>
      <c r="D101" s="324"/>
      <c r="E101" s="324"/>
      <c r="F101" s="324"/>
    </row>
    <row r="102" spans="1:6">
      <c r="A102" s="1235" t="s">
        <v>75</v>
      </c>
      <c r="B102" s="1236">
        <v>62</v>
      </c>
      <c r="C102" s="324"/>
      <c r="D102" s="324"/>
      <c r="E102" s="324"/>
      <c r="F102" s="324"/>
    </row>
    <row r="103" spans="1:6">
      <c r="A103" s="1235" t="s">
        <v>76</v>
      </c>
      <c r="B103" s="1236">
        <v>79</v>
      </c>
      <c r="C103" s="324"/>
      <c r="D103" s="324"/>
      <c r="E103" s="324"/>
      <c r="F103" s="324"/>
    </row>
    <row r="104" spans="1:6">
      <c r="A104" s="1235" t="s">
        <v>77</v>
      </c>
      <c r="B104" s="1236">
        <v>886</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26</v>
      </c>
      <c r="C129" s="324"/>
      <c r="D129" s="324"/>
      <c r="E129" s="324"/>
      <c r="F129" s="324"/>
    </row>
    <row r="130" spans="1:6">
      <c r="A130" s="1235" t="s">
        <v>284</v>
      </c>
      <c r="B130" s="1236">
        <v>2</v>
      </c>
      <c r="C130" s="324"/>
      <c r="D130" s="324"/>
      <c r="E130" s="324"/>
      <c r="F130" s="324"/>
    </row>
    <row r="131" spans="1:6">
      <c r="A131" s="1235" t="s">
        <v>285</v>
      </c>
      <c r="B131" s="1236">
        <v>0</v>
      </c>
      <c r="C131" s="324"/>
      <c r="D131" s="324"/>
      <c r="E131" s="324"/>
      <c r="F131" s="324"/>
    </row>
    <row r="132" spans="1:6">
      <c r="A132" s="1230" t="s">
        <v>286</v>
      </c>
      <c r="B132" s="1231">
        <v>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69461.336677153915</v>
      </c>
      <c r="C3" s="43" t="s">
        <v>163</v>
      </c>
      <c r="D3" s="43"/>
      <c r="E3" s="155"/>
      <c r="F3" s="43"/>
      <c r="G3" s="43"/>
      <c r="H3" s="43"/>
      <c r="I3" s="43"/>
      <c r="J3" s="43"/>
      <c r="K3" s="96"/>
    </row>
    <row r="4" spans="1:11">
      <c r="A4" s="350" t="s">
        <v>164</v>
      </c>
      <c r="B4" s="49">
        <f>IF(ISERROR('SEAP template'!B78+'SEAP template'!C78),0,'SEAP template'!B78+'SEAP template'!C78)</f>
        <v>104485.80823769493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24575.260588235302</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0.23520189969080779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35107.515126050428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147729.64285714287</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778.38599999999997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778.38599999999997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0.23520189969080779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183.07786589272911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22469.062999999998</v>
      </c>
      <c r="C5" s="17">
        <f>IF(ISERROR('Eigen informatie GS &amp; warmtenet'!B57),0,'Eigen informatie GS &amp; warmtenet'!B57)</f>
        <v>0</v>
      </c>
      <c r="D5" s="30">
        <f>(SUM(HH_hh_gas_kWh,HH_rest_gas_kWh)/1000)*0.902</f>
        <v>67567.844937999995</v>
      </c>
      <c r="E5" s="17">
        <f>B32*B41</f>
        <v>563.29131100915458</v>
      </c>
      <c r="F5" s="17">
        <f>B36*B45</f>
        <v>19227.608471396212</v>
      </c>
      <c r="G5" s="18"/>
      <c r="H5" s="17"/>
      <c r="I5" s="17"/>
      <c r="J5" s="17">
        <f>B35*B44+C35*C44</f>
        <v>432.95699526652572</v>
      </c>
      <c r="K5" s="17"/>
      <c r="L5" s="17"/>
      <c r="M5" s="17"/>
      <c r="N5" s="17">
        <f>B34*B43+C34*C43</f>
        <v>5684.4908643382914</v>
      </c>
      <c r="O5" s="17">
        <f>B52*B53*B54</f>
        <v>50.026666666666671</v>
      </c>
      <c r="P5" s="17">
        <f>B60*B61*B62/1000-B60*B61*B62/1000/B63</f>
        <v>190.66666666666669</v>
      </c>
    </row>
    <row r="6" spans="1:16">
      <c r="A6" s="16" t="s">
        <v>591</v>
      </c>
      <c r="B6" s="727">
        <f>kWh_PV_kleiner_dan_10kW</f>
        <v>968.2189217759518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23437.28192177595</v>
      </c>
      <c r="C8" s="21">
        <f>C5</f>
        <v>0</v>
      </c>
      <c r="D8" s="21">
        <f>D5</f>
        <v>67567.844937999995</v>
      </c>
      <c r="E8" s="21">
        <f>E5</f>
        <v>563.29131100915458</v>
      </c>
      <c r="F8" s="21">
        <f>F5</f>
        <v>19227.608471396212</v>
      </c>
      <c r="G8" s="21"/>
      <c r="H8" s="21"/>
      <c r="I8" s="21"/>
      <c r="J8" s="21">
        <f>J5</f>
        <v>432.95699526652572</v>
      </c>
      <c r="K8" s="21"/>
      <c r="L8" s="21">
        <f>L5</f>
        <v>0</v>
      </c>
      <c r="M8" s="21">
        <f>M5</f>
        <v>0</v>
      </c>
      <c r="N8" s="21">
        <f>N5</f>
        <v>5684.4908643382914</v>
      </c>
      <c r="O8" s="21">
        <f>O5</f>
        <v>50.026666666666671</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0.23520189969080779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5512.4932315907299</v>
      </c>
      <c r="C12" s="23">
        <f ca="1">C10*C8</f>
        <v>0</v>
      </c>
      <c r="D12" s="23">
        <f>D8*D10</f>
        <v>13648.704677476</v>
      </c>
      <c r="E12" s="23">
        <f>E10*E8</f>
        <v>127.86712759907809</v>
      </c>
      <c r="F12" s="23">
        <f>F10*F8</f>
        <v>5133.7714618627888</v>
      </c>
      <c r="G12" s="23"/>
      <c r="H12" s="23"/>
      <c r="I12" s="23"/>
      <c r="J12" s="23">
        <f>J10*J8</f>
        <v>153.2667763243501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4977</v>
      </c>
      <c r="C26" s="36"/>
      <c r="D26" s="225"/>
    </row>
    <row r="27" spans="1:5" s="15" customFormat="1">
      <c r="A27" s="227" t="s">
        <v>671</v>
      </c>
      <c r="B27" s="37">
        <f>SUM(HH_hh_gas_aantal,HH_rest_gas_aantal)</f>
        <v>4000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3800</v>
      </c>
      <c r="C31" s="34" t="s">
        <v>104</v>
      </c>
      <c r="D31" s="171"/>
    </row>
    <row r="32" spans="1:5">
      <c r="A32" s="168" t="s">
        <v>72</v>
      </c>
      <c r="B32" s="33">
        <f>IF((B21*($B$26-($B$27-0.05*$B$27)-$B$60))&lt;0,0,B21*($B$26-($B$27-0.05*$B$27)-$B$60))</f>
        <v>8.2735266160879473</v>
      </c>
      <c r="C32" s="34" t="s">
        <v>104</v>
      </c>
      <c r="D32" s="171"/>
    </row>
    <row r="33" spans="1:6">
      <c r="A33" s="168" t="s">
        <v>73</v>
      </c>
      <c r="B33" s="33">
        <f>IF((B22*($B$26-($B$27-0.05*$B$27)-$B$60))&lt;0,0,B22*($B$26-($B$27-0.05*$B$27)-$B$60))</f>
        <v>237.11814716720087</v>
      </c>
      <c r="C33" s="34" t="s">
        <v>104</v>
      </c>
      <c r="D33" s="171"/>
    </row>
    <row r="34" spans="1:6">
      <c r="A34" s="168" t="s">
        <v>74</v>
      </c>
      <c r="B34" s="33">
        <f>IF((B24*($B$26-($B$27-0.05*$B$27)-$B$60))&lt;0,0,B24*($B$26-($B$27-0.05*$B$27)-$B$60))</f>
        <v>47.283864485384484</v>
      </c>
      <c r="C34" s="33">
        <f>B26*C24</f>
        <v>1017.6850885112061</v>
      </c>
      <c r="D34" s="230"/>
    </row>
    <row r="35" spans="1:6">
      <c r="A35" s="168" t="s">
        <v>76</v>
      </c>
      <c r="B35" s="33">
        <f>IF((B19*($B$26-($B$27-0.05*$B$27)-$B$60))&lt;0,0,B19*($B$26-($B$27-0.05*$B$27)-$B$60))</f>
        <v>24.623591119309371</v>
      </c>
      <c r="C35" s="33">
        <f>B35/2</f>
        <v>12.311795559654685</v>
      </c>
      <c r="D35" s="230"/>
    </row>
    <row r="36" spans="1:6">
      <c r="A36" s="168" t="s">
        <v>77</v>
      </c>
      <c r="B36" s="33">
        <f>IF((B18*($B$26-($B$27-0.05*$B$27)-$B$60))&lt;0,0,B18*($B$26-($B$27-0.05*$B$27)-$B$60))</f>
        <v>849.7008706120173</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11042.794000000002</v>
      </c>
      <c r="C5" s="17">
        <f>IF(ISERROR('Eigen informatie GS &amp; warmtenet'!B58),0,'Eigen informatie GS &amp; warmtenet'!B58)</f>
        <v>0</v>
      </c>
      <c r="D5" s="30">
        <f>SUM(D6:D12)</f>
        <v>18181.114291999998</v>
      </c>
      <c r="E5" s="17">
        <f>SUM(E6:E12)</f>
        <v>246.33351146320274</v>
      </c>
      <c r="F5" s="17">
        <f>SUM(F6:F12)</f>
        <v>2576.5970535863316</v>
      </c>
      <c r="G5" s="18"/>
      <c r="H5" s="17"/>
      <c r="I5" s="17"/>
      <c r="J5" s="17">
        <f>SUM(J6:J12)</f>
        <v>0</v>
      </c>
      <c r="K5" s="17"/>
      <c r="L5" s="17"/>
      <c r="M5" s="17"/>
      <c r="N5" s="17">
        <f>SUM(N6:N12)</f>
        <v>198.70985827722802</v>
      </c>
      <c r="O5" s="17">
        <f>B38*B39*B40</f>
        <v>3.1266666666666669</v>
      </c>
      <c r="P5" s="17">
        <f>B46*B47*B48/1000-B46*B47*B48/1000/B49</f>
        <v>0</v>
      </c>
      <c r="R5" s="32"/>
    </row>
    <row r="6" spans="1:18">
      <c r="A6" s="32" t="s">
        <v>53</v>
      </c>
      <c r="B6" s="37">
        <f>B26</f>
        <v>2614.5520000000001</v>
      </c>
      <c r="C6" s="33"/>
      <c r="D6" s="37">
        <f>IF(ISERROR(TER_kantoor_gas_kWh/1000),0,TER_kantoor_gas_kWh/1000)*0.902</f>
        <v>3632.3521960000003</v>
      </c>
      <c r="E6" s="33">
        <f>$C$26*'E Balans VL '!I12/100/3.6*1000000</f>
        <v>90.442611409873194</v>
      </c>
      <c r="F6" s="33">
        <f>$C$26*('E Balans VL '!L12+'E Balans VL '!N12)/100/3.6*1000000</f>
        <v>399.13912531475512</v>
      </c>
      <c r="G6" s="34"/>
      <c r="H6" s="33"/>
      <c r="I6" s="33"/>
      <c r="J6" s="33">
        <f>$C$26*('E Balans VL '!D12+'E Balans VL '!E12)/100/3.6*1000000</f>
        <v>0</v>
      </c>
      <c r="K6" s="33"/>
      <c r="L6" s="33"/>
      <c r="M6" s="33"/>
      <c r="N6" s="33">
        <f>$C$26*'E Balans VL '!Y12/100/3.6*1000000</f>
        <v>40.304561951593904</v>
      </c>
      <c r="O6" s="33"/>
      <c r="P6" s="33"/>
      <c r="R6" s="32"/>
    </row>
    <row r="7" spans="1:18">
      <c r="A7" s="32" t="s">
        <v>52</v>
      </c>
      <c r="B7" s="37">
        <f t="shared" ref="B7:B12" si="0">B27</f>
        <v>2448.1260000000002</v>
      </c>
      <c r="C7" s="33"/>
      <c r="D7" s="37">
        <f>IF(ISERROR(TER_horeca_gas_kWh/1000),0,TER_horeca_gas_kWh/1000)*0.902</f>
        <v>2257.4786960000001</v>
      </c>
      <c r="E7" s="33">
        <f>$C$27*'E Balans VL '!I9/100/3.6*1000000</f>
        <v>134.16508404613782</v>
      </c>
      <c r="F7" s="33">
        <f>$C$27*('E Balans VL '!L9+'E Balans VL '!N9)/100/3.6*1000000</f>
        <v>414.30480864605988</v>
      </c>
      <c r="G7" s="34"/>
      <c r="H7" s="33"/>
      <c r="I7" s="33"/>
      <c r="J7" s="33">
        <f>$C$27*('E Balans VL '!D9+'E Balans VL '!E9)/100/3.6*1000000</f>
        <v>0</v>
      </c>
      <c r="K7" s="33"/>
      <c r="L7" s="33"/>
      <c r="M7" s="33"/>
      <c r="N7" s="33">
        <f>$C$27*'E Balans VL '!Y9/100/3.6*1000000</f>
        <v>0</v>
      </c>
      <c r="O7" s="33"/>
      <c r="P7" s="33"/>
      <c r="R7" s="32"/>
    </row>
    <row r="8" spans="1:18">
      <c r="A8" s="6" t="s">
        <v>51</v>
      </c>
      <c r="B8" s="37">
        <f t="shared" si="0"/>
        <v>3202.5030000000002</v>
      </c>
      <c r="C8" s="33"/>
      <c r="D8" s="37">
        <f>IF(ISERROR(TER_handel_gas_kWh/1000),0,TER_handel_gas_kWh/1000)*0.902</f>
        <v>2658.3148679999999</v>
      </c>
      <c r="E8" s="33">
        <f>$C$28*'E Balans VL '!I13/100/3.6*1000000</f>
        <v>16.202009502607424</v>
      </c>
      <c r="F8" s="33">
        <f>$C$28*('E Balans VL '!L13+'E Balans VL '!N13)/100/3.6*1000000</f>
        <v>486.59528336491502</v>
      </c>
      <c r="G8" s="34"/>
      <c r="H8" s="33"/>
      <c r="I8" s="33"/>
      <c r="J8" s="33">
        <f>$C$28*('E Balans VL '!D13+'E Balans VL '!E13)/100/3.6*1000000</f>
        <v>0</v>
      </c>
      <c r="K8" s="33"/>
      <c r="L8" s="33"/>
      <c r="M8" s="33"/>
      <c r="N8" s="33">
        <f>$C$28*'E Balans VL '!Y13/100/3.6*1000000</f>
        <v>1.4975761315066551</v>
      </c>
      <c r="O8" s="33"/>
      <c r="P8" s="33"/>
      <c r="R8" s="32"/>
    </row>
    <row r="9" spans="1:18">
      <c r="A9" s="32" t="s">
        <v>50</v>
      </c>
      <c r="B9" s="37">
        <f t="shared" si="0"/>
        <v>1423.4</v>
      </c>
      <c r="C9" s="33"/>
      <c r="D9" s="37">
        <f>IF(ISERROR(TER_gezond_gas_kWh/1000),0,TER_gezond_gas_kWh/1000)*0.902</f>
        <v>5871.2848700000004</v>
      </c>
      <c r="E9" s="33">
        <f>$C$29*'E Balans VL '!I10/100/3.6*1000000</f>
        <v>0.51761323138103021</v>
      </c>
      <c r="F9" s="33">
        <f>$C$29*('E Balans VL '!L10+'E Balans VL '!N10)/100/3.6*1000000</f>
        <v>307.55827666274172</v>
      </c>
      <c r="G9" s="34"/>
      <c r="H9" s="33"/>
      <c r="I9" s="33"/>
      <c r="J9" s="33">
        <f>$C$29*('E Balans VL '!D10+'E Balans VL '!E10)/100/3.6*1000000</f>
        <v>0</v>
      </c>
      <c r="K9" s="33"/>
      <c r="L9" s="33"/>
      <c r="M9" s="33"/>
      <c r="N9" s="33">
        <f>$C$29*'E Balans VL '!Y10/100/3.6*1000000</f>
        <v>10.792608778884004</v>
      </c>
      <c r="O9" s="33"/>
      <c r="P9" s="33"/>
      <c r="R9" s="32"/>
    </row>
    <row r="10" spans="1:18">
      <c r="A10" s="32" t="s">
        <v>49</v>
      </c>
      <c r="B10" s="37">
        <f t="shared" si="0"/>
        <v>686.15599999999995</v>
      </c>
      <c r="C10" s="33"/>
      <c r="D10" s="37">
        <f>IF(ISERROR(TER_ander_gas_kWh/1000),0,TER_ander_gas_kWh/1000)*0.902</f>
        <v>1378.0187740000001</v>
      </c>
      <c r="E10" s="33">
        <f>$C$30*'E Balans VL '!I14/100/3.6*1000000</f>
        <v>4.1770766958482914</v>
      </c>
      <c r="F10" s="33">
        <f>$C$30*('E Balans VL '!L14+'E Balans VL '!N14)/100/3.6*1000000</f>
        <v>181.65940786788673</v>
      </c>
      <c r="G10" s="34"/>
      <c r="H10" s="33"/>
      <c r="I10" s="33"/>
      <c r="J10" s="33">
        <f>$C$30*('E Balans VL '!D14+'E Balans VL '!E14)/100/3.6*1000000</f>
        <v>0</v>
      </c>
      <c r="K10" s="33"/>
      <c r="L10" s="33"/>
      <c r="M10" s="33"/>
      <c r="N10" s="33">
        <f>$C$30*'E Balans VL '!Y14/100/3.6*1000000</f>
        <v>142.90850020959138</v>
      </c>
      <c r="O10" s="33"/>
      <c r="P10" s="33"/>
      <c r="R10" s="32"/>
    </row>
    <row r="11" spans="1:18">
      <c r="A11" s="32" t="s">
        <v>54</v>
      </c>
      <c r="B11" s="37">
        <f t="shared" si="0"/>
        <v>668.05700000000002</v>
      </c>
      <c r="C11" s="33"/>
      <c r="D11" s="37">
        <f>IF(ISERROR(TER_onderwijs_gas_kWh/1000),0,TER_onderwijs_gas_kWh/1000)*0.902</f>
        <v>2383.6648879999998</v>
      </c>
      <c r="E11" s="33">
        <f>$C$31*'E Balans VL '!I11/100/3.6*1000000</f>
        <v>0.8291165773549678</v>
      </c>
      <c r="F11" s="33">
        <f>$C$31*('E Balans VL '!L11+'E Balans VL '!N11)/100/3.6*1000000</f>
        <v>787.34015172997294</v>
      </c>
      <c r="G11" s="34"/>
      <c r="H11" s="33"/>
      <c r="I11" s="33"/>
      <c r="J11" s="33">
        <f>$C$31*('E Balans VL '!D11+'E Balans VL '!E11)/100/3.6*1000000</f>
        <v>0</v>
      </c>
      <c r="K11" s="33"/>
      <c r="L11" s="33"/>
      <c r="M11" s="33"/>
      <c r="N11" s="33">
        <f>$C$31*'E Balans VL '!Y11/100/3.6*1000000</f>
        <v>3.2066112056520923</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energieproductie'!N46+'lokale energieproductie'!N39</f>
        <v>18634.5</v>
      </c>
      <c r="C13" s="243">
        <f ca="1">'lokale energieproductie'!O46+'lokale energieproductie'!O39</f>
        <v>26620.714285714286</v>
      </c>
      <c r="D13" s="302">
        <f ca="1">('lokale energieproductie'!P39+'lokale energieproductie'!P46)*(-1)</f>
        <v>-53241.428571428572</v>
      </c>
      <c r="E13" s="244"/>
      <c r="F13" s="302">
        <f ca="1">('lokale energieproductie'!S39+'lokale energieproductie'!S46)*(-1)</f>
        <v>0</v>
      </c>
      <c r="G13" s="245"/>
      <c r="H13" s="244"/>
      <c r="I13" s="244"/>
      <c r="J13" s="244"/>
      <c r="K13" s="244"/>
      <c r="L13" s="302">
        <f ca="1">('lokale energieproductie'!U39+'lokale energieproductie'!T39+'lokale energieproductie'!U46+'lokale energieproductie'!T46)*(-1)</f>
        <v>0</v>
      </c>
      <c r="M13" s="244"/>
      <c r="N13" s="302">
        <f ca="1">('lokale energieproductie'!Q39+'lokale energieproductie'!R39+'lokale energieproductie'!V39+'lokale energieproductie'!Q46+'lokale energieproductie'!R46+'lokale energieproductie'!V46)*(-1)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29677.294000000002</v>
      </c>
      <c r="C16" s="21">
        <f ca="1">C5+C13+C14</f>
        <v>26620.714285714286</v>
      </c>
      <c r="D16" s="21">
        <f t="shared" ref="D16:N16" ca="1" si="1">MAX((D5+D13+D14),0)</f>
        <v>0</v>
      </c>
      <c r="E16" s="21">
        <f t="shared" si="1"/>
        <v>246.33351146320274</v>
      </c>
      <c r="F16" s="21">
        <f t="shared" ca="1" si="1"/>
        <v>2576.5970535863316</v>
      </c>
      <c r="G16" s="21">
        <f t="shared" si="1"/>
        <v>0</v>
      </c>
      <c r="H16" s="21">
        <f t="shared" si="1"/>
        <v>0</v>
      </c>
      <c r="I16" s="21">
        <f t="shared" si="1"/>
        <v>0</v>
      </c>
      <c r="J16" s="21">
        <f t="shared" si="1"/>
        <v>0</v>
      </c>
      <c r="K16" s="21">
        <f t="shared" si="1"/>
        <v>0</v>
      </c>
      <c r="L16" s="21">
        <f t="shared" ca="1" si="1"/>
        <v>0</v>
      </c>
      <c r="M16" s="21">
        <f t="shared" si="1"/>
        <v>0</v>
      </c>
      <c r="N16" s="21">
        <f t="shared" ca="1" si="1"/>
        <v>198.70985827722802</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0.23520189969080779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6980.1559264826119</v>
      </c>
      <c r="C20" s="23">
        <f t="shared" ref="C20:P20" ca="1" si="2">C16*C18</f>
        <v>6326.3344537815137</v>
      </c>
      <c r="D20" s="23">
        <f t="shared" ca="1" si="2"/>
        <v>0</v>
      </c>
      <c r="E20" s="23">
        <f t="shared" si="2"/>
        <v>55.917707102147027</v>
      </c>
      <c r="F20" s="23">
        <f t="shared" ca="1" si="2"/>
        <v>687.95141330755064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2614.5520000000001</v>
      </c>
      <c r="C26" s="39">
        <f>IF(ISERROR(B26*3.6/1000000/'E Balans VL '!Z12*100),0,B26*3.6/1000000/'E Balans VL '!Z12*100)</f>
        <v>5.437145388045557E-2</v>
      </c>
      <c r="D26" s="233" t="s">
        <v>676</v>
      </c>
      <c r="F26" s="6"/>
    </row>
    <row r="27" spans="1:18">
      <c r="A27" s="228" t="s">
        <v>52</v>
      </c>
      <c r="B27" s="33">
        <f>IF(ISERROR(TER_horeca_ele_kWh/1000),0,TER_horeca_ele_kWh/1000)</f>
        <v>2448.1260000000002</v>
      </c>
      <c r="C27" s="39">
        <f>IF(ISERROR(B27*3.6/1000000/'E Balans VL '!Z9*100),0,B27*3.6/1000000/'E Balans VL '!Z9*100)</f>
        <v>0.20136010081236613</v>
      </c>
      <c r="D27" s="233" t="s">
        <v>676</v>
      </c>
      <c r="F27" s="6"/>
    </row>
    <row r="28" spans="1:18">
      <c r="A28" s="168" t="s">
        <v>51</v>
      </c>
      <c r="B28" s="33">
        <f>IF(ISERROR(TER_handel_ele_kWh/1000),0,TER_handel_ele_kWh/1000)</f>
        <v>3202.5030000000002</v>
      </c>
      <c r="C28" s="39">
        <f>IF(ISERROR(B28*3.6/1000000/'E Balans VL '!Z13*100),0,B28*3.6/1000000/'E Balans VL '!Z13*100)</f>
        <v>8.864465696745058E-2</v>
      </c>
      <c r="D28" s="233" t="s">
        <v>676</v>
      </c>
      <c r="F28" s="6"/>
    </row>
    <row r="29" spans="1:18">
      <c r="A29" s="228" t="s">
        <v>50</v>
      </c>
      <c r="B29" s="33">
        <f>IF(ISERROR(TER_gezond_ele_kWh/1000),0,TER_gezond_ele_kWh/1000)</f>
        <v>1423.4</v>
      </c>
      <c r="C29" s="39">
        <f>IF(ISERROR(B29*3.6/1000000/'E Balans VL '!Z10*100),0,B29*3.6/1000000/'E Balans VL '!Z10*100)</f>
        <v>0.16232843843071112</v>
      </c>
      <c r="D29" s="233" t="s">
        <v>676</v>
      </c>
      <c r="F29" s="6"/>
    </row>
    <row r="30" spans="1:18">
      <c r="A30" s="228" t="s">
        <v>49</v>
      </c>
      <c r="B30" s="33">
        <f>IF(ISERROR(TER_ander_ele_kWh/1000),0,TER_ander_ele_kWh/1000)</f>
        <v>686.15599999999995</v>
      </c>
      <c r="C30" s="39">
        <f>IF(ISERROR(B30*3.6/1000000/'E Balans VL '!Z14*100),0,B30*3.6/1000000/'E Balans VL '!Z14*100)</f>
        <v>5.3110335615730905E-2</v>
      </c>
      <c r="D30" s="233" t="s">
        <v>676</v>
      </c>
      <c r="F30" s="6"/>
    </row>
    <row r="31" spans="1:18">
      <c r="A31" s="228" t="s">
        <v>54</v>
      </c>
      <c r="B31" s="33">
        <f>IF(ISERROR(TER_onderwijs_ele_kWh/1000),0,TER_onderwijs_ele_kWh/1000)</f>
        <v>668.05700000000002</v>
      </c>
      <c r="C31" s="39">
        <f>IF(ISERROR(B31*3.6/1000000/'E Balans VL '!Z11*100),0,B31*3.6/1000000/'E Balans VL '!Z11*100)</f>
        <v>0.20815392441753278</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9826.9830000000002</v>
      </c>
      <c r="C5" s="17">
        <f>IF(ISERROR('Eigen informatie GS &amp; warmtenet'!B59),0,'Eigen informatie GS &amp; warmtenet'!B59)</f>
        <v>0</v>
      </c>
      <c r="D5" s="30">
        <f>SUM(D6:D15)</f>
        <v>1951.2406759999999</v>
      </c>
      <c r="E5" s="17">
        <f>SUM(E6:E15)</f>
        <v>230.39664863733813</v>
      </c>
      <c r="F5" s="17">
        <f>SUM(F6:F15)</f>
        <v>2023.4990575170402</v>
      </c>
      <c r="G5" s="18"/>
      <c r="H5" s="17"/>
      <c r="I5" s="17"/>
      <c r="J5" s="17">
        <f>SUM(J6:J15)</f>
        <v>53.404706768667459</v>
      </c>
      <c r="K5" s="17"/>
      <c r="L5" s="17"/>
      <c r="M5" s="17"/>
      <c r="N5" s="17">
        <f>SUM(N6:N15)</f>
        <v>41.662847140353456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2519.16</v>
      </c>
      <c r="C8" s="33"/>
      <c r="D8" s="37">
        <f>IF( ISERROR(IND_metaal_Gas_kWH/1000),0,IND_metaal_Gas_kWH/1000)*0.902</f>
        <v>0</v>
      </c>
      <c r="E8" s="33">
        <f>C30*'E Balans VL '!I18/100/3.6*1000000</f>
        <v>17.701581492558478</v>
      </c>
      <c r="F8" s="33">
        <f>C30*'E Balans VL '!L18/100/3.6*1000000+C30*'E Balans VL '!N18/100/3.6*1000000</f>
        <v>276.58902946330738</v>
      </c>
      <c r="G8" s="34"/>
      <c r="H8" s="33"/>
      <c r="I8" s="33"/>
      <c r="J8" s="40">
        <f>C30*'E Balans VL '!D18/100/3.6*1000000+C30*'E Balans VL '!E18/100/3.6*1000000</f>
        <v>51.975700576737388</v>
      </c>
      <c r="K8" s="33"/>
      <c r="L8" s="33"/>
      <c r="M8" s="33"/>
      <c r="N8" s="33">
        <f>C30*'E Balans VL '!Y18/100/3.6*1000000</f>
        <v>9.4419931097085961</v>
      </c>
      <c r="O8" s="33"/>
      <c r="P8" s="33"/>
      <c r="R8" s="32"/>
    </row>
    <row r="9" spans="1:18">
      <c r="A9" s="6" t="s">
        <v>32</v>
      </c>
      <c r="B9" s="37">
        <f t="shared" si="0"/>
        <v>369.92899999999997</v>
      </c>
      <c r="C9" s="33"/>
      <c r="D9" s="37">
        <f>IF( ISERROR(IND_andere_gas_kWh/1000),0,IND_andere_gas_kWh/1000)*0.902</f>
        <v>498.61928600000005</v>
      </c>
      <c r="E9" s="33">
        <f>C31*'E Balans VL '!I19/100/3.6*1000000</f>
        <v>6.213410732494153</v>
      </c>
      <c r="F9" s="33">
        <f>C31*'E Balans VL '!L19/100/3.6*1000000+C31*'E Balans VL '!N19/100/3.6*1000000</f>
        <v>289.1894226173747</v>
      </c>
      <c r="G9" s="34"/>
      <c r="H9" s="33"/>
      <c r="I9" s="33"/>
      <c r="J9" s="40">
        <f>C31*'E Balans VL '!D19/100/3.6*1000000+C31*'E Balans VL '!E19/100/3.6*1000000</f>
        <v>3.3364330294326262E-2</v>
      </c>
      <c r="K9" s="33"/>
      <c r="L9" s="33"/>
      <c r="M9" s="33"/>
      <c r="N9" s="33">
        <f>C31*'E Balans VL '!Y19/100/3.6*1000000</f>
        <v>27.417673888304851</v>
      </c>
      <c r="O9" s="33"/>
      <c r="P9" s="33"/>
      <c r="R9" s="32"/>
    </row>
    <row r="10" spans="1:18">
      <c r="A10" s="6" t="s">
        <v>40</v>
      </c>
      <c r="B10" s="37">
        <f t="shared" si="0"/>
        <v>296.32</v>
      </c>
      <c r="C10" s="33"/>
      <c r="D10" s="37">
        <f>IF( ISERROR(IND_voed_gas_kWh/1000),0,IND_voed_gas_kWh/1000)*0.902</f>
        <v>168.94099199999999</v>
      </c>
      <c r="E10" s="33">
        <f>C32*'E Balans VL '!I20/100/3.6*1000000</f>
        <v>2.7035005442299207</v>
      </c>
      <c r="F10" s="33">
        <f>C32*'E Balans VL '!L20/100/3.6*1000000+C32*'E Balans VL '!N20/100/3.6*1000000</f>
        <v>47.805684347197449</v>
      </c>
      <c r="G10" s="34"/>
      <c r="H10" s="33"/>
      <c r="I10" s="33"/>
      <c r="J10" s="40">
        <f>C32*'E Balans VL '!D20/100/3.6*1000000+C32*'E Balans VL '!E20/100/3.6*1000000</f>
        <v>1.220440036795984</v>
      </c>
      <c r="K10" s="33"/>
      <c r="L10" s="33"/>
      <c r="M10" s="33"/>
      <c r="N10" s="33">
        <f>C32*'E Balans VL '!Y20/100/3.6*1000000</f>
        <v>4.3349279451222271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6615.5540000000001</v>
      </c>
      <c r="C13" s="33"/>
      <c r="D13" s="37">
        <f>IF( ISERROR(IND_papier_gas_kWh/1000),0,IND_papier_gas_kWh/1000)*0.902</f>
        <v>1283.680398</v>
      </c>
      <c r="E13" s="33">
        <f>C35*'E Balans VL '!I23/100/3.6*1000000</f>
        <v>203.54333152172927</v>
      </c>
      <c r="F13" s="33">
        <f>C35*'E Balans VL '!L23/100/3.6*1000000+C35*'E Balans VL '!N23/100/3.6*1000000</f>
        <v>1404.7133141524548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26.02</v>
      </c>
      <c r="C15" s="33"/>
      <c r="D15" s="37">
        <f>IF( ISERROR(IND_rest_gas_kWh/1000),0,IND_rest_gas_kWh/1000)*0.902</f>
        <v>0</v>
      </c>
      <c r="E15" s="33">
        <f>C37*'E Balans VL '!I15/100/3.6*1000000</f>
        <v>0.23482434632628554</v>
      </c>
      <c r="F15" s="33">
        <f>C37*'E Balans VL '!L15/100/3.6*1000000+C37*'E Balans VL '!N15/100/3.6*1000000</f>
        <v>5.2016069367056446</v>
      </c>
      <c r="G15" s="34"/>
      <c r="H15" s="33"/>
      <c r="I15" s="33"/>
      <c r="J15" s="40">
        <f>C37*'E Balans VL '!D15/100/3.6*1000000+C37*'E Balans VL '!E15/100/3.6*1000000</f>
        <v>0.17520182483975946</v>
      </c>
      <c r="K15" s="33"/>
      <c r="L15" s="33"/>
      <c r="M15" s="33"/>
      <c r="N15" s="33">
        <f>C37*'E Balans VL '!Y15/100/3.6*1000000</f>
        <v>0.4682521972177846</v>
      </c>
      <c r="O15" s="33"/>
      <c r="P15" s="33"/>
      <c r="R15" s="32"/>
    </row>
    <row r="16" spans="1:18">
      <c r="A16" s="16" t="s">
        <v>483</v>
      </c>
      <c r="B16" s="243">
        <f>'lokale energieproductie'!N45+'lokale energieproductie'!N38</f>
        <v>0</v>
      </c>
      <c r="C16" s="243">
        <f>'lokale energieproductie'!O45+'lokale energieproductie'!O38</f>
        <v>0</v>
      </c>
      <c r="D16" s="302">
        <f>('lokale energieproductie'!P38+'lokale energieproductie'!P45)*(-1)</f>
        <v>0</v>
      </c>
      <c r="E16" s="244"/>
      <c r="F16" s="302">
        <f>('lokale energieproductie'!S38+'lokale energieproductie'!S45)*(-1)</f>
        <v>0</v>
      </c>
      <c r="G16" s="245"/>
      <c r="H16" s="244"/>
      <c r="I16" s="244"/>
      <c r="J16" s="244"/>
      <c r="K16" s="244"/>
      <c r="L16" s="302">
        <f>('lokale energieproductie'!T38+'lokale energieproductie'!U38+'lokale energieproductie'!T45+'lokale energieproductie'!U45)*(-1)</f>
        <v>0</v>
      </c>
      <c r="M16" s="244"/>
      <c r="N16" s="302">
        <f>('lokale energieproductie'!Q38+'lokale energieproductie'!R38+'lokale energieproductie'!V38+'lokale energieproductie'!Q45+'lokale energieproductie'!R45+'lokale energieproductie'!V45)*(-1)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9826.9830000000002</v>
      </c>
      <c r="C18" s="21">
        <f>C5+C16</f>
        <v>0</v>
      </c>
      <c r="D18" s="21">
        <f>MAX((D5+D16),0)</f>
        <v>1951.2406759999999</v>
      </c>
      <c r="E18" s="21">
        <f>MAX((E5+E16),0)</f>
        <v>230.39664863733813</v>
      </c>
      <c r="F18" s="21">
        <f>MAX((F5+F16),0)</f>
        <v>2023.4990575170402</v>
      </c>
      <c r="G18" s="21"/>
      <c r="H18" s="21"/>
      <c r="I18" s="21"/>
      <c r="J18" s="21">
        <f>MAX((J5+J16),0)</f>
        <v>53.404706768667459</v>
      </c>
      <c r="K18" s="21"/>
      <c r="L18" s="21">
        <f>MAX((L5+L16),0)</f>
        <v>0</v>
      </c>
      <c r="M18" s="21"/>
      <c r="N18" s="21">
        <f>MAX((N5+N16),0)</f>
        <v>41.662847140353456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0.23520189969080779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2311.3250698292736</v>
      </c>
      <c r="C22" s="23">
        <f ca="1">C18*C20</f>
        <v>0</v>
      </c>
      <c r="D22" s="23">
        <f>D18*D20</f>
        <v>394.15061655200003</v>
      </c>
      <c r="E22" s="23">
        <f>E18*E20</f>
        <v>52.300039240675758</v>
      </c>
      <c r="F22" s="23">
        <f>F18*F20</f>
        <v>540.27424835704983</v>
      </c>
      <c r="G22" s="23"/>
      <c r="H22" s="23"/>
      <c r="I22" s="23"/>
      <c r="J22" s="23">
        <f>J18*J20</f>
        <v>18.905266196108279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2519.16</v>
      </c>
      <c r="C30" s="39">
        <f>IF(ISERROR(B30*3.6/1000000/'E Balans VL '!Z18*100),0,B30*3.6/1000000/'E Balans VL '!Z18*100)</f>
        <v>0.16770201952800518</v>
      </c>
      <c r="D30" s="233" t="s">
        <v>676</v>
      </c>
    </row>
    <row r="31" spans="1:18">
      <c r="A31" s="6" t="s">
        <v>32</v>
      </c>
      <c r="B31" s="37">
        <f>IF( ISERROR(IND_ander_ele_kWh/1000),0,IND_ander_ele_kWh/1000)</f>
        <v>369.92899999999997</v>
      </c>
      <c r="C31" s="39">
        <f>IF(ISERROR(B31*3.6/1000000/'E Balans VL '!Z19*100),0,B31*3.6/1000000/'E Balans VL '!Z19*100)</f>
        <v>1.6397486561034066E-2</v>
      </c>
      <c r="D31" s="233" t="s">
        <v>676</v>
      </c>
    </row>
    <row r="32" spans="1:18">
      <c r="A32" s="168" t="s">
        <v>40</v>
      </c>
      <c r="B32" s="37">
        <f>IF( ISERROR(IND_voed_ele_kWh/1000),0,IND_voed_ele_kWh/1000)</f>
        <v>296.32</v>
      </c>
      <c r="C32" s="39">
        <f>IF(ISERROR(B32*3.6/1000000/'E Balans VL '!Z20*100),0,B32*3.6/1000000/'E Balans VL '!Z20*100)</f>
        <v>9.8979380320643514E-3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6615.5540000000001</v>
      </c>
      <c r="C35" s="39">
        <f>IF(ISERROR(B35*3.6/1000000/'E Balans VL '!Z22*100),0,B35*3.6/1000000/'E Balans VL '!Z22*100)</f>
        <v>1.2866525852699935</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26.02</v>
      </c>
      <c r="C37" s="39">
        <f>IF(ISERROR(B37*3.6/1000000/'E Balans VL '!Z15*100),0,B37*3.6/1000000/'E Balans VL '!Z15*100)</f>
        <v>1.9354640979397377E-4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4083.145</v>
      </c>
      <c r="C5" s="17">
        <f>'Eigen informatie GS &amp; warmtenet'!B60</f>
        <v>0</v>
      </c>
      <c r="D5" s="30">
        <f>IF(ISERROR(SUM(LB_lb_gas_kWh,LB_rest_gas_kWh)/1000),0,SUM(LB_lb_gas_kWh,LB_rest_gas_kWh)/1000)*0.902</f>
        <v>219152.791968</v>
      </c>
      <c r="E5" s="17">
        <f>B17*'E Balans VL '!I25/3.6*1000000/100</f>
        <v>36.794317504357316</v>
      </c>
      <c r="F5" s="17">
        <f>B17*('E Balans VL '!L25/3.6*1000000+'E Balans VL '!N25/3.6*1000000)/100</f>
        <v>15299.668846798786</v>
      </c>
      <c r="G5" s="18"/>
      <c r="H5" s="17"/>
      <c r="I5" s="17"/>
      <c r="J5" s="17">
        <f>('E Balans VL '!D25+'E Balans VL '!E25)/3.6*1000000*landbouw!B17/100</f>
        <v>413.19738658383181</v>
      </c>
      <c r="K5" s="17"/>
      <c r="L5" s="17">
        <f>L6*(-1)</f>
        <v>0</v>
      </c>
      <c r="M5" s="17"/>
      <c r="N5" s="17">
        <f>N6*(-1)</f>
        <v>0</v>
      </c>
      <c r="O5" s="17"/>
      <c r="P5" s="17"/>
      <c r="R5" s="32"/>
    </row>
    <row r="6" spans="1:18">
      <c r="A6" s="16" t="s">
        <v>483</v>
      </c>
      <c r="B6" s="17" t="s">
        <v>204</v>
      </c>
      <c r="C6" s="17">
        <f>'lokale energieproductie'!O47+'lokale energieproductie'!O40</f>
        <v>121108.92857142858</v>
      </c>
      <c r="D6" s="302">
        <f>('lokale energieproductie'!P40+'lokale energieproductie'!P47)*(-1)</f>
        <v>-242217.85714285719</v>
      </c>
      <c r="E6" s="244"/>
      <c r="F6" s="302">
        <f>('lokale energieproductie'!S40+'lokale energieproductie'!S47)*(-1)</f>
        <v>0</v>
      </c>
      <c r="G6" s="245"/>
      <c r="H6" s="244"/>
      <c r="I6" s="244"/>
      <c r="J6" s="244"/>
      <c r="K6" s="244"/>
      <c r="L6" s="302">
        <f>('lokale energieproductie'!T40+'lokale energieproductie'!U40+'lokale energieproductie'!T47+'lokale energieproductie'!U47)*(-1)</f>
        <v>0</v>
      </c>
      <c r="M6" s="244"/>
      <c r="N6" s="302">
        <f>('lokale energieproductie'!V40+'lokale energieproductie'!R40+'lokale energieproductie'!Q40+'lokale energieproductie'!Q47+'lokale energieproductie'!R47+'lokale energieproductie'!V47)*(-1)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4083.145</v>
      </c>
      <c r="C8" s="21">
        <f>C5+C6</f>
        <v>121108.92857142858</v>
      </c>
      <c r="D8" s="21">
        <f>MAX((D5+D6),0)</f>
        <v>0</v>
      </c>
      <c r="E8" s="21">
        <f>MAX((E5+E6),0)</f>
        <v>36.794317504357316</v>
      </c>
      <c r="F8" s="21">
        <f>MAX((F5+F6),0)</f>
        <v>15299.668846798786</v>
      </c>
      <c r="G8" s="21"/>
      <c r="H8" s="21"/>
      <c r="I8" s="21"/>
      <c r="J8" s="21">
        <f>MAX((J5+J6),0)</f>
        <v>413.19738658383181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0.23520189969080779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960.36346071302341</v>
      </c>
      <c r="C12" s="23">
        <f ca="1">C8*C10</f>
        <v>28781.180672268911</v>
      </c>
      <c r="D12" s="23">
        <f>D8*D10</f>
        <v>0</v>
      </c>
      <c r="E12" s="23">
        <f>E8*E10</f>
        <v>8.3523100734891109</v>
      </c>
      <c r="F12" s="23">
        <f>F8*F10</f>
        <v>4085.011582095276</v>
      </c>
      <c r="G12" s="23"/>
      <c r="H12" s="23"/>
      <c r="I12" s="23"/>
      <c r="J12" s="23">
        <f>J8*J10</f>
        <v>146.27187485067645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0.62847483476417687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24.34073680188931</v>
      </c>
      <c r="C26" s="243">
        <f>B26*'GWP N2O_CH4'!B5</f>
        <v>511.1554728396755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2.2329132193824863</v>
      </c>
      <c r="C27" s="243">
        <f>B27*'GWP N2O_CH4'!B5</f>
        <v>46.891177607032212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0.39955042119568007</v>
      </c>
      <c r="C28" s="243">
        <f>B28*'GWP N2O_CH4'!B4</f>
        <v>123.86063057066082</v>
      </c>
      <c r="D28" s="50"/>
    </row>
    <row r="29" spans="1:4">
      <c r="A29" s="41" t="s">
        <v>266</v>
      </c>
      <c r="B29" s="243">
        <f>B34*'ha_N2O bodem landbouw'!B4</f>
        <v>5.2973891509974012</v>
      </c>
      <c r="C29" s="243">
        <f>B29*'GWP N2O_CH4'!B4</f>
        <v>1642.1906368091943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1.3753665165906375E-3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2.5836885548271007E-6</v>
      </c>
      <c r="C5" s="431" t="s">
        <v>204</v>
      </c>
      <c r="D5" s="416">
        <f>SUM(D6:D11)</f>
        <v>8.3965074098814005E-6</v>
      </c>
      <c r="E5" s="416">
        <f>SUM(E6:E11)</f>
        <v>8.6311792634306047E-4</v>
      </c>
      <c r="F5" s="429" t="s">
        <v>204</v>
      </c>
      <c r="G5" s="416">
        <f>SUM(G6:G11)</f>
        <v>0.16694690432283532</v>
      </c>
      <c r="H5" s="416">
        <f>SUM(H6:H11)</f>
        <v>2.8954260739034971E-2</v>
      </c>
      <c r="I5" s="431" t="s">
        <v>204</v>
      </c>
      <c r="J5" s="431" t="s">
        <v>204</v>
      </c>
      <c r="K5" s="431" t="s">
        <v>204</v>
      </c>
      <c r="L5" s="431" t="s">
        <v>204</v>
      </c>
      <c r="M5" s="416">
        <f>SUM(M6:M11)</f>
        <v>8.5245569029148687E-3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2.1969107221283571E-6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6.934497868990653E-6</v>
      </c>
      <c r="E6" s="419">
        <f>vkm_GW_PW*SUMIFS(TableVerdeelsleutelVkm[LPG],TableVerdeelsleutelVkm[Voertuigtype],"Lichte voertuigen")*SUMIFS(TableECFTransport[EnergieConsumptieFactor (PJ per km)],TableECFTransport[Index],CONCATENATE($A6,"_LPG_LPG"))</f>
        <v>7.2020628671527461E-4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9.6134930363924592E-2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2.4144951724342868E-2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5.252686908844016E-3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1.0553591189612113E-7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4.7573006411945583E-2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1.3998049573152506E-6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2.0494700429562248E-3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2.7308671676268066E-7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1.4620095408907466E-6</v>
      </c>
      <c r="E8" s="419">
        <f>vkm_NGW_PW*SUMIFS(TableVerdeelsleutelVkm[LPG],TableVerdeelsleutelVkm[Voertuigtype],"Lichte voertuigen")*SUMIFS(TableECFTransport[EnergieConsumptieFactor (PJ per km)],TableECFTransport[Index],CONCATENATE($A8,"_LPG_LPG"))</f>
        <v>1.4291163962778589E-4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1.8146899736789825E-2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4.8077786472106067E-3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1.0030318885966144E-3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8.1552040399416531E-9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5.0920678101753223E-3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1.3056252418068186E-7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2.193680625180141E-4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0.71769126522975024</v>
      </c>
      <c r="C14" s="21"/>
      <c r="D14" s="21">
        <f t="shared" ref="D14:M14" si="0">((D5)*10^9/3600)+D12</f>
        <v>2.3323631694114999</v>
      </c>
      <c r="E14" s="21">
        <f t="shared" si="0"/>
        <v>239.75497953973903</v>
      </c>
      <c r="F14" s="21"/>
      <c r="G14" s="21">
        <f t="shared" si="0"/>
        <v>46374.140089676483</v>
      </c>
      <c r="H14" s="21">
        <f t="shared" si="0"/>
        <v>8042.8502052874919</v>
      </c>
      <c r="I14" s="21"/>
      <c r="J14" s="21"/>
      <c r="K14" s="21"/>
      <c r="L14" s="21"/>
      <c r="M14" s="21">
        <f t="shared" si="0"/>
        <v>2367.9324730319081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0.23520189969080779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0.16880234897353666</v>
      </c>
      <c r="C18" s="23"/>
      <c r="D18" s="23">
        <f t="shared" ref="D18:M18" si="1">D14*D16</f>
        <v>0.47113736022112301</v>
      </c>
      <c r="E18" s="23">
        <f t="shared" si="1"/>
        <v>54.424380355520761</v>
      </c>
      <c r="F18" s="23"/>
      <c r="G18" s="23">
        <f t="shared" si="1"/>
        <v>12381.895403943621</v>
      </c>
      <c r="H18" s="23">
        <f t="shared" si="1"/>
        <v>2002.6697011165854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2.3783654308058427E-3</v>
      </c>
      <c r="C50" s="313">
        <f t="shared" ref="C50:P50" si="2">SUM(C51:C52)</f>
        <v>0</v>
      </c>
      <c r="D50" s="313">
        <f t="shared" si="2"/>
        <v>0</v>
      </c>
      <c r="E50" s="313">
        <f t="shared" si="2"/>
        <v>0</v>
      </c>
      <c r="F50" s="313">
        <f t="shared" si="2"/>
        <v>0</v>
      </c>
      <c r="G50" s="313">
        <f t="shared" si="2"/>
        <v>5.4451150624486569E-3</v>
      </c>
      <c r="H50" s="313">
        <f t="shared" si="2"/>
        <v>0</v>
      </c>
      <c r="I50" s="313">
        <f t="shared" si="2"/>
        <v>0</v>
      </c>
      <c r="J50" s="313">
        <f t="shared" si="2"/>
        <v>0</v>
      </c>
      <c r="K50" s="313">
        <f t="shared" si="2"/>
        <v>0</v>
      </c>
      <c r="L50" s="313">
        <f t="shared" si="2"/>
        <v>0</v>
      </c>
      <c r="M50" s="313">
        <f t="shared" si="2"/>
        <v>2.3313891093111196E-4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2.5099640743426891E-5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5.4451150624486569E-3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2.3313891093111196E-4</v>
      </c>
      <c r="N51" s="315"/>
      <c r="O51" s="315"/>
      <c r="P51" s="318"/>
    </row>
    <row r="52" spans="1:18">
      <c r="A52" s="4" t="s">
        <v>318</v>
      </c>
      <c r="B52" s="319">
        <f>vkm_tram*SUMIFS(TableECFTransport[EnergieConsumptieFactor (PJ per km)],TableECFTransport[Index],"Tram_gemiddeld_Electric_Electric")</f>
        <v>2.3532657900624159E-3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660.65706411273413</v>
      </c>
      <c r="C54" s="21">
        <f t="shared" ref="C54:P54" si="3">(C50)*10^9/3600</f>
        <v>0</v>
      </c>
      <c r="D54" s="21">
        <f t="shared" si="3"/>
        <v>0</v>
      </c>
      <c r="E54" s="21">
        <f t="shared" si="3"/>
        <v>0</v>
      </c>
      <c r="F54" s="21">
        <f t="shared" si="3"/>
        <v>0</v>
      </c>
      <c r="G54" s="21">
        <f t="shared" si="3"/>
        <v>1512.5319617912937</v>
      </c>
      <c r="H54" s="21">
        <f t="shared" si="3"/>
        <v>0</v>
      </c>
      <c r="I54" s="21">
        <f t="shared" si="3"/>
        <v>0</v>
      </c>
      <c r="J54" s="21">
        <f t="shared" si="3"/>
        <v>0</v>
      </c>
      <c r="K54" s="21">
        <f t="shared" si="3"/>
        <v>0</v>
      </c>
      <c r="L54" s="21">
        <f t="shared" si="3"/>
        <v>0</v>
      </c>
      <c r="M54" s="21">
        <f t="shared" si="3"/>
        <v>64.760808591975547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0.23520189969080779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155.38779652346687</v>
      </c>
      <c r="C58" s="23">
        <f t="shared" ref="C58:P58" ca="1" si="4">C54*C56</f>
        <v>0</v>
      </c>
      <c r="D58" s="23">
        <f t="shared" si="4"/>
        <v>0</v>
      </c>
      <c r="E58" s="23">
        <f t="shared" si="4"/>
        <v>0</v>
      </c>
      <c r="F58" s="23">
        <f t="shared" si="4"/>
        <v>0</v>
      </c>
      <c r="G58" s="23">
        <f t="shared" si="4"/>
        <v>403.84603379827547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9"/>
  <sheetViews>
    <sheetView showGridLines="0" zoomScale="65" zoomScaleNormal="65" workbookViewId="0">
      <selection activeCell="A28" sqref="A28:XFD37"/>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1075.058237694931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N37</f>
        <v>103410.75</v>
      </c>
      <c r="C8" s="542">
        <f>B56</f>
        <v>121659.70588235297</v>
      </c>
      <c r="D8" s="920"/>
      <c r="E8" s="920">
        <f>E56</f>
        <v>0</v>
      </c>
      <c r="F8" s="921"/>
      <c r="G8" s="543"/>
      <c r="H8" s="920">
        <f>I56</f>
        <v>0</v>
      </c>
      <c r="I8" s="920">
        <f>G56+F56</f>
        <v>0</v>
      </c>
      <c r="J8" s="920">
        <f>H56+D56+C56</f>
        <v>0</v>
      </c>
      <c r="K8" s="920"/>
      <c r="L8" s="920"/>
      <c r="M8" s="920"/>
      <c r="N8" s="544"/>
      <c r="O8" s="545">
        <f>C8*$C$12+D8*$D$12+E8*$E$12+F8*$F$12+G8*$G$12+H8*$H$12+I8*$I$12+J8*$J$12</f>
        <v>24575.260588235302</v>
      </c>
      <c r="P8" s="1181"/>
      <c r="Q8" s="1182"/>
      <c r="S8" s="953"/>
      <c r="T8" s="1169"/>
      <c r="U8" s="1169"/>
    </row>
    <row r="9" spans="1:21" s="530" customFormat="1" ht="17.45" customHeight="1" thickBot="1">
      <c r="A9" s="546" t="s">
        <v>237</v>
      </c>
      <c r="B9" s="957">
        <f>N44+'Eigen informatie GS &amp; warmtenet'!B12</f>
        <v>0</v>
      </c>
      <c r="C9" s="547">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104485.80823769493</v>
      </c>
      <c r="C10" s="554">
        <f t="shared" ref="C10:L10" si="0">SUM(C8:C9)</f>
        <v>121659.70588235297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24575.260588235302</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O37</f>
        <v>147729.64285714287</v>
      </c>
      <c r="C17" s="566">
        <f>B57</f>
        <v>173799.57983193282</v>
      </c>
      <c r="D17" s="567"/>
      <c r="E17" s="567">
        <f>E57</f>
        <v>0</v>
      </c>
      <c r="F17" s="568"/>
      <c r="G17" s="569"/>
      <c r="H17" s="566">
        <f>I57</f>
        <v>0</v>
      </c>
      <c r="I17" s="567">
        <f>G57+F57</f>
        <v>0</v>
      </c>
      <c r="J17" s="567">
        <f>H57+D57+C57</f>
        <v>0</v>
      </c>
      <c r="K17" s="567"/>
      <c r="L17" s="567"/>
      <c r="M17" s="567"/>
      <c r="N17" s="916"/>
      <c r="O17" s="570">
        <f>C17*$C$22+E17*$E$22+H17*$H$22+I17*$I$22+J17*$J$22+D17*$D$22+F17*$F$22+G17*$G$22+K17*$K$22+L17*$L$22</f>
        <v>35107.515126050428</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147729.64285714287</v>
      </c>
      <c r="C20" s="553">
        <f>SUM(C17:C19)</f>
        <v>173799.57983193282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35107.515126050428</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11004</v>
      </c>
      <c r="C28" s="736">
        <v>2530</v>
      </c>
      <c r="D28" s="626"/>
      <c r="E28" s="625"/>
      <c r="F28" s="625"/>
      <c r="G28" s="625" t="s">
        <v>962</v>
      </c>
      <c r="H28" s="625" t="s">
        <v>963</v>
      </c>
      <c r="I28" s="625"/>
      <c r="J28" s="735"/>
      <c r="K28" s="735"/>
      <c r="L28" s="625" t="s">
        <v>964</v>
      </c>
      <c r="M28" s="625">
        <v>173</v>
      </c>
      <c r="N28" s="625">
        <v>778.49999999999989</v>
      </c>
      <c r="O28" s="625">
        <v>1112.1428571428571</v>
      </c>
      <c r="P28" s="625">
        <v>2224.2857142857142</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11004</v>
      </c>
      <c r="C29" s="736">
        <v>2531</v>
      </c>
      <c r="D29" s="626"/>
      <c r="E29" s="625"/>
      <c r="F29" s="625"/>
      <c r="G29" s="625" t="s">
        <v>962</v>
      </c>
      <c r="H29" s="625" t="s">
        <v>963</v>
      </c>
      <c r="I29" s="625"/>
      <c r="J29" s="735"/>
      <c r="K29" s="735"/>
      <c r="L29" s="625" t="s">
        <v>965</v>
      </c>
      <c r="M29" s="625">
        <v>1125</v>
      </c>
      <c r="N29" s="625">
        <v>5062.5</v>
      </c>
      <c r="O29" s="625">
        <v>7232.1428571428569</v>
      </c>
      <c r="P29" s="625">
        <v>14464.285714285716</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11004</v>
      </c>
      <c r="C30" s="736">
        <v>2530</v>
      </c>
      <c r="D30" s="626"/>
      <c r="E30" s="625"/>
      <c r="F30" s="625"/>
      <c r="G30" s="625" t="s">
        <v>962</v>
      </c>
      <c r="H30" s="625" t="s">
        <v>963</v>
      </c>
      <c r="I30" s="625"/>
      <c r="J30" s="735"/>
      <c r="K30" s="735"/>
      <c r="L30" s="625" t="s">
        <v>965</v>
      </c>
      <c r="M30" s="625">
        <v>1415</v>
      </c>
      <c r="N30" s="625">
        <v>6367.5</v>
      </c>
      <c r="O30" s="625">
        <v>9096.4285714285725</v>
      </c>
      <c r="P30" s="625">
        <v>18192.857142857145</v>
      </c>
      <c r="Q30" s="625">
        <v>0</v>
      </c>
      <c r="R30" s="625">
        <v>0</v>
      </c>
      <c r="S30" s="625">
        <v>0</v>
      </c>
      <c r="T30" s="625">
        <v>0</v>
      </c>
      <c r="U30" s="625">
        <v>0</v>
      </c>
      <c r="V30" s="625">
        <v>0</v>
      </c>
      <c r="W30" s="625">
        <v>0</v>
      </c>
      <c r="X30" s="625"/>
      <c r="Y30" s="625">
        <v>10</v>
      </c>
      <c r="Z30" s="625" t="s">
        <v>105</v>
      </c>
      <c r="AA30" s="627" t="s">
        <v>105</v>
      </c>
    </row>
    <row r="31" spans="1:27" s="579" customFormat="1" ht="25.5" hidden="1">
      <c r="A31" s="578"/>
      <c r="B31" s="736">
        <v>11004</v>
      </c>
      <c r="C31" s="736">
        <v>2531</v>
      </c>
      <c r="D31" s="626"/>
      <c r="E31" s="625"/>
      <c r="F31" s="625"/>
      <c r="G31" s="625" t="s">
        <v>962</v>
      </c>
      <c r="H31" s="625" t="s">
        <v>963</v>
      </c>
      <c r="I31" s="625"/>
      <c r="J31" s="735"/>
      <c r="K31" s="735"/>
      <c r="L31" s="625" t="s">
        <v>965</v>
      </c>
      <c r="M31" s="625">
        <v>1415</v>
      </c>
      <c r="N31" s="625">
        <v>5306.25</v>
      </c>
      <c r="O31" s="625">
        <v>7580.3571428571431</v>
      </c>
      <c r="P31" s="625">
        <v>15160.714285714286</v>
      </c>
      <c r="Q31" s="625">
        <v>0</v>
      </c>
      <c r="R31" s="625">
        <v>0</v>
      </c>
      <c r="S31" s="625">
        <v>0</v>
      </c>
      <c r="T31" s="625">
        <v>0</v>
      </c>
      <c r="U31" s="625">
        <v>0</v>
      </c>
      <c r="V31" s="625">
        <v>0</v>
      </c>
      <c r="W31" s="625">
        <v>0</v>
      </c>
      <c r="X31" s="625"/>
      <c r="Y31" s="625">
        <v>10</v>
      </c>
      <c r="Z31" s="625" t="s">
        <v>105</v>
      </c>
      <c r="AA31" s="627" t="s">
        <v>105</v>
      </c>
    </row>
    <row r="32" spans="1:27" s="579" customFormat="1" ht="25.5" hidden="1">
      <c r="A32" s="578"/>
      <c r="B32" s="736">
        <v>11004</v>
      </c>
      <c r="C32" s="736">
        <v>2531</v>
      </c>
      <c r="D32" s="626"/>
      <c r="E32" s="625"/>
      <c r="F32" s="625"/>
      <c r="G32" s="625" t="s">
        <v>962</v>
      </c>
      <c r="H32" s="625" t="s">
        <v>963</v>
      </c>
      <c r="I32" s="625"/>
      <c r="J32" s="735"/>
      <c r="K32" s="735"/>
      <c r="L32" s="625" t="s">
        <v>965</v>
      </c>
      <c r="M32" s="625">
        <v>1415</v>
      </c>
      <c r="N32" s="625">
        <v>6367.5</v>
      </c>
      <c r="O32" s="625">
        <v>9096.4285714285725</v>
      </c>
      <c r="P32" s="625">
        <v>18192.857142857145</v>
      </c>
      <c r="Q32" s="625">
        <v>0</v>
      </c>
      <c r="R32" s="625">
        <v>0</v>
      </c>
      <c r="S32" s="625">
        <v>0</v>
      </c>
      <c r="T32" s="625">
        <v>0</v>
      </c>
      <c r="U32" s="625">
        <v>0</v>
      </c>
      <c r="V32" s="625">
        <v>0</v>
      </c>
      <c r="W32" s="625">
        <v>0</v>
      </c>
      <c r="X32" s="625"/>
      <c r="Y32" s="625">
        <v>10</v>
      </c>
      <c r="Z32" s="625" t="s">
        <v>105</v>
      </c>
      <c r="AA32" s="627" t="s">
        <v>105</v>
      </c>
    </row>
    <row r="33" spans="1:27" s="579" customFormat="1" ht="25.5" hidden="1">
      <c r="A33" s="578"/>
      <c r="B33" s="736">
        <v>11004</v>
      </c>
      <c r="C33" s="736">
        <v>2530</v>
      </c>
      <c r="D33" s="626"/>
      <c r="E33" s="625"/>
      <c r="F33" s="625"/>
      <c r="G33" s="625" t="s">
        <v>962</v>
      </c>
      <c r="H33" s="625" t="s">
        <v>963</v>
      </c>
      <c r="I33" s="625"/>
      <c r="J33" s="735"/>
      <c r="K33" s="735"/>
      <c r="L33" s="625" t="s">
        <v>965</v>
      </c>
      <c r="M33" s="625">
        <v>3365</v>
      </c>
      <c r="N33" s="625">
        <v>15142.500000000002</v>
      </c>
      <c r="O33" s="625">
        <v>21632.142857142859</v>
      </c>
      <c r="P33" s="625">
        <v>43264.285714285725</v>
      </c>
      <c r="Q33" s="625">
        <v>0</v>
      </c>
      <c r="R33" s="625">
        <v>0</v>
      </c>
      <c r="S33" s="625">
        <v>0</v>
      </c>
      <c r="T33" s="625">
        <v>0</v>
      </c>
      <c r="U33" s="625">
        <v>0</v>
      </c>
      <c r="V33" s="625">
        <v>0</v>
      </c>
      <c r="W33" s="625">
        <v>0</v>
      </c>
      <c r="X33" s="625"/>
      <c r="Y33" s="625">
        <v>10</v>
      </c>
      <c r="Z33" s="625" t="s">
        <v>105</v>
      </c>
      <c r="AA33" s="627" t="s">
        <v>105</v>
      </c>
    </row>
    <row r="34" spans="1:27" s="579" customFormat="1" ht="25.5" hidden="1">
      <c r="A34" s="578"/>
      <c r="B34" s="736">
        <v>11004</v>
      </c>
      <c r="C34" s="736">
        <v>2530</v>
      </c>
      <c r="D34" s="626"/>
      <c r="E34" s="625"/>
      <c r="F34" s="625"/>
      <c r="G34" s="625" t="s">
        <v>962</v>
      </c>
      <c r="H34" s="625" t="s">
        <v>963</v>
      </c>
      <c r="I34" s="625"/>
      <c r="J34" s="735"/>
      <c r="K34" s="735"/>
      <c r="L34" s="625" t="s">
        <v>965</v>
      </c>
      <c r="M34" s="625">
        <v>3777</v>
      </c>
      <c r="N34" s="625">
        <v>16996.5</v>
      </c>
      <c r="O34" s="625">
        <v>24280.714285714286</v>
      </c>
      <c r="P34" s="625">
        <v>48561.428571428572</v>
      </c>
      <c r="Q34" s="625">
        <v>0</v>
      </c>
      <c r="R34" s="625">
        <v>0</v>
      </c>
      <c r="S34" s="625">
        <v>0</v>
      </c>
      <c r="T34" s="625">
        <v>0</v>
      </c>
      <c r="U34" s="625">
        <v>0</v>
      </c>
      <c r="V34" s="625">
        <v>0</v>
      </c>
      <c r="W34" s="625">
        <v>0</v>
      </c>
      <c r="X34" s="625"/>
      <c r="Y34" s="625">
        <v>10</v>
      </c>
      <c r="Z34" s="625" t="s">
        <v>105</v>
      </c>
      <c r="AA34" s="627" t="s">
        <v>105</v>
      </c>
    </row>
    <row r="35" spans="1:27" s="579" customFormat="1" ht="63.75" hidden="1">
      <c r="A35" s="578"/>
      <c r="B35" s="736">
        <v>11004</v>
      </c>
      <c r="C35" s="736">
        <v>2531</v>
      </c>
      <c r="D35" s="626"/>
      <c r="E35" s="625"/>
      <c r="F35" s="625"/>
      <c r="G35" s="625" t="s">
        <v>962</v>
      </c>
      <c r="H35" s="625" t="s">
        <v>963</v>
      </c>
      <c r="I35" s="625"/>
      <c r="J35" s="735"/>
      <c r="K35" s="735"/>
      <c r="L35" s="625" t="s">
        <v>965</v>
      </c>
      <c r="M35" s="625">
        <v>4141</v>
      </c>
      <c r="N35" s="625">
        <v>18634.5</v>
      </c>
      <c r="O35" s="625">
        <v>26620.714285714286</v>
      </c>
      <c r="P35" s="625">
        <v>53241.428571428572</v>
      </c>
      <c r="Q35" s="625">
        <v>0</v>
      </c>
      <c r="R35" s="625">
        <v>0</v>
      </c>
      <c r="S35" s="625">
        <v>0</v>
      </c>
      <c r="T35" s="625">
        <v>0</v>
      </c>
      <c r="U35" s="625">
        <v>0</v>
      </c>
      <c r="V35" s="625">
        <v>0</v>
      </c>
      <c r="W35" s="625">
        <v>0</v>
      </c>
      <c r="X35" s="625"/>
      <c r="Y35" s="625">
        <v>1600</v>
      </c>
      <c r="Z35" s="625" t="s">
        <v>49</v>
      </c>
      <c r="AA35" s="627" t="s">
        <v>149</v>
      </c>
    </row>
    <row r="36" spans="1:27" s="579" customFormat="1" ht="25.5" hidden="1">
      <c r="A36" s="578"/>
      <c r="B36" s="736">
        <v>11004</v>
      </c>
      <c r="C36" s="736">
        <v>2531</v>
      </c>
      <c r="D36" s="626"/>
      <c r="E36" s="625"/>
      <c r="F36" s="625"/>
      <c r="G36" s="625" t="s">
        <v>962</v>
      </c>
      <c r="H36" s="625" t="s">
        <v>963</v>
      </c>
      <c r="I36" s="625"/>
      <c r="J36" s="735"/>
      <c r="K36" s="735"/>
      <c r="L36" s="625" t="s">
        <v>965</v>
      </c>
      <c r="M36" s="625">
        <v>6390</v>
      </c>
      <c r="N36" s="625">
        <v>28755</v>
      </c>
      <c r="O36" s="625">
        <v>41078.571428571428</v>
      </c>
      <c r="P36" s="625">
        <v>82157.14285714287</v>
      </c>
      <c r="Q36" s="625">
        <v>0</v>
      </c>
      <c r="R36" s="625">
        <v>0</v>
      </c>
      <c r="S36" s="625">
        <v>0</v>
      </c>
      <c r="T36" s="625">
        <v>0</v>
      </c>
      <c r="U36" s="625">
        <v>0</v>
      </c>
      <c r="V36" s="625">
        <v>0</v>
      </c>
      <c r="W36" s="625">
        <v>0</v>
      </c>
      <c r="X36" s="625"/>
      <c r="Y36" s="625">
        <v>10</v>
      </c>
      <c r="Z36" s="625" t="s">
        <v>105</v>
      </c>
      <c r="AA36" s="627" t="s">
        <v>105</v>
      </c>
    </row>
    <row r="37" spans="1:27" s="561" customFormat="1" hidden="1">
      <c r="A37" s="581" t="s">
        <v>269</v>
      </c>
      <c r="B37" s="582"/>
      <c r="C37" s="582"/>
      <c r="D37" s="582"/>
      <c r="E37" s="582"/>
      <c r="F37" s="582"/>
      <c r="G37" s="582"/>
      <c r="H37" s="582"/>
      <c r="I37" s="582"/>
      <c r="J37" s="582"/>
      <c r="K37" s="582"/>
      <c r="L37" s="583"/>
      <c r="M37" s="583">
        <f>SUM(M28:M36)</f>
        <v>23216</v>
      </c>
      <c r="N37" s="583">
        <f>SUM(N28:N36)</f>
        <v>103410.75</v>
      </c>
      <c r="O37" s="583">
        <f>SUM(O28:O36)</f>
        <v>147729.64285714287</v>
      </c>
      <c r="P37" s="583">
        <f>SUM(P28:P36)</f>
        <v>295459.2857142858</v>
      </c>
      <c r="Q37" s="583">
        <f>SUM(Q28:Q36)</f>
        <v>0</v>
      </c>
      <c r="R37" s="583">
        <f>SUM(R28:R36)</f>
        <v>0</v>
      </c>
      <c r="S37" s="583">
        <f>SUM(S28:S36)</f>
        <v>0</v>
      </c>
      <c r="T37" s="583">
        <f>SUM(T28:T36)</f>
        <v>0</v>
      </c>
      <c r="U37" s="583">
        <f>SUM(U28:U36)</f>
        <v>0</v>
      </c>
      <c r="V37" s="583">
        <f>SUM(V28:V36)</f>
        <v>0</v>
      </c>
      <c r="W37" s="583">
        <f>SUM(W28:W36)</f>
        <v>0</v>
      </c>
      <c r="X37" s="583"/>
      <c r="Y37" s="584"/>
      <c r="Z37" s="584"/>
      <c r="AA37" s="585"/>
    </row>
    <row r="38" spans="1:27" s="561" customFormat="1">
      <c r="A38" s="581" t="s">
        <v>276</v>
      </c>
      <c r="B38" s="582"/>
      <c r="C38" s="582"/>
      <c r="D38" s="582"/>
      <c r="E38" s="582"/>
      <c r="F38" s="582"/>
      <c r="G38" s="582"/>
      <c r="H38" s="582"/>
      <c r="I38" s="582"/>
      <c r="J38" s="582"/>
      <c r="K38" s="582"/>
      <c r="L38" s="583"/>
      <c r="M38" s="583">
        <f>SUMIF($AA$28:$AA$36,"industrie",M28:M36)</f>
        <v>0</v>
      </c>
      <c r="N38" s="583">
        <f>SUMIF($AA$28:$AA$36,"industrie",N28:N36)</f>
        <v>0</v>
      </c>
      <c r="O38" s="583">
        <f>SUMIF($AA$28:$AA$36,"industrie",O28:O36)</f>
        <v>0</v>
      </c>
      <c r="P38" s="583">
        <f>SUMIF($AA$28:$AA$36,"industrie",P28:P36)</f>
        <v>0</v>
      </c>
      <c r="Q38" s="583">
        <f>SUMIF($AA$28:$AA$36,"industrie",Q28:Q36)</f>
        <v>0</v>
      </c>
      <c r="R38" s="583">
        <f>SUMIF($AA$28:$AA$36,"industrie",R28:R36)</f>
        <v>0</v>
      </c>
      <c r="S38" s="583">
        <f>SUMIF($AA$28:$AA$36,"industrie",S28:S36)</f>
        <v>0</v>
      </c>
      <c r="T38" s="583">
        <f>SUMIF($AA$28:$AA$36,"industrie",T28:T36)</f>
        <v>0</v>
      </c>
      <c r="U38" s="583">
        <f>SUMIF($AA$28:$AA$36,"industrie",U28:U36)</f>
        <v>0</v>
      </c>
      <c r="V38" s="583">
        <f>SUMIF($AA$28:$AA$36,"industrie",V28:V36)</f>
        <v>0</v>
      </c>
      <c r="W38" s="583">
        <f>SUMIF($AA$28:$AA$36,"industrie",W28:W36)</f>
        <v>0</v>
      </c>
      <c r="X38" s="583"/>
      <c r="Y38" s="584"/>
      <c r="Z38" s="584"/>
      <c r="AA38" s="585"/>
    </row>
    <row r="39" spans="1:27" s="561" customFormat="1">
      <c r="A39" s="581" t="s">
        <v>277</v>
      </c>
      <c r="B39" s="582"/>
      <c r="C39" s="582"/>
      <c r="D39" s="582"/>
      <c r="E39" s="582"/>
      <c r="F39" s="582"/>
      <c r="G39" s="582"/>
      <c r="H39" s="582"/>
      <c r="I39" s="582"/>
      <c r="J39" s="582"/>
      <c r="K39" s="582"/>
      <c r="L39" s="583"/>
      <c r="M39" s="583">
        <f ca="1">SUMIF($AA$28:AD36,"tertiair",M28:M36)</f>
        <v>4141</v>
      </c>
      <c r="N39" s="583">
        <f ca="1">SUMIF($AA$28:AE36,"tertiair",N28:N36)</f>
        <v>18634.5</v>
      </c>
      <c r="O39" s="583">
        <f ca="1">SUMIF($AA$28:AF36,"tertiair",O28:O36)</f>
        <v>26620.714285714286</v>
      </c>
      <c r="P39" s="583">
        <f ca="1">SUMIF($AA$28:AG36,"tertiair",P28:P36)</f>
        <v>53241.428571428572</v>
      </c>
      <c r="Q39" s="583">
        <f ca="1">SUMIF($AA$28:AH36,"tertiair",Q28:Q36)</f>
        <v>0</v>
      </c>
      <c r="R39" s="583">
        <f ca="1">SUMIF($AA$28:AI36,"tertiair",R28:R36)</f>
        <v>0</v>
      </c>
      <c r="S39" s="583">
        <f ca="1">SUMIF($AA$28:AJ36,"tertiair",S28:S36)</f>
        <v>0</v>
      </c>
      <c r="T39" s="583">
        <f ca="1">SUMIF($AA$28:AK36,"tertiair",T28:T36)</f>
        <v>0</v>
      </c>
      <c r="U39" s="583">
        <f ca="1">SUMIF($AA$28:AL36,"tertiair",U28:U36)</f>
        <v>0</v>
      </c>
      <c r="V39" s="583">
        <f ca="1">SUMIF($AA$28:AM36,"tertiair",V28:V36)</f>
        <v>0</v>
      </c>
      <c r="W39" s="583">
        <f ca="1">SUMIF($AA$28:AN36,"tertiair",W28:W36)</f>
        <v>0</v>
      </c>
      <c r="X39" s="583"/>
      <c r="Y39" s="584"/>
      <c r="Z39" s="584"/>
      <c r="AA39" s="585"/>
    </row>
    <row r="40" spans="1:27" s="561" customFormat="1" ht="15.75" thickBot="1">
      <c r="A40" s="586" t="s">
        <v>278</v>
      </c>
      <c r="B40" s="587"/>
      <c r="C40" s="587"/>
      <c r="D40" s="587"/>
      <c r="E40" s="587"/>
      <c r="F40" s="587"/>
      <c r="G40" s="587"/>
      <c r="H40" s="587"/>
      <c r="I40" s="587"/>
      <c r="J40" s="587"/>
      <c r="K40" s="587"/>
      <c r="L40" s="588"/>
      <c r="M40" s="588">
        <f>SUMIF($AA$28:$AA$36,"landbouw",M28:M36)</f>
        <v>19075</v>
      </c>
      <c r="N40" s="588">
        <f>SUMIF($AA$28:$AA$36,"landbouw",N28:N36)</f>
        <v>84776.25</v>
      </c>
      <c r="O40" s="588">
        <f>SUMIF($AA$28:$AA$36,"landbouw",O28:O36)</f>
        <v>121108.92857142858</v>
      </c>
      <c r="P40" s="588">
        <f>SUMIF($AA$28:$AA$36,"landbouw",P28:P36)</f>
        <v>242217.85714285719</v>
      </c>
      <c r="Q40" s="588">
        <f>SUMIF($AA$28:$AA$36,"landbouw",Q28:Q36)</f>
        <v>0</v>
      </c>
      <c r="R40" s="588">
        <f>SUMIF($AA$28:$AA$36,"landbouw",R28:R36)</f>
        <v>0</v>
      </c>
      <c r="S40" s="588">
        <f>SUMIF($AA$28:$AA$36,"landbouw",S28:S36)</f>
        <v>0</v>
      </c>
      <c r="T40" s="588">
        <f>SUMIF($AA$28:$AA$36,"landbouw",T28:T36)</f>
        <v>0</v>
      </c>
      <c r="U40" s="588">
        <f>SUMIF($AA$28:$AA$36,"landbouw",U28:U36)</f>
        <v>0</v>
      </c>
      <c r="V40" s="588">
        <f>SUMIF($AA$28:$AA$36,"landbouw",V28:V36)</f>
        <v>0</v>
      </c>
      <c r="W40" s="588">
        <f>SUMIF($AA$28:$AA$36,"landbouw",W28:W36)</f>
        <v>0</v>
      </c>
      <c r="X40" s="588"/>
      <c r="Y40" s="589"/>
      <c r="Z40" s="589"/>
      <c r="AA40" s="590"/>
    </row>
    <row r="41" spans="1:27" s="530" customFormat="1" ht="15.75" thickBot="1">
      <c r="A41" s="591"/>
      <c r="B41" s="592"/>
      <c r="C41" s="592"/>
      <c r="D41" s="592"/>
      <c r="E41" s="592"/>
      <c r="F41" s="592"/>
      <c r="G41" s="592"/>
      <c r="H41" s="592"/>
      <c r="I41" s="592"/>
      <c r="J41" s="592"/>
      <c r="K41" s="592"/>
      <c r="L41" s="575"/>
      <c r="M41" s="575"/>
      <c r="N41" s="575"/>
      <c r="O41" s="576"/>
      <c r="P41" s="576"/>
    </row>
    <row r="42" spans="1:27" s="530" customFormat="1" ht="45">
      <c r="A42" s="593" t="s">
        <v>270</v>
      </c>
      <c r="B42" s="622" t="s">
        <v>89</v>
      </c>
      <c r="C42" s="622" t="s">
        <v>90</v>
      </c>
      <c r="D42" s="622"/>
      <c r="E42" s="622"/>
      <c r="F42" s="622"/>
      <c r="G42" s="622" t="s">
        <v>91</v>
      </c>
      <c r="H42" s="622" t="s">
        <v>92</v>
      </c>
      <c r="I42" s="622"/>
      <c r="J42" s="622"/>
      <c r="K42" s="622"/>
      <c r="L42" s="622" t="s">
        <v>93</v>
      </c>
      <c r="M42" s="623" t="s">
        <v>287</v>
      </c>
      <c r="N42" s="623" t="s">
        <v>94</v>
      </c>
      <c r="O42" s="623" t="s">
        <v>95</v>
      </c>
      <c r="P42" s="623" t="s">
        <v>528</v>
      </c>
      <c r="Q42" s="623" t="s">
        <v>96</v>
      </c>
      <c r="R42" s="623" t="s">
        <v>97</v>
      </c>
      <c r="S42" s="623" t="s">
        <v>98</v>
      </c>
      <c r="T42" s="623" t="s">
        <v>99</v>
      </c>
      <c r="U42" s="623" t="s">
        <v>100</v>
      </c>
      <c r="V42" s="623" t="s">
        <v>101</v>
      </c>
      <c r="W42" s="622" t="s">
        <v>102</v>
      </c>
      <c r="X42" s="622" t="s">
        <v>961</v>
      </c>
      <c r="Y42" s="622" t="s">
        <v>288</v>
      </c>
      <c r="Z42" s="622" t="s">
        <v>103</v>
      </c>
      <c r="AA42" s="624" t="s">
        <v>289</v>
      </c>
    </row>
    <row r="43" spans="1:27" s="594" customFormat="1" ht="12.75" hidden="1">
      <c r="A43" s="580"/>
      <c r="B43" s="736"/>
      <c r="C43" s="736"/>
      <c r="D43" s="628"/>
      <c r="E43" s="628"/>
      <c r="F43" s="628"/>
      <c r="G43" s="628"/>
      <c r="H43" s="628"/>
      <c r="I43" s="628"/>
      <c r="J43" s="735"/>
      <c r="K43" s="735"/>
      <c r="L43" s="628"/>
      <c r="M43" s="628"/>
      <c r="N43" s="628"/>
      <c r="O43" s="628"/>
      <c r="P43" s="628"/>
      <c r="Q43" s="628"/>
      <c r="R43" s="628"/>
      <c r="S43" s="628"/>
      <c r="T43" s="628"/>
      <c r="U43" s="628"/>
      <c r="V43" s="628"/>
      <c r="W43" s="628"/>
      <c r="X43" s="628"/>
      <c r="Y43" s="628"/>
      <c r="Z43" s="628"/>
      <c r="AA43" s="629"/>
    </row>
    <row r="44" spans="1:27" s="561" customFormat="1" hidden="1">
      <c r="A44" s="581" t="s">
        <v>269</v>
      </c>
      <c r="B44" s="582"/>
      <c r="C44" s="582"/>
      <c r="D44" s="582"/>
      <c r="E44" s="582"/>
      <c r="F44" s="582"/>
      <c r="G44" s="582"/>
      <c r="H44" s="582"/>
      <c r="I44" s="582"/>
      <c r="J44" s="582"/>
      <c r="K44" s="582"/>
      <c r="L44" s="583"/>
      <c r="M44" s="583">
        <f>SUM(M43:M43)</f>
        <v>0</v>
      </c>
      <c r="N44" s="583">
        <f>SUM(N43:N43)</f>
        <v>0</v>
      </c>
      <c r="O44" s="583">
        <f>SUM(O43:O43)</f>
        <v>0</v>
      </c>
      <c r="P44" s="583">
        <f>SUM(P43:P43)</f>
        <v>0</v>
      </c>
      <c r="Q44" s="583">
        <f>SUM(Q43:Q43)</f>
        <v>0</v>
      </c>
      <c r="R44" s="583">
        <f>SUM(R43:R43)</f>
        <v>0</v>
      </c>
      <c r="S44" s="583">
        <f>SUM(S43:S43)</f>
        <v>0</v>
      </c>
      <c r="T44" s="583">
        <f>SUM(T43:T43)</f>
        <v>0</v>
      </c>
      <c r="U44" s="583">
        <f>SUM(U43:U43)</f>
        <v>0</v>
      </c>
      <c r="V44" s="583">
        <f>SUM(V43:V43)</f>
        <v>0</v>
      </c>
      <c r="W44" s="583">
        <f>SUM(W43:W43)</f>
        <v>0</v>
      </c>
      <c r="X44" s="583"/>
      <c r="Y44" s="584"/>
      <c r="Z44" s="584"/>
      <c r="AA44" s="585"/>
    </row>
    <row r="45" spans="1:27" s="561" customFormat="1">
      <c r="A45" s="581" t="s">
        <v>276</v>
      </c>
      <c r="B45" s="582"/>
      <c r="C45" s="582"/>
      <c r="D45" s="582"/>
      <c r="E45" s="582"/>
      <c r="F45" s="582"/>
      <c r="G45" s="582"/>
      <c r="H45" s="582"/>
      <c r="I45" s="582"/>
      <c r="J45" s="582"/>
      <c r="K45" s="582"/>
      <c r="L45" s="583"/>
      <c r="M45" s="583">
        <f>SUMIF($AA$43:$AA$43,"industrie",M43:M43)</f>
        <v>0</v>
      </c>
      <c r="N45" s="583">
        <f>SUMIF($AA$43:$AA$43,"industrie",N43:N43)</f>
        <v>0</v>
      </c>
      <c r="O45" s="583">
        <f>SUMIF($AA$43:$AA$43,"industrie",O43:O43)</f>
        <v>0</v>
      </c>
      <c r="P45" s="583">
        <f>SUMIF($AA$43:$AA$43,"industrie",P43:P43)</f>
        <v>0</v>
      </c>
      <c r="Q45" s="583">
        <f>SUMIF($AA$43:$AA$43,"industrie",Q43:Q43)</f>
        <v>0</v>
      </c>
      <c r="R45" s="583">
        <f>SUMIF($AA$43:$AA$43,"industrie",R43:R43)</f>
        <v>0</v>
      </c>
      <c r="S45" s="583">
        <f>SUMIF($AA$43:$AA$43,"industrie",S43:S43)</f>
        <v>0</v>
      </c>
      <c r="T45" s="583">
        <f>SUMIF($AA$43:$AA$43,"industrie",T43:T43)</f>
        <v>0</v>
      </c>
      <c r="U45" s="583">
        <f>SUMIF($AA$43:$AA$43,"industrie",U43:U43)</f>
        <v>0</v>
      </c>
      <c r="V45" s="583">
        <f>SUMIF($AA$43:$AA$43,"industrie",V43:V43)</f>
        <v>0</v>
      </c>
      <c r="W45" s="583">
        <f>SUMIF($AA$43:$AA$43,"industrie",W43:W43)</f>
        <v>0</v>
      </c>
      <c r="X45" s="583"/>
      <c r="Y45" s="584"/>
      <c r="Z45" s="584"/>
      <c r="AA45" s="585"/>
    </row>
    <row r="46" spans="1:27" s="561" customFormat="1">
      <c r="A46" s="581" t="s">
        <v>277</v>
      </c>
      <c r="B46" s="582"/>
      <c r="C46" s="582"/>
      <c r="D46" s="582"/>
      <c r="E46" s="582"/>
      <c r="F46" s="582"/>
      <c r="G46" s="582"/>
      <c r="H46" s="582"/>
      <c r="I46" s="582"/>
      <c r="J46" s="582"/>
      <c r="K46" s="582"/>
      <c r="L46" s="583"/>
      <c r="M46" s="583">
        <f>SUMIF($AA$43:$AA$44,"tertiair",M43:M44)</f>
        <v>0</v>
      </c>
      <c r="N46" s="583">
        <f>SUMIF($AA$43:$AA$44,"tertiair",N43:N44)</f>
        <v>0</v>
      </c>
      <c r="O46" s="583">
        <f>SUMIF($AA$43:$AA$44,"tertiair",O43:O44)</f>
        <v>0</v>
      </c>
      <c r="P46" s="583">
        <f>SUMIF($AA$43:$AA$44,"tertiair",P43:P44)</f>
        <v>0</v>
      </c>
      <c r="Q46" s="583">
        <f>SUMIF($AA$43:$AA$44,"tertiair",Q43:Q44)</f>
        <v>0</v>
      </c>
      <c r="R46" s="583">
        <f>SUMIF($AA$43:$AA$44,"tertiair",R43:R44)</f>
        <v>0</v>
      </c>
      <c r="S46" s="583">
        <f>SUMIF($AA$43:$AA$44,"tertiair",S43:S44)</f>
        <v>0</v>
      </c>
      <c r="T46" s="583">
        <f>SUMIF($AA$43:$AA$44,"tertiair",T43:T44)</f>
        <v>0</v>
      </c>
      <c r="U46" s="583">
        <f>SUMIF($AA$43:$AA$44,"tertiair",U43:U44)</f>
        <v>0</v>
      </c>
      <c r="V46" s="583">
        <f>SUMIF($AA$43:$AA$44,"tertiair",V43:V44)</f>
        <v>0</v>
      </c>
      <c r="W46" s="583">
        <f>SUMIF($AA$43:$AA$44,"tertiair",W43:W44)</f>
        <v>0</v>
      </c>
      <c r="X46" s="583"/>
      <c r="Y46" s="584"/>
      <c r="Z46" s="584"/>
      <c r="AA46" s="585"/>
    </row>
    <row r="47" spans="1:27" s="561" customFormat="1" ht="15.75" thickBot="1">
      <c r="A47" s="586" t="s">
        <v>278</v>
      </c>
      <c r="B47" s="587"/>
      <c r="C47" s="587"/>
      <c r="D47" s="587"/>
      <c r="E47" s="587"/>
      <c r="F47" s="587"/>
      <c r="G47" s="587"/>
      <c r="H47" s="587"/>
      <c r="I47" s="587"/>
      <c r="J47" s="587"/>
      <c r="K47" s="587"/>
      <c r="L47" s="588"/>
      <c r="M47" s="588">
        <f>SUMIF($AA$43:$AA$45,"landbouw",M43:M45)</f>
        <v>0</v>
      </c>
      <c r="N47" s="588">
        <f>SUMIF($AA$43:$AA$45,"landbouw",N43:N45)</f>
        <v>0</v>
      </c>
      <c r="O47" s="588">
        <f>SUMIF($AA$43:$AA$45,"landbouw",O43:O45)</f>
        <v>0</v>
      </c>
      <c r="P47" s="588">
        <f>SUMIF($AA$43:$AA$45,"landbouw",P43:P45)</f>
        <v>0</v>
      </c>
      <c r="Q47" s="588">
        <f>SUMIF($AA$43:$AA$45,"landbouw",Q43:Q45)</f>
        <v>0</v>
      </c>
      <c r="R47" s="588">
        <f>SUMIF($AA$43:$AA$45,"landbouw",R43:R45)</f>
        <v>0</v>
      </c>
      <c r="S47" s="588">
        <f>SUMIF($AA$43:$AA$45,"landbouw",S43:S45)</f>
        <v>0</v>
      </c>
      <c r="T47" s="588">
        <f>SUMIF($AA$43:$AA$45,"landbouw",T43:T45)</f>
        <v>0</v>
      </c>
      <c r="U47" s="588">
        <f>SUMIF($AA$43:$AA$45,"landbouw",U43:U45)</f>
        <v>0</v>
      </c>
      <c r="V47" s="588">
        <f>SUMIF($AA$43:$AA$45,"landbouw",V43:V45)</f>
        <v>0</v>
      </c>
      <c r="W47" s="588">
        <f>SUMIF($AA$43:$AA$45,"landbouw",W43:W45)</f>
        <v>0</v>
      </c>
      <c r="X47" s="588"/>
      <c r="Y47" s="589"/>
      <c r="Z47" s="589"/>
      <c r="AA47" s="590"/>
    </row>
    <row r="48" spans="1:27" s="595" customFormat="1">
      <c r="A48" s="591"/>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row>
    <row r="49" spans="1:28" s="595" customFormat="1" ht="15.75" thickBot="1">
      <c r="A49" s="591"/>
      <c r="B49" s="575"/>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row>
    <row r="50" spans="1:28">
      <c r="A50" s="596" t="s">
        <v>271</v>
      </c>
      <c r="B50" s="597"/>
      <c r="C50" s="597"/>
      <c r="D50" s="597"/>
      <c r="E50" s="597"/>
      <c r="F50" s="597"/>
      <c r="G50" s="597"/>
      <c r="H50" s="597"/>
      <c r="I50" s="598"/>
      <c r="J50" s="599"/>
      <c r="K50" s="599"/>
      <c r="L50" s="600"/>
      <c r="M50" s="600"/>
      <c r="N50" s="600"/>
      <c r="O50" s="600"/>
      <c r="P50" s="600"/>
    </row>
    <row r="51" spans="1:28">
      <c r="A51" s="602"/>
      <c r="B51" s="592"/>
      <c r="C51" s="592"/>
      <c r="D51" s="592"/>
      <c r="E51" s="592"/>
      <c r="F51" s="592"/>
      <c r="G51" s="592"/>
      <c r="H51" s="592"/>
      <c r="I51" s="603"/>
      <c r="J51" s="592"/>
      <c r="K51" s="592"/>
      <c r="L51" s="600"/>
      <c r="M51" s="600"/>
      <c r="N51" s="600"/>
      <c r="O51" s="600"/>
      <c r="P51" s="600"/>
    </row>
    <row r="52" spans="1:28">
      <c r="A52" s="604"/>
      <c r="B52" s="605" t="s">
        <v>272</v>
      </c>
      <c r="C52" s="605" t="s">
        <v>273</v>
      </c>
      <c r="D52" s="605"/>
      <c r="E52" s="605"/>
      <c r="F52" s="605"/>
      <c r="G52" s="605"/>
      <c r="H52" s="605"/>
      <c r="I52" s="606"/>
      <c r="J52" s="605"/>
      <c r="K52" s="605"/>
      <c r="L52" s="605"/>
      <c r="M52" s="605"/>
      <c r="N52" s="605"/>
      <c r="O52" s="605"/>
      <c r="P52" s="600"/>
    </row>
    <row r="53" spans="1:28">
      <c r="A53" s="602" t="s">
        <v>269</v>
      </c>
      <c r="B53" s="607">
        <f>IF(ISERROR(O37/(O37+N37)),0,O37/(O37+N37))</f>
        <v>0.58823529411764708</v>
      </c>
      <c r="C53" s="608">
        <f>IF(ISERROR(N37/(O37+N37)),0,N37/(N37+O37))</f>
        <v>0.41176470588235292</v>
      </c>
      <c r="D53" s="575"/>
      <c r="E53" s="575"/>
      <c r="F53" s="575"/>
      <c r="G53" s="575"/>
      <c r="H53" s="575"/>
      <c r="I53" s="609"/>
      <c r="J53" s="575"/>
      <c r="K53" s="575"/>
      <c r="L53" s="610"/>
      <c r="M53" s="610"/>
      <c r="N53" s="610"/>
      <c r="O53" s="610"/>
      <c r="P53" s="600"/>
    </row>
    <row r="54" spans="1:28">
      <c r="A54" s="602"/>
      <c r="B54" s="611"/>
      <c r="C54" s="611"/>
      <c r="D54" s="611"/>
      <c r="E54" s="611"/>
      <c r="F54" s="611"/>
      <c r="G54" s="611"/>
      <c r="H54" s="611"/>
      <c r="I54" s="612"/>
      <c r="J54" s="611"/>
      <c r="K54" s="611"/>
      <c r="L54" s="613"/>
      <c r="M54" s="613"/>
      <c r="N54" s="613"/>
      <c r="O54" s="613"/>
      <c r="P54" s="600"/>
    </row>
    <row r="55" spans="1:28" ht="30">
      <c r="A55" s="614"/>
      <c r="B55" s="615" t="s">
        <v>528</v>
      </c>
      <c r="C55" s="615" t="s">
        <v>96</v>
      </c>
      <c r="D55" s="615" t="s">
        <v>97</v>
      </c>
      <c r="E55" s="615" t="s">
        <v>98</v>
      </c>
      <c r="F55" s="615" t="s">
        <v>99</v>
      </c>
      <c r="G55" s="615" t="s">
        <v>100</v>
      </c>
      <c r="H55" s="615" t="s">
        <v>101</v>
      </c>
      <c r="I55" s="616" t="s">
        <v>102</v>
      </c>
      <c r="J55" s="605"/>
      <c r="K55" s="605"/>
      <c r="L55" s="613"/>
      <c r="M55" s="613"/>
      <c r="N55" s="613"/>
      <c r="O55" s="600"/>
      <c r="P55" s="600"/>
    </row>
    <row r="56" spans="1:28">
      <c r="A56" s="604" t="s">
        <v>274</v>
      </c>
      <c r="B56" s="617">
        <f t="shared" ref="B56:I56" si="2">$C$53*P37</f>
        <v>121659.70588235297</v>
      </c>
      <c r="C56" s="617">
        <f t="shared" si="2"/>
        <v>0</v>
      </c>
      <c r="D56" s="617">
        <f t="shared" si="2"/>
        <v>0</v>
      </c>
      <c r="E56" s="617">
        <f t="shared" si="2"/>
        <v>0</v>
      </c>
      <c r="F56" s="617">
        <f t="shared" si="2"/>
        <v>0</v>
      </c>
      <c r="G56" s="617">
        <f t="shared" si="2"/>
        <v>0</v>
      </c>
      <c r="H56" s="617">
        <f t="shared" si="2"/>
        <v>0</v>
      </c>
      <c r="I56" s="618">
        <f t="shared" si="2"/>
        <v>0</v>
      </c>
      <c r="J56" s="575"/>
      <c r="K56" s="575"/>
      <c r="L56" s="613"/>
      <c r="M56" s="613"/>
      <c r="N56" s="613"/>
      <c r="O56" s="600"/>
      <c r="P56" s="600"/>
    </row>
    <row r="57" spans="1:28" ht="15.75" thickBot="1">
      <c r="A57" s="619" t="s">
        <v>275</v>
      </c>
      <c r="B57" s="620">
        <f t="shared" ref="B57:I57" si="3">$B$53*P37</f>
        <v>173799.57983193282</v>
      </c>
      <c r="C57" s="620">
        <f t="shared" si="3"/>
        <v>0</v>
      </c>
      <c r="D57" s="620">
        <f t="shared" si="3"/>
        <v>0</v>
      </c>
      <c r="E57" s="620">
        <f t="shared" si="3"/>
        <v>0</v>
      </c>
      <c r="F57" s="620">
        <f t="shared" si="3"/>
        <v>0</v>
      </c>
      <c r="G57" s="620">
        <f t="shared" si="3"/>
        <v>0</v>
      </c>
      <c r="H57" s="620">
        <f t="shared" si="3"/>
        <v>0</v>
      </c>
      <c r="I57" s="621">
        <f t="shared" si="3"/>
        <v>0</v>
      </c>
      <c r="J57" s="575"/>
      <c r="K57" s="575"/>
      <c r="L57" s="613"/>
      <c r="M57" s="613"/>
      <c r="N57" s="613"/>
      <c r="O57" s="600"/>
      <c r="P57" s="600"/>
    </row>
    <row r="58" spans="1:28">
      <c r="J58" s="559"/>
      <c r="K58" s="559"/>
      <c r="L58" s="559"/>
      <c r="M58" s="559"/>
      <c r="N58" s="559"/>
    </row>
    <row r="59" spans="1:28">
      <c r="J59" s="559"/>
      <c r="K59" s="559"/>
      <c r="L59" s="559"/>
      <c r="M59" s="559"/>
      <c r="N59"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30455.68</v>
      </c>
      <c r="D10" s="635">
        <f ca="1">tertiair!C16</f>
        <v>26620.714285714286</v>
      </c>
      <c r="E10" s="635">
        <f ca="1">tertiair!D16</f>
        <v>0</v>
      </c>
      <c r="F10" s="635">
        <f>tertiair!E16</f>
        <v>246.33351146320274</v>
      </c>
      <c r="G10" s="635">
        <f ca="1">tertiair!F16</f>
        <v>2576.5970535863316</v>
      </c>
      <c r="H10" s="635">
        <f>tertiair!G16</f>
        <v>0</v>
      </c>
      <c r="I10" s="635">
        <f>tertiair!H16</f>
        <v>0</v>
      </c>
      <c r="J10" s="635">
        <f>tertiair!I16</f>
        <v>0</v>
      </c>
      <c r="K10" s="635">
        <f>tertiair!J16</f>
        <v>0</v>
      </c>
      <c r="L10" s="635">
        <f>tertiair!K16</f>
        <v>0</v>
      </c>
      <c r="M10" s="635">
        <f ca="1">tertiair!L16</f>
        <v>0</v>
      </c>
      <c r="N10" s="635">
        <f>tertiair!M16</f>
        <v>0</v>
      </c>
      <c r="O10" s="635">
        <f ca="1">tertiair!N16</f>
        <v>198.70985827722802</v>
      </c>
      <c r="P10" s="635">
        <f>tertiair!O16</f>
        <v>3.1266666666666669</v>
      </c>
      <c r="Q10" s="636">
        <f>tertiair!P16</f>
        <v>0</v>
      </c>
      <c r="R10" s="638">
        <f ca="1">SUM(C10:Q10)</f>
        <v>60101.161375707714</v>
      </c>
      <c r="S10" s="67"/>
    </row>
    <row r="11" spans="1:19" s="441" customFormat="1">
      <c r="A11" s="749" t="s">
        <v>214</v>
      </c>
      <c r="B11" s="754"/>
      <c r="C11" s="635">
        <f>huishoudens!B8</f>
        <v>23437.28192177595</v>
      </c>
      <c r="D11" s="635">
        <f>huishoudens!C8</f>
        <v>0</v>
      </c>
      <c r="E11" s="635">
        <f>huishoudens!D8</f>
        <v>67567.844937999995</v>
      </c>
      <c r="F11" s="635">
        <f>huishoudens!E8</f>
        <v>563.29131100915458</v>
      </c>
      <c r="G11" s="635">
        <f>huishoudens!F8</f>
        <v>19227.608471396212</v>
      </c>
      <c r="H11" s="635">
        <f>huishoudens!G8</f>
        <v>0</v>
      </c>
      <c r="I11" s="635">
        <f>huishoudens!H8</f>
        <v>0</v>
      </c>
      <c r="J11" s="635">
        <f>huishoudens!I8</f>
        <v>0</v>
      </c>
      <c r="K11" s="635">
        <f>huishoudens!J8</f>
        <v>432.95699526652572</v>
      </c>
      <c r="L11" s="635">
        <f>huishoudens!K8</f>
        <v>0</v>
      </c>
      <c r="M11" s="635">
        <f>huishoudens!L8</f>
        <v>0</v>
      </c>
      <c r="N11" s="635">
        <f>huishoudens!M8</f>
        <v>0</v>
      </c>
      <c r="O11" s="635">
        <f>huishoudens!N8</f>
        <v>5684.4908643382914</v>
      </c>
      <c r="P11" s="635">
        <f>huishoudens!O8</f>
        <v>50.026666666666671</v>
      </c>
      <c r="Q11" s="636">
        <f>huishoudens!P8</f>
        <v>190.66666666666669</v>
      </c>
      <c r="R11" s="638">
        <f>SUM(C11:Q11)</f>
        <v>117154.16783511949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9826.9830000000002</v>
      </c>
      <c r="D13" s="635">
        <f>industrie!C18</f>
        <v>0</v>
      </c>
      <c r="E13" s="635">
        <f>industrie!D18</f>
        <v>1951.2406759999999</v>
      </c>
      <c r="F13" s="635">
        <f>industrie!E18</f>
        <v>230.39664863733813</v>
      </c>
      <c r="G13" s="635">
        <f>industrie!F18</f>
        <v>2023.4990575170402</v>
      </c>
      <c r="H13" s="635">
        <f>industrie!G18</f>
        <v>0</v>
      </c>
      <c r="I13" s="635">
        <f>industrie!H18</f>
        <v>0</v>
      </c>
      <c r="J13" s="635">
        <f>industrie!I18</f>
        <v>0</v>
      </c>
      <c r="K13" s="635">
        <f>industrie!J18</f>
        <v>53.404706768667459</v>
      </c>
      <c r="L13" s="635">
        <f>industrie!K18</f>
        <v>0</v>
      </c>
      <c r="M13" s="635">
        <f>industrie!L18</f>
        <v>0</v>
      </c>
      <c r="N13" s="635">
        <f>industrie!M18</f>
        <v>0</v>
      </c>
      <c r="O13" s="635">
        <f>industrie!N18</f>
        <v>41.662847140353456</v>
      </c>
      <c r="P13" s="635">
        <f>industrie!O18</f>
        <v>0</v>
      </c>
      <c r="Q13" s="636">
        <f>industrie!P18</f>
        <v>0</v>
      </c>
      <c r="R13" s="638">
        <f>SUM(C13:Q13)</f>
        <v>14127.186936063397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63719.944921775947</v>
      </c>
      <c r="D16" s="668">
        <f t="shared" ref="D16:R16" ca="1" si="0">SUM(D9:D15)</f>
        <v>26620.714285714286</v>
      </c>
      <c r="E16" s="668">
        <f t="shared" ca="1" si="0"/>
        <v>69519.085613999996</v>
      </c>
      <c r="F16" s="668">
        <f t="shared" si="0"/>
        <v>1040.0214711096955</v>
      </c>
      <c r="G16" s="668">
        <f t="shared" ca="1" si="0"/>
        <v>23827.704582499584</v>
      </c>
      <c r="H16" s="668">
        <f t="shared" si="0"/>
        <v>0</v>
      </c>
      <c r="I16" s="668">
        <f t="shared" si="0"/>
        <v>0</v>
      </c>
      <c r="J16" s="668">
        <f t="shared" si="0"/>
        <v>0</v>
      </c>
      <c r="K16" s="668">
        <f t="shared" si="0"/>
        <v>486.36170203519316</v>
      </c>
      <c r="L16" s="668">
        <f t="shared" si="0"/>
        <v>0</v>
      </c>
      <c r="M16" s="668">
        <f t="shared" ca="1" si="0"/>
        <v>0</v>
      </c>
      <c r="N16" s="668">
        <f t="shared" si="0"/>
        <v>0</v>
      </c>
      <c r="O16" s="668">
        <f t="shared" ca="1" si="0"/>
        <v>5924.863569755873</v>
      </c>
      <c r="P16" s="668">
        <f t="shared" si="0"/>
        <v>53.153333333333336</v>
      </c>
      <c r="Q16" s="668">
        <f t="shared" si="0"/>
        <v>190.66666666666669</v>
      </c>
      <c r="R16" s="668">
        <f t="shared" ca="1" si="0"/>
        <v>191382.51614689059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660.65706411273413</v>
      </c>
      <c r="D19" s="635">
        <f>transport!C54</f>
        <v>0</v>
      </c>
      <c r="E19" s="635">
        <f>transport!D54</f>
        <v>0</v>
      </c>
      <c r="F19" s="635">
        <f>transport!E54</f>
        <v>0</v>
      </c>
      <c r="G19" s="635">
        <f>transport!F54</f>
        <v>0</v>
      </c>
      <c r="H19" s="635">
        <f>transport!G54</f>
        <v>1512.5319617912937</v>
      </c>
      <c r="I19" s="635">
        <f>transport!H54</f>
        <v>0</v>
      </c>
      <c r="J19" s="635">
        <f>transport!I54</f>
        <v>0</v>
      </c>
      <c r="K19" s="635">
        <f>transport!J54</f>
        <v>0</v>
      </c>
      <c r="L19" s="635">
        <f>transport!K54</f>
        <v>0</v>
      </c>
      <c r="M19" s="635">
        <f>transport!L54</f>
        <v>0</v>
      </c>
      <c r="N19" s="635">
        <f>transport!M54</f>
        <v>64.760808591975547</v>
      </c>
      <c r="O19" s="635">
        <f>transport!N54</f>
        <v>0</v>
      </c>
      <c r="P19" s="635">
        <f>transport!O54</f>
        <v>0</v>
      </c>
      <c r="Q19" s="636">
        <f>transport!P54</f>
        <v>0</v>
      </c>
      <c r="R19" s="638">
        <f>SUM(C19:Q19)</f>
        <v>2237.9498344960034</v>
      </c>
      <c r="S19" s="67"/>
    </row>
    <row r="20" spans="1:19" s="441" customFormat="1">
      <c r="A20" s="749" t="s">
        <v>296</v>
      </c>
      <c r="B20" s="754"/>
      <c r="C20" s="635">
        <f>transport!B14</f>
        <v>0.71769126522975024</v>
      </c>
      <c r="D20" s="635">
        <f>transport!C14</f>
        <v>0</v>
      </c>
      <c r="E20" s="635">
        <f>transport!D14</f>
        <v>2.3323631694114999</v>
      </c>
      <c r="F20" s="635">
        <f>transport!E14</f>
        <v>239.75497953973903</v>
      </c>
      <c r="G20" s="635">
        <f>transport!F14</f>
        <v>0</v>
      </c>
      <c r="H20" s="635">
        <f>transport!G14</f>
        <v>46374.140089676483</v>
      </c>
      <c r="I20" s="635">
        <f>transport!H14</f>
        <v>8042.8502052874919</v>
      </c>
      <c r="J20" s="635">
        <f>transport!I14</f>
        <v>0</v>
      </c>
      <c r="K20" s="635">
        <f>transport!J14</f>
        <v>0</v>
      </c>
      <c r="L20" s="635">
        <f>transport!K14</f>
        <v>0</v>
      </c>
      <c r="M20" s="635">
        <f>transport!L14</f>
        <v>0</v>
      </c>
      <c r="N20" s="635">
        <f>transport!M14</f>
        <v>2367.9324730319081</v>
      </c>
      <c r="O20" s="635">
        <f>transport!N14</f>
        <v>0</v>
      </c>
      <c r="P20" s="635">
        <f>transport!O14</f>
        <v>0</v>
      </c>
      <c r="Q20" s="636">
        <f>transport!P14</f>
        <v>0</v>
      </c>
      <c r="R20" s="638">
        <f>SUM(C20:Q20)</f>
        <v>57027.727801970257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661.37475537796388</v>
      </c>
      <c r="D22" s="752">
        <f t="shared" ref="D22:R22" si="1">SUM(D18:D21)</f>
        <v>0</v>
      </c>
      <c r="E22" s="752">
        <f t="shared" si="1"/>
        <v>2.3323631694114999</v>
      </c>
      <c r="F22" s="752">
        <f t="shared" si="1"/>
        <v>239.75497953973903</v>
      </c>
      <c r="G22" s="752">
        <f t="shared" si="1"/>
        <v>0</v>
      </c>
      <c r="H22" s="752">
        <f t="shared" si="1"/>
        <v>47886.672051467773</v>
      </c>
      <c r="I22" s="752">
        <f t="shared" si="1"/>
        <v>8042.8502052874919</v>
      </c>
      <c r="J22" s="752">
        <f t="shared" si="1"/>
        <v>0</v>
      </c>
      <c r="K22" s="752">
        <f t="shared" si="1"/>
        <v>0</v>
      </c>
      <c r="L22" s="752">
        <f t="shared" si="1"/>
        <v>0</v>
      </c>
      <c r="M22" s="752">
        <f t="shared" si="1"/>
        <v>0</v>
      </c>
      <c r="N22" s="752">
        <f t="shared" si="1"/>
        <v>2432.6932816238836</v>
      </c>
      <c r="O22" s="752">
        <f t="shared" si="1"/>
        <v>0</v>
      </c>
      <c r="P22" s="752">
        <f t="shared" si="1"/>
        <v>0</v>
      </c>
      <c r="Q22" s="752">
        <f t="shared" si="1"/>
        <v>0</v>
      </c>
      <c r="R22" s="752">
        <f t="shared" si="1"/>
        <v>59265.677636466258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4083.145</v>
      </c>
      <c r="D24" s="635">
        <f>+landbouw!C8</f>
        <v>121108.92857142858</v>
      </c>
      <c r="E24" s="635">
        <f>+landbouw!D8</f>
        <v>0</v>
      </c>
      <c r="F24" s="635">
        <f>+landbouw!E8</f>
        <v>36.794317504357316</v>
      </c>
      <c r="G24" s="635">
        <f>+landbouw!F8</f>
        <v>15299.668846798786</v>
      </c>
      <c r="H24" s="635">
        <f>+landbouw!G8</f>
        <v>0</v>
      </c>
      <c r="I24" s="635">
        <f>+landbouw!H8</f>
        <v>0</v>
      </c>
      <c r="J24" s="635">
        <f>+landbouw!I8</f>
        <v>0</v>
      </c>
      <c r="K24" s="635">
        <f>+landbouw!J8</f>
        <v>413.19738658383181</v>
      </c>
      <c r="L24" s="635">
        <f>+landbouw!K8</f>
        <v>0</v>
      </c>
      <c r="M24" s="635">
        <f>+landbouw!L8</f>
        <v>0</v>
      </c>
      <c r="N24" s="635">
        <f>+landbouw!M8</f>
        <v>0</v>
      </c>
      <c r="O24" s="635">
        <f>+landbouw!N8</f>
        <v>0</v>
      </c>
      <c r="P24" s="635">
        <f>+landbouw!O8</f>
        <v>0</v>
      </c>
      <c r="Q24" s="636">
        <f>+landbouw!P8</f>
        <v>0</v>
      </c>
      <c r="R24" s="638">
        <f>SUM(C24:Q24)</f>
        <v>140941.73412231557</v>
      </c>
      <c r="S24" s="67"/>
    </row>
    <row r="25" spans="1:19" s="441" customFormat="1" ht="15" thickBot="1">
      <c r="A25" s="771" t="s">
        <v>864</v>
      </c>
      <c r="B25" s="923"/>
      <c r="C25" s="924">
        <f>IF(Onbekend_ele_kWh="---",0,Onbekend_ele_kWh)/1000+IF(REST_rest_ele_kWh="---",0,REST_rest_ele_kWh)/1000</f>
        <v>996.87199999999996</v>
      </c>
      <c r="D25" s="924"/>
      <c r="E25" s="924">
        <f>IF(onbekend_gas_kWh="---",0,onbekend_gas_kWh)/1000+IF(REST_rest_gas_kWh="---",0,REST_rest_gas_kWh)/1000</f>
        <v>8603.3950000000004</v>
      </c>
      <c r="F25" s="924"/>
      <c r="G25" s="924"/>
      <c r="H25" s="924"/>
      <c r="I25" s="924"/>
      <c r="J25" s="924"/>
      <c r="K25" s="924"/>
      <c r="L25" s="924"/>
      <c r="M25" s="924"/>
      <c r="N25" s="924"/>
      <c r="O25" s="924"/>
      <c r="P25" s="924"/>
      <c r="Q25" s="925"/>
      <c r="R25" s="638">
        <f>SUM(C25:Q25)</f>
        <v>9600.2669999999998</v>
      </c>
      <c r="S25" s="67"/>
    </row>
    <row r="26" spans="1:19" s="441" customFormat="1" ht="15.75" thickBot="1">
      <c r="A26" s="641" t="s">
        <v>865</v>
      </c>
      <c r="B26" s="757"/>
      <c r="C26" s="752">
        <f>SUM(C24:C25)</f>
        <v>5080.0169999999998</v>
      </c>
      <c r="D26" s="752">
        <f t="shared" ref="D26:R26" si="2">SUM(D24:D25)</f>
        <v>121108.92857142858</v>
      </c>
      <c r="E26" s="752">
        <f t="shared" si="2"/>
        <v>8603.3950000000004</v>
      </c>
      <c r="F26" s="752">
        <f t="shared" si="2"/>
        <v>36.794317504357316</v>
      </c>
      <c r="G26" s="752">
        <f t="shared" si="2"/>
        <v>15299.668846798786</v>
      </c>
      <c r="H26" s="752">
        <f t="shared" si="2"/>
        <v>0</v>
      </c>
      <c r="I26" s="752">
        <f t="shared" si="2"/>
        <v>0</v>
      </c>
      <c r="J26" s="752">
        <f t="shared" si="2"/>
        <v>0</v>
      </c>
      <c r="K26" s="752">
        <f t="shared" si="2"/>
        <v>413.19738658383181</v>
      </c>
      <c r="L26" s="752">
        <f t="shared" si="2"/>
        <v>0</v>
      </c>
      <c r="M26" s="752">
        <f t="shared" si="2"/>
        <v>0</v>
      </c>
      <c r="N26" s="752">
        <f t="shared" si="2"/>
        <v>0</v>
      </c>
      <c r="O26" s="752">
        <f t="shared" si="2"/>
        <v>0</v>
      </c>
      <c r="P26" s="752">
        <f t="shared" si="2"/>
        <v>0</v>
      </c>
      <c r="Q26" s="752">
        <f t="shared" si="2"/>
        <v>0</v>
      </c>
      <c r="R26" s="752">
        <f t="shared" si="2"/>
        <v>150542.00112231556</v>
      </c>
      <c r="S26" s="67"/>
    </row>
    <row r="27" spans="1:19" s="441" customFormat="1" ht="17.25" thickTop="1" thickBot="1">
      <c r="A27" s="642" t="s">
        <v>109</v>
      </c>
      <c r="B27" s="744"/>
      <c r="C27" s="643">
        <f ca="1">C22+C16+C26</f>
        <v>69461.336677153915</v>
      </c>
      <c r="D27" s="643">
        <f t="shared" ref="D27:R27" ca="1" si="3">D22+D16+D26</f>
        <v>147729.64285714287</v>
      </c>
      <c r="E27" s="643">
        <f t="shared" ca="1" si="3"/>
        <v>78124.812977169408</v>
      </c>
      <c r="F27" s="643">
        <f t="shared" si="3"/>
        <v>1316.570768153792</v>
      </c>
      <c r="G27" s="643">
        <f t="shared" ca="1" si="3"/>
        <v>39127.373429298372</v>
      </c>
      <c r="H27" s="643">
        <f t="shared" si="3"/>
        <v>47886.672051467773</v>
      </c>
      <c r="I27" s="643">
        <f t="shared" si="3"/>
        <v>8042.8502052874919</v>
      </c>
      <c r="J27" s="643">
        <f t="shared" si="3"/>
        <v>0</v>
      </c>
      <c r="K27" s="643">
        <f t="shared" si="3"/>
        <v>899.55908861902503</v>
      </c>
      <c r="L27" s="643">
        <f t="shared" si="3"/>
        <v>0</v>
      </c>
      <c r="M27" s="643">
        <f t="shared" ca="1" si="3"/>
        <v>0</v>
      </c>
      <c r="N27" s="643">
        <f t="shared" si="3"/>
        <v>2432.6932816238836</v>
      </c>
      <c r="O27" s="643">
        <f t="shared" ca="1" si="3"/>
        <v>5924.863569755873</v>
      </c>
      <c r="P27" s="643">
        <f t="shared" si="3"/>
        <v>53.153333333333336</v>
      </c>
      <c r="Q27" s="643">
        <f t="shared" si="3"/>
        <v>190.66666666666669</v>
      </c>
      <c r="R27" s="643">
        <f t="shared" ca="1" si="3"/>
        <v>401190.1949056724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7163.2337923753412</v>
      </c>
      <c r="D40" s="635">
        <f ca="1">tertiair!C20</f>
        <v>6326.3344537815137</v>
      </c>
      <c r="E40" s="635">
        <f ca="1">tertiair!D20</f>
        <v>0</v>
      </c>
      <c r="F40" s="635">
        <f>tertiair!E20</f>
        <v>55.917707102147027</v>
      </c>
      <c r="G40" s="635">
        <f ca="1">tertiair!F20</f>
        <v>687.95141330755064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14233.437366566552</v>
      </c>
    </row>
    <row r="41" spans="1:18">
      <c r="A41" s="762" t="s">
        <v>214</v>
      </c>
      <c r="B41" s="769"/>
      <c r="C41" s="635">
        <f ca="1">huishoudens!B12</f>
        <v>5512.4932315907299</v>
      </c>
      <c r="D41" s="635">
        <f ca="1">huishoudens!C12</f>
        <v>0</v>
      </c>
      <c r="E41" s="635">
        <f>huishoudens!D12</f>
        <v>13648.704677476</v>
      </c>
      <c r="F41" s="635">
        <f>huishoudens!E12</f>
        <v>127.86712759907809</v>
      </c>
      <c r="G41" s="635">
        <f>huishoudens!F12</f>
        <v>5133.7714618627888</v>
      </c>
      <c r="H41" s="635">
        <f>huishoudens!G12</f>
        <v>0</v>
      </c>
      <c r="I41" s="635">
        <f>huishoudens!H12</f>
        <v>0</v>
      </c>
      <c r="J41" s="635">
        <f>huishoudens!I12</f>
        <v>0</v>
      </c>
      <c r="K41" s="635">
        <f>huishoudens!J12</f>
        <v>153.2667763243501</v>
      </c>
      <c r="L41" s="635">
        <f>huishoudens!K12</f>
        <v>0</v>
      </c>
      <c r="M41" s="635">
        <f>huishoudens!L12</f>
        <v>0</v>
      </c>
      <c r="N41" s="635">
        <f>huishoudens!M12</f>
        <v>0</v>
      </c>
      <c r="O41" s="635">
        <f>huishoudens!N12</f>
        <v>0</v>
      </c>
      <c r="P41" s="635">
        <f>huishoudens!O12</f>
        <v>0</v>
      </c>
      <c r="Q41" s="710">
        <f>huishoudens!P12</f>
        <v>0</v>
      </c>
      <c r="R41" s="790">
        <f t="shared" ca="1" si="4"/>
        <v>24576.103274852947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2311.3250698292736</v>
      </c>
      <c r="D43" s="635">
        <f ca="1">industrie!C22</f>
        <v>0</v>
      </c>
      <c r="E43" s="635">
        <f>industrie!D22</f>
        <v>394.15061655200003</v>
      </c>
      <c r="F43" s="635">
        <f>industrie!E22</f>
        <v>52.300039240675758</v>
      </c>
      <c r="G43" s="635">
        <f>industrie!F22</f>
        <v>540.27424835704983</v>
      </c>
      <c r="H43" s="635">
        <f>industrie!G22</f>
        <v>0</v>
      </c>
      <c r="I43" s="635">
        <f>industrie!H22</f>
        <v>0</v>
      </c>
      <c r="J43" s="635">
        <f>industrie!I22</f>
        <v>0</v>
      </c>
      <c r="K43" s="635">
        <f>industrie!J22</f>
        <v>18.905266196108279</v>
      </c>
      <c r="L43" s="635">
        <f>industrie!K22</f>
        <v>0</v>
      </c>
      <c r="M43" s="635">
        <f>industrie!L22</f>
        <v>0</v>
      </c>
      <c r="N43" s="635">
        <f>industrie!M22</f>
        <v>0</v>
      </c>
      <c r="O43" s="635">
        <f>industrie!N22</f>
        <v>0</v>
      </c>
      <c r="P43" s="635">
        <f>industrie!O22</f>
        <v>0</v>
      </c>
      <c r="Q43" s="710">
        <f>industrie!P22</f>
        <v>0</v>
      </c>
      <c r="R43" s="789">
        <f t="shared" ca="1" si="4"/>
        <v>3316.9552401751075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14987.052093795346</v>
      </c>
      <c r="D46" s="668">
        <f t="shared" ref="D46:Q46" ca="1" si="5">SUM(D39:D45)</f>
        <v>6326.3344537815137</v>
      </c>
      <c r="E46" s="668">
        <f t="shared" ca="1" si="5"/>
        <v>14042.855294028001</v>
      </c>
      <c r="F46" s="668">
        <f t="shared" si="5"/>
        <v>236.08487394190087</v>
      </c>
      <c r="G46" s="668">
        <f t="shared" ca="1" si="5"/>
        <v>6361.9971235273897</v>
      </c>
      <c r="H46" s="668">
        <f t="shared" si="5"/>
        <v>0</v>
      </c>
      <c r="I46" s="668">
        <f t="shared" si="5"/>
        <v>0</v>
      </c>
      <c r="J46" s="668">
        <f t="shared" si="5"/>
        <v>0</v>
      </c>
      <c r="K46" s="668">
        <f t="shared" si="5"/>
        <v>172.17204252045838</v>
      </c>
      <c r="L46" s="668">
        <f t="shared" si="5"/>
        <v>0</v>
      </c>
      <c r="M46" s="668">
        <f t="shared" ca="1" si="5"/>
        <v>0</v>
      </c>
      <c r="N46" s="668">
        <f t="shared" si="5"/>
        <v>0</v>
      </c>
      <c r="O46" s="668">
        <f t="shared" ca="1" si="5"/>
        <v>0</v>
      </c>
      <c r="P46" s="668">
        <f t="shared" si="5"/>
        <v>0</v>
      </c>
      <c r="Q46" s="668">
        <f t="shared" si="5"/>
        <v>0</v>
      </c>
      <c r="R46" s="668">
        <f ca="1">SUM(R39:R45)</f>
        <v>42126.495881594608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155.38779652346687</v>
      </c>
      <c r="D49" s="635">
        <f ca="1">transport!C58</f>
        <v>0</v>
      </c>
      <c r="E49" s="635">
        <f>transport!D58</f>
        <v>0</v>
      </c>
      <c r="F49" s="635">
        <f>transport!E58</f>
        <v>0</v>
      </c>
      <c r="G49" s="635">
        <f>transport!F58</f>
        <v>0</v>
      </c>
      <c r="H49" s="635">
        <f>transport!G58</f>
        <v>403.84603379827547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559.23383032174229</v>
      </c>
    </row>
    <row r="50" spans="1:18">
      <c r="A50" s="765" t="s">
        <v>296</v>
      </c>
      <c r="B50" s="775"/>
      <c r="C50" s="930">
        <f ca="1">transport!B18</f>
        <v>0.16880234897353666</v>
      </c>
      <c r="D50" s="930">
        <f>transport!C18</f>
        <v>0</v>
      </c>
      <c r="E50" s="930">
        <f>transport!D18</f>
        <v>0.47113736022112301</v>
      </c>
      <c r="F50" s="930">
        <f>transport!E18</f>
        <v>54.424380355520761</v>
      </c>
      <c r="G50" s="930">
        <f>transport!F18</f>
        <v>0</v>
      </c>
      <c r="H50" s="930">
        <f>transport!G18</f>
        <v>12381.895403943621</v>
      </c>
      <c r="I50" s="930">
        <f>transport!H18</f>
        <v>2002.6697011165854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14439.629425124922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155.55659887244042</v>
      </c>
      <c r="D52" s="668">
        <f t="shared" ref="D52:Q52" ca="1" si="6">SUM(D48:D51)</f>
        <v>0</v>
      </c>
      <c r="E52" s="668">
        <f t="shared" si="6"/>
        <v>0.47113736022112301</v>
      </c>
      <c r="F52" s="668">
        <f t="shared" si="6"/>
        <v>54.424380355520761</v>
      </c>
      <c r="G52" s="668">
        <f t="shared" si="6"/>
        <v>0</v>
      </c>
      <c r="H52" s="668">
        <f t="shared" si="6"/>
        <v>12785.741437741897</v>
      </c>
      <c r="I52" s="668">
        <f t="shared" si="6"/>
        <v>2002.6697011165854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14998.863255446664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960.36346071302341</v>
      </c>
      <c r="D54" s="930">
        <f ca="1">+landbouw!C12</f>
        <v>28781.180672268911</v>
      </c>
      <c r="E54" s="930">
        <f>+landbouw!D12</f>
        <v>0</v>
      </c>
      <c r="F54" s="930">
        <f>+landbouw!E12</f>
        <v>8.3523100734891109</v>
      </c>
      <c r="G54" s="930">
        <f>+landbouw!F12</f>
        <v>4085.011582095276</v>
      </c>
      <c r="H54" s="930">
        <f>+landbouw!G12</f>
        <v>0</v>
      </c>
      <c r="I54" s="930">
        <f>+landbouw!H12</f>
        <v>0</v>
      </c>
      <c r="J54" s="930">
        <f>+landbouw!I12</f>
        <v>0</v>
      </c>
      <c r="K54" s="930">
        <f>+landbouw!J12</f>
        <v>146.27187485067645</v>
      </c>
      <c r="L54" s="930">
        <f>+landbouw!K12</f>
        <v>0</v>
      </c>
      <c r="M54" s="930">
        <f>+landbouw!L12</f>
        <v>0</v>
      </c>
      <c r="N54" s="930">
        <f>+landbouw!M12</f>
        <v>0</v>
      </c>
      <c r="O54" s="930">
        <f>+landbouw!N12</f>
        <v>0</v>
      </c>
      <c r="P54" s="930">
        <f>+landbouw!O12</f>
        <v>0</v>
      </c>
      <c r="Q54" s="931">
        <f>+landbouw!P12</f>
        <v>0</v>
      </c>
      <c r="R54" s="667">
        <f ca="1">SUM(C54:Q54)</f>
        <v>33981.179900001371</v>
      </c>
    </row>
    <row r="55" spans="1:18" ht="15" thickBot="1">
      <c r="A55" s="765" t="s">
        <v>864</v>
      </c>
      <c r="B55" s="775"/>
      <c r="C55" s="930">
        <f ca="1">C25*'EF ele_warmte'!B12</f>
        <v>234.46618814857493</v>
      </c>
      <c r="D55" s="930"/>
      <c r="E55" s="930">
        <f>E25*EF_CO2_aardgas</f>
        <v>1737.8857900000003</v>
      </c>
      <c r="F55" s="930"/>
      <c r="G55" s="930"/>
      <c r="H55" s="930"/>
      <c r="I55" s="930"/>
      <c r="J55" s="930"/>
      <c r="K55" s="930"/>
      <c r="L55" s="930"/>
      <c r="M55" s="930"/>
      <c r="N55" s="930"/>
      <c r="O55" s="930"/>
      <c r="P55" s="930"/>
      <c r="Q55" s="931"/>
      <c r="R55" s="667">
        <f ca="1">SUM(C55:Q55)</f>
        <v>1972.3519781485752</v>
      </c>
    </row>
    <row r="56" spans="1:18" ht="15.75" thickBot="1">
      <c r="A56" s="763" t="s">
        <v>865</v>
      </c>
      <c r="B56" s="776"/>
      <c r="C56" s="668">
        <f ca="1">SUM(C54:C55)</f>
        <v>1194.8296488615983</v>
      </c>
      <c r="D56" s="668">
        <f t="shared" ref="D56:Q56" ca="1" si="7">SUM(D54:D55)</f>
        <v>28781.180672268911</v>
      </c>
      <c r="E56" s="668">
        <f t="shared" si="7"/>
        <v>1737.8857900000003</v>
      </c>
      <c r="F56" s="668">
        <f t="shared" si="7"/>
        <v>8.3523100734891109</v>
      </c>
      <c r="G56" s="668">
        <f t="shared" si="7"/>
        <v>4085.011582095276</v>
      </c>
      <c r="H56" s="668">
        <f t="shared" si="7"/>
        <v>0</v>
      </c>
      <c r="I56" s="668">
        <f t="shared" si="7"/>
        <v>0</v>
      </c>
      <c r="J56" s="668">
        <f t="shared" si="7"/>
        <v>0</v>
      </c>
      <c r="K56" s="668">
        <f t="shared" si="7"/>
        <v>146.27187485067645</v>
      </c>
      <c r="L56" s="668">
        <f t="shared" si="7"/>
        <v>0</v>
      </c>
      <c r="M56" s="668">
        <f t="shared" si="7"/>
        <v>0</v>
      </c>
      <c r="N56" s="668">
        <f t="shared" si="7"/>
        <v>0</v>
      </c>
      <c r="O56" s="668">
        <f t="shared" si="7"/>
        <v>0</v>
      </c>
      <c r="P56" s="668">
        <f t="shared" si="7"/>
        <v>0</v>
      </c>
      <c r="Q56" s="669">
        <f t="shared" si="7"/>
        <v>0</v>
      </c>
      <c r="R56" s="670">
        <f ca="1">SUM(R54:R55)</f>
        <v>35953.531878149945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16337.438341529385</v>
      </c>
      <c r="D61" s="676">
        <f t="shared" ref="D61:Q61" ca="1" si="8">D46+D52+D56</f>
        <v>35107.515126050421</v>
      </c>
      <c r="E61" s="676">
        <f t="shared" ca="1" si="8"/>
        <v>15781.212221388221</v>
      </c>
      <c r="F61" s="676">
        <f t="shared" si="8"/>
        <v>298.86156437091074</v>
      </c>
      <c r="G61" s="676">
        <f t="shared" ca="1" si="8"/>
        <v>10447.008705622666</v>
      </c>
      <c r="H61" s="676">
        <f t="shared" si="8"/>
        <v>12785.741437741897</v>
      </c>
      <c r="I61" s="676">
        <f t="shared" si="8"/>
        <v>2002.6697011165854</v>
      </c>
      <c r="J61" s="676">
        <f t="shared" si="8"/>
        <v>0</v>
      </c>
      <c r="K61" s="676">
        <f t="shared" si="8"/>
        <v>318.44391737113483</v>
      </c>
      <c r="L61" s="676">
        <f t="shared" si="8"/>
        <v>0</v>
      </c>
      <c r="M61" s="676">
        <f t="shared" ca="1" si="8"/>
        <v>0</v>
      </c>
      <c r="N61" s="676">
        <f t="shared" si="8"/>
        <v>0</v>
      </c>
      <c r="O61" s="676">
        <f t="shared" ca="1" si="8"/>
        <v>0</v>
      </c>
      <c r="P61" s="676">
        <f t="shared" si="8"/>
        <v>0</v>
      </c>
      <c r="Q61" s="676">
        <f t="shared" si="8"/>
        <v>0</v>
      </c>
      <c r="R61" s="676">
        <f ca="1">R46+R52+R56</f>
        <v>93078.891015191213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0.23520189969080782</v>
      </c>
      <c r="D63" s="720">
        <f t="shared" ca="1" si="9"/>
        <v>0.23764705882352941</v>
      </c>
      <c r="E63" s="932">
        <f t="shared" ca="1" si="9"/>
        <v>0.20200000000000001</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1075.058237694931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103410.75</v>
      </c>
      <c r="D76" s="942">
        <f>'lokale energieproductie'!C8</f>
        <v>121659.70588235297</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24575.260588235302</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1075.058237694931</v>
      </c>
      <c r="C78" s="691">
        <f>SUM(C72:C77)</f>
        <v>103410.75</v>
      </c>
      <c r="D78" s="692">
        <f t="shared" ref="D78:H78" si="10">SUM(D76:D77)</f>
        <v>121659.70588235297</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24575.260588235302</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147729.64285714287</v>
      </c>
      <c r="D87" s="713">
        <f>'lokale energieproductie'!C17</f>
        <v>173799.57983193282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35107.515126050428</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147729.64285714287</v>
      </c>
      <c r="D90" s="691">
        <f t="shared" ref="D90:H90" si="12">SUM(D87:D89)</f>
        <v>173799.57983193282</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35107.515126050428</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23437.28192177595</v>
      </c>
      <c r="C4" s="445">
        <f>huishoudens!C8</f>
        <v>0</v>
      </c>
      <c r="D4" s="445">
        <f>huishoudens!D8</f>
        <v>67567.844937999995</v>
      </c>
      <c r="E4" s="445">
        <f>huishoudens!E8</f>
        <v>563.29131100915458</v>
      </c>
      <c r="F4" s="445">
        <f>huishoudens!F8</f>
        <v>19227.608471396212</v>
      </c>
      <c r="G4" s="445">
        <f>huishoudens!G8</f>
        <v>0</v>
      </c>
      <c r="H4" s="445">
        <f>huishoudens!H8</f>
        <v>0</v>
      </c>
      <c r="I4" s="445">
        <f>huishoudens!I8</f>
        <v>0</v>
      </c>
      <c r="J4" s="445">
        <f>huishoudens!J8</f>
        <v>432.95699526652572</v>
      </c>
      <c r="K4" s="445">
        <f>huishoudens!K8</f>
        <v>0</v>
      </c>
      <c r="L4" s="445">
        <f>huishoudens!L8</f>
        <v>0</v>
      </c>
      <c r="M4" s="445">
        <f>huishoudens!M8</f>
        <v>0</v>
      </c>
      <c r="N4" s="445">
        <f>huishoudens!N8</f>
        <v>5684.4908643382914</v>
      </c>
      <c r="O4" s="445">
        <f>huishoudens!O8</f>
        <v>50.026666666666671</v>
      </c>
      <c r="P4" s="446">
        <f>huishoudens!P8</f>
        <v>190.66666666666669</v>
      </c>
      <c r="Q4" s="447">
        <f>SUM(B4:P4)</f>
        <v>117154.16783511949</v>
      </c>
    </row>
    <row r="5" spans="1:17">
      <c r="A5" s="444" t="s">
        <v>149</v>
      </c>
      <c r="B5" s="445">
        <f ca="1">tertiair!B16</f>
        <v>29677.294000000002</v>
      </c>
      <c r="C5" s="445">
        <f ca="1">tertiair!C16</f>
        <v>26620.714285714286</v>
      </c>
      <c r="D5" s="445">
        <f ca="1">tertiair!D16</f>
        <v>0</v>
      </c>
      <c r="E5" s="445">
        <f>tertiair!E16</f>
        <v>246.33351146320274</v>
      </c>
      <c r="F5" s="445">
        <f ca="1">tertiair!F16</f>
        <v>2576.5970535863316</v>
      </c>
      <c r="G5" s="445">
        <f>tertiair!G16</f>
        <v>0</v>
      </c>
      <c r="H5" s="445">
        <f>tertiair!H16</f>
        <v>0</v>
      </c>
      <c r="I5" s="445">
        <f>tertiair!I16</f>
        <v>0</v>
      </c>
      <c r="J5" s="445">
        <f>tertiair!J16</f>
        <v>0</v>
      </c>
      <c r="K5" s="445">
        <f>tertiair!K16</f>
        <v>0</v>
      </c>
      <c r="L5" s="445">
        <f ca="1">tertiair!L16</f>
        <v>0</v>
      </c>
      <c r="M5" s="445">
        <f>tertiair!M16</f>
        <v>0</v>
      </c>
      <c r="N5" s="445">
        <f ca="1">tertiair!N16</f>
        <v>198.70985827722802</v>
      </c>
      <c r="O5" s="445">
        <f>tertiair!O16</f>
        <v>3.1266666666666669</v>
      </c>
      <c r="P5" s="446">
        <f>tertiair!P16</f>
        <v>0</v>
      </c>
      <c r="Q5" s="444">
        <f t="shared" ref="Q5:Q14" ca="1" si="0">SUM(B5:P5)</f>
        <v>59322.775375707715</v>
      </c>
    </row>
    <row r="6" spans="1:17">
      <c r="A6" s="444" t="s">
        <v>187</v>
      </c>
      <c r="B6" s="445">
        <f>'openbare verlichting'!B8</f>
        <v>778.38599999999997</v>
      </c>
      <c r="C6" s="445"/>
      <c r="D6" s="445"/>
      <c r="E6" s="445"/>
      <c r="F6" s="445"/>
      <c r="G6" s="445"/>
      <c r="H6" s="445"/>
      <c r="I6" s="445"/>
      <c r="J6" s="445"/>
      <c r="K6" s="445"/>
      <c r="L6" s="445"/>
      <c r="M6" s="445"/>
      <c r="N6" s="445"/>
      <c r="O6" s="445"/>
      <c r="P6" s="446"/>
      <c r="Q6" s="444">
        <f t="shared" si="0"/>
        <v>778.38599999999997</v>
      </c>
    </row>
    <row r="7" spans="1:17">
      <c r="A7" s="444" t="s">
        <v>105</v>
      </c>
      <c r="B7" s="445">
        <f>landbouw!B8</f>
        <v>4083.145</v>
      </c>
      <c r="C7" s="445">
        <f>landbouw!C8</f>
        <v>121108.92857142858</v>
      </c>
      <c r="D7" s="445">
        <f>landbouw!D8</f>
        <v>0</v>
      </c>
      <c r="E7" s="445">
        <f>landbouw!E8</f>
        <v>36.794317504357316</v>
      </c>
      <c r="F7" s="445">
        <f>landbouw!F8</f>
        <v>15299.668846798786</v>
      </c>
      <c r="G7" s="445">
        <f>landbouw!G8</f>
        <v>0</v>
      </c>
      <c r="H7" s="445">
        <f>landbouw!H8</f>
        <v>0</v>
      </c>
      <c r="I7" s="445">
        <f>landbouw!I8</f>
        <v>0</v>
      </c>
      <c r="J7" s="445">
        <f>landbouw!J8</f>
        <v>413.19738658383181</v>
      </c>
      <c r="K7" s="445">
        <f>landbouw!K8</f>
        <v>0</v>
      </c>
      <c r="L7" s="445">
        <f>landbouw!L8</f>
        <v>0</v>
      </c>
      <c r="M7" s="445">
        <f>landbouw!M8</f>
        <v>0</v>
      </c>
      <c r="N7" s="445">
        <f>landbouw!N8</f>
        <v>0</v>
      </c>
      <c r="O7" s="445">
        <f>landbouw!O8</f>
        <v>0</v>
      </c>
      <c r="P7" s="446">
        <f>landbouw!P8</f>
        <v>0</v>
      </c>
      <c r="Q7" s="444">
        <f t="shared" si="0"/>
        <v>140941.73412231557</v>
      </c>
    </row>
    <row r="8" spans="1:17">
      <c r="A8" s="444" t="s">
        <v>613</v>
      </c>
      <c r="B8" s="445">
        <f>industrie!B18</f>
        <v>9826.9830000000002</v>
      </c>
      <c r="C8" s="445">
        <f>industrie!C18</f>
        <v>0</v>
      </c>
      <c r="D8" s="445">
        <f>industrie!D18</f>
        <v>1951.2406759999999</v>
      </c>
      <c r="E8" s="445">
        <f>industrie!E18</f>
        <v>230.39664863733813</v>
      </c>
      <c r="F8" s="445">
        <f>industrie!F18</f>
        <v>2023.4990575170402</v>
      </c>
      <c r="G8" s="445">
        <f>industrie!G18</f>
        <v>0</v>
      </c>
      <c r="H8" s="445">
        <f>industrie!H18</f>
        <v>0</v>
      </c>
      <c r="I8" s="445">
        <f>industrie!I18</f>
        <v>0</v>
      </c>
      <c r="J8" s="445">
        <f>industrie!J18</f>
        <v>53.404706768667459</v>
      </c>
      <c r="K8" s="445">
        <f>industrie!K18</f>
        <v>0</v>
      </c>
      <c r="L8" s="445">
        <f>industrie!L18</f>
        <v>0</v>
      </c>
      <c r="M8" s="445">
        <f>industrie!M18</f>
        <v>0</v>
      </c>
      <c r="N8" s="445">
        <f>industrie!N18</f>
        <v>41.662847140353456</v>
      </c>
      <c r="O8" s="445">
        <f>industrie!O18</f>
        <v>0</v>
      </c>
      <c r="P8" s="446">
        <f>industrie!P18</f>
        <v>0</v>
      </c>
      <c r="Q8" s="444">
        <f t="shared" si="0"/>
        <v>14127.186936063397</v>
      </c>
    </row>
    <row r="9" spans="1:17" s="450" customFormat="1">
      <c r="A9" s="448" t="s">
        <v>555</v>
      </c>
      <c r="B9" s="449">
        <f>transport!B14</f>
        <v>0.71769126522975024</v>
      </c>
      <c r="C9" s="449">
        <f>transport!C14</f>
        <v>0</v>
      </c>
      <c r="D9" s="449">
        <f>transport!D14</f>
        <v>2.3323631694114999</v>
      </c>
      <c r="E9" s="449">
        <f>transport!E14</f>
        <v>239.75497953973903</v>
      </c>
      <c r="F9" s="449">
        <f>transport!F14</f>
        <v>0</v>
      </c>
      <c r="G9" s="449">
        <f>transport!G14</f>
        <v>46374.140089676483</v>
      </c>
      <c r="H9" s="449">
        <f>transport!H14</f>
        <v>8042.8502052874919</v>
      </c>
      <c r="I9" s="449">
        <f>transport!I14</f>
        <v>0</v>
      </c>
      <c r="J9" s="449">
        <f>transport!J14</f>
        <v>0</v>
      </c>
      <c r="K9" s="449">
        <f>transport!K14</f>
        <v>0</v>
      </c>
      <c r="L9" s="449">
        <f>transport!L14</f>
        <v>0</v>
      </c>
      <c r="M9" s="449">
        <f>transport!M14</f>
        <v>2367.9324730319081</v>
      </c>
      <c r="N9" s="449">
        <f>transport!N14</f>
        <v>0</v>
      </c>
      <c r="O9" s="449">
        <f>transport!O14</f>
        <v>0</v>
      </c>
      <c r="P9" s="449">
        <f>transport!P14</f>
        <v>0</v>
      </c>
      <c r="Q9" s="448">
        <f>SUM(B9:P9)</f>
        <v>57027.727801970257</v>
      </c>
    </row>
    <row r="10" spans="1:17">
      <c r="A10" s="444" t="s">
        <v>545</v>
      </c>
      <c r="B10" s="445">
        <f>transport!B54</f>
        <v>660.65706411273413</v>
      </c>
      <c r="C10" s="445">
        <f>transport!C54</f>
        <v>0</v>
      </c>
      <c r="D10" s="445">
        <f>transport!D54</f>
        <v>0</v>
      </c>
      <c r="E10" s="445">
        <f>transport!E54</f>
        <v>0</v>
      </c>
      <c r="F10" s="445">
        <f>transport!F54</f>
        <v>0</v>
      </c>
      <c r="G10" s="445">
        <f>transport!G54</f>
        <v>1512.5319617912937</v>
      </c>
      <c r="H10" s="445">
        <f>transport!H54</f>
        <v>0</v>
      </c>
      <c r="I10" s="445">
        <f>transport!I54</f>
        <v>0</v>
      </c>
      <c r="J10" s="445">
        <f>transport!J54</f>
        <v>0</v>
      </c>
      <c r="K10" s="445">
        <f>transport!K54</f>
        <v>0</v>
      </c>
      <c r="L10" s="445">
        <f>transport!L54</f>
        <v>0</v>
      </c>
      <c r="M10" s="445">
        <f>transport!M54</f>
        <v>64.760808591975547</v>
      </c>
      <c r="N10" s="445">
        <f>transport!N54</f>
        <v>0</v>
      </c>
      <c r="O10" s="445">
        <f>transport!O54</f>
        <v>0</v>
      </c>
      <c r="P10" s="446">
        <f>transport!P54</f>
        <v>0</v>
      </c>
      <c r="Q10" s="444">
        <f t="shared" si="0"/>
        <v>2237.9498344960034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996.87199999999996</v>
      </c>
      <c r="C14" s="452"/>
      <c r="D14" s="452">
        <f>'SEAP template'!E25</f>
        <v>8603.3950000000004</v>
      </c>
      <c r="E14" s="452"/>
      <c r="F14" s="452"/>
      <c r="G14" s="452"/>
      <c r="H14" s="452"/>
      <c r="I14" s="452"/>
      <c r="J14" s="452"/>
      <c r="K14" s="452"/>
      <c r="L14" s="452"/>
      <c r="M14" s="452"/>
      <c r="N14" s="452"/>
      <c r="O14" s="452"/>
      <c r="P14" s="453"/>
      <c r="Q14" s="444">
        <f t="shared" si="0"/>
        <v>9600.2669999999998</v>
      </c>
    </row>
    <row r="15" spans="1:17" s="457" customFormat="1">
      <c r="A15" s="454" t="s">
        <v>549</v>
      </c>
      <c r="B15" s="455">
        <f ca="1">SUM(B4:B14)</f>
        <v>69461.336677153915</v>
      </c>
      <c r="C15" s="455">
        <f t="shared" ref="C15:Q15" ca="1" si="1">SUM(C4:C14)</f>
        <v>147729.64285714287</v>
      </c>
      <c r="D15" s="455">
        <f t="shared" ca="1" si="1"/>
        <v>78124.812977169408</v>
      </c>
      <c r="E15" s="455">
        <f t="shared" si="1"/>
        <v>1316.5707681537917</v>
      </c>
      <c r="F15" s="455">
        <f t="shared" ca="1" si="1"/>
        <v>39127.373429298364</v>
      </c>
      <c r="G15" s="455">
        <f t="shared" si="1"/>
        <v>47886.672051467773</v>
      </c>
      <c r="H15" s="455">
        <f t="shared" si="1"/>
        <v>8042.8502052874919</v>
      </c>
      <c r="I15" s="455">
        <f t="shared" si="1"/>
        <v>0</v>
      </c>
      <c r="J15" s="455">
        <f t="shared" si="1"/>
        <v>899.55908861902503</v>
      </c>
      <c r="K15" s="455">
        <f t="shared" si="1"/>
        <v>0</v>
      </c>
      <c r="L15" s="455">
        <f t="shared" ca="1" si="1"/>
        <v>0</v>
      </c>
      <c r="M15" s="455">
        <f t="shared" si="1"/>
        <v>2432.6932816238836</v>
      </c>
      <c r="N15" s="455">
        <f t="shared" ca="1" si="1"/>
        <v>5924.863569755873</v>
      </c>
      <c r="O15" s="455">
        <f t="shared" si="1"/>
        <v>53.153333333333336</v>
      </c>
      <c r="P15" s="455">
        <f t="shared" si="1"/>
        <v>190.66666666666669</v>
      </c>
      <c r="Q15" s="455">
        <f t="shared" ca="1" si="1"/>
        <v>401190.19490567246</v>
      </c>
    </row>
    <row r="17" spans="1:17">
      <c r="A17" s="458" t="s">
        <v>550</v>
      </c>
      <c r="B17" s="725">
        <f ca="1">huishoudens!B10</f>
        <v>0.23520189969080779</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5512.4932315907299</v>
      </c>
      <c r="C22" s="445">
        <f t="shared" ref="C22:C32" ca="1" si="3">C4*$C$17</f>
        <v>0</v>
      </c>
      <c r="D22" s="445">
        <f t="shared" ref="D22:D32" si="4">D4*$D$17</f>
        <v>13648.704677476</v>
      </c>
      <c r="E22" s="445">
        <f t="shared" ref="E22:E32" si="5">E4*$E$17</f>
        <v>127.86712759907809</v>
      </c>
      <c r="F22" s="445">
        <f t="shared" ref="F22:F32" si="6">F4*$F$17</f>
        <v>5133.7714618627888</v>
      </c>
      <c r="G22" s="445">
        <f t="shared" ref="G22:G32" si="7">G4*$G$17</f>
        <v>0</v>
      </c>
      <c r="H22" s="445">
        <f t="shared" ref="H22:H32" si="8">H4*$H$17</f>
        <v>0</v>
      </c>
      <c r="I22" s="445">
        <f t="shared" ref="I22:I32" si="9">I4*$I$17</f>
        <v>0</v>
      </c>
      <c r="J22" s="445">
        <f t="shared" ref="J22:J32" si="10">J4*$J$17</f>
        <v>153.2667763243501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24576.103274852947</v>
      </c>
    </row>
    <row r="23" spans="1:17">
      <c r="A23" s="444" t="s">
        <v>149</v>
      </c>
      <c r="B23" s="445">
        <f t="shared" ca="1" si="2"/>
        <v>6980.1559264826119</v>
      </c>
      <c r="C23" s="445">
        <f t="shared" ca="1" si="3"/>
        <v>6326.3344537815137</v>
      </c>
      <c r="D23" s="445">
        <f t="shared" ca="1" si="4"/>
        <v>0</v>
      </c>
      <c r="E23" s="445">
        <f t="shared" si="5"/>
        <v>55.917707102147027</v>
      </c>
      <c r="F23" s="445">
        <f t="shared" ca="1" si="6"/>
        <v>687.95141330755064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14050.359500673823</v>
      </c>
    </row>
    <row r="24" spans="1:17">
      <c r="A24" s="444" t="s">
        <v>187</v>
      </c>
      <c r="B24" s="445">
        <f t="shared" ca="1" si="2"/>
        <v>183.07786589272911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183.07786589272911</v>
      </c>
    </row>
    <row r="25" spans="1:17">
      <c r="A25" s="444" t="s">
        <v>105</v>
      </c>
      <c r="B25" s="445">
        <f t="shared" ca="1" si="2"/>
        <v>960.36346071302341</v>
      </c>
      <c r="C25" s="445">
        <f t="shared" ca="1" si="3"/>
        <v>28781.180672268911</v>
      </c>
      <c r="D25" s="445">
        <f t="shared" si="4"/>
        <v>0</v>
      </c>
      <c r="E25" s="445">
        <f t="shared" si="5"/>
        <v>8.3523100734891109</v>
      </c>
      <c r="F25" s="445">
        <f t="shared" si="6"/>
        <v>4085.011582095276</v>
      </c>
      <c r="G25" s="445">
        <f t="shared" si="7"/>
        <v>0</v>
      </c>
      <c r="H25" s="445">
        <f t="shared" si="8"/>
        <v>0</v>
      </c>
      <c r="I25" s="445">
        <f t="shared" si="9"/>
        <v>0</v>
      </c>
      <c r="J25" s="445">
        <f t="shared" si="10"/>
        <v>146.27187485067645</v>
      </c>
      <c r="K25" s="445">
        <f t="shared" si="11"/>
        <v>0</v>
      </c>
      <c r="L25" s="445">
        <f t="shared" si="12"/>
        <v>0</v>
      </c>
      <c r="M25" s="445">
        <f t="shared" si="13"/>
        <v>0</v>
      </c>
      <c r="N25" s="445">
        <f t="shared" si="14"/>
        <v>0</v>
      </c>
      <c r="O25" s="445">
        <f t="shared" si="15"/>
        <v>0</v>
      </c>
      <c r="P25" s="446">
        <f t="shared" si="16"/>
        <v>0</v>
      </c>
      <c r="Q25" s="444">
        <f t="shared" ca="1" si="17"/>
        <v>33981.179900001371</v>
      </c>
    </row>
    <row r="26" spans="1:17">
      <c r="A26" s="444" t="s">
        <v>613</v>
      </c>
      <c r="B26" s="445">
        <f t="shared" ca="1" si="2"/>
        <v>2311.3250698292736</v>
      </c>
      <c r="C26" s="445">
        <f t="shared" ca="1" si="3"/>
        <v>0</v>
      </c>
      <c r="D26" s="445">
        <f t="shared" si="4"/>
        <v>394.15061655200003</v>
      </c>
      <c r="E26" s="445">
        <f t="shared" si="5"/>
        <v>52.300039240675758</v>
      </c>
      <c r="F26" s="445">
        <f t="shared" si="6"/>
        <v>540.27424835704983</v>
      </c>
      <c r="G26" s="445">
        <f t="shared" si="7"/>
        <v>0</v>
      </c>
      <c r="H26" s="445">
        <f t="shared" si="8"/>
        <v>0</v>
      </c>
      <c r="I26" s="445">
        <f t="shared" si="9"/>
        <v>0</v>
      </c>
      <c r="J26" s="445">
        <f t="shared" si="10"/>
        <v>18.905266196108279</v>
      </c>
      <c r="K26" s="445">
        <f t="shared" si="11"/>
        <v>0</v>
      </c>
      <c r="L26" s="445">
        <f t="shared" si="12"/>
        <v>0</v>
      </c>
      <c r="M26" s="445">
        <f t="shared" si="13"/>
        <v>0</v>
      </c>
      <c r="N26" s="445">
        <f t="shared" si="14"/>
        <v>0</v>
      </c>
      <c r="O26" s="445">
        <f t="shared" si="15"/>
        <v>0</v>
      </c>
      <c r="P26" s="446">
        <f t="shared" si="16"/>
        <v>0</v>
      </c>
      <c r="Q26" s="444">
        <f t="shared" ca="1" si="17"/>
        <v>3316.9552401751075</v>
      </c>
    </row>
    <row r="27" spans="1:17" s="450" customFormat="1">
      <c r="A27" s="448" t="s">
        <v>555</v>
      </c>
      <c r="B27" s="719">
        <f t="shared" ca="1" si="2"/>
        <v>0.16880234897353666</v>
      </c>
      <c r="C27" s="449">
        <f t="shared" ca="1" si="3"/>
        <v>0</v>
      </c>
      <c r="D27" s="449">
        <f t="shared" si="4"/>
        <v>0.47113736022112301</v>
      </c>
      <c r="E27" s="449">
        <f t="shared" si="5"/>
        <v>54.424380355520761</v>
      </c>
      <c r="F27" s="449">
        <f t="shared" si="6"/>
        <v>0</v>
      </c>
      <c r="G27" s="449">
        <f t="shared" si="7"/>
        <v>12381.895403943621</v>
      </c>
      <c r="H27" s="449">
        <f t="shared" si="8"/>
        <v>2002.6697011165854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14439.629425124922</v>
      </c>
    </row>
    <row r="28" spans="1:17">
      <c r="A28" s="444" t="s">
        <v>545</v>
      </c>
      <c r="B28" s="445">
        <f t="shared" ca="1" si="2"/>
        <v>155.38779652346687</v>
      </c>
      <c r="C28" s="445">
        <f t="shared" ca="1" si="3"/>
        <v>0</v>
      </c>
      <c r="D28" s="445">
        <f t="shared" si="4"/>
        <v>0</v>
      </c>
      <c r="E28" s="445">
        <f t="shared" si="5"/>
        <v>0</v>
      </c>
      <c r="F28" s="445">
        <f t="shared" si="6"/>
        <v>0</v>
      </c>
      <c r="G28" s="445">
        <f t="shared" si="7"/>
        <v>403.84603379827547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559.23383032174229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234.46618814857493</v>
      </c>
      <c r="C32" s="445">
        <f t="shared" ca="1" si="3"/>
        <v>0</v>
      </c>
      <c r="D32" s="445">
        <f t="shared" si="4"/>
        <v>1737.8857900000003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1972.3519781485752</v>
      </c>
    </row>
    <row r="33" spans="1:17" s="457" customFormat="1">
      <c r="A33" s="454" t="s">
        <v>549</v>
      </c>
      <c r="B33" s="455">
        <f ca="1">SUM(B22:B32)</f>
        <v>16337.438341529383</v>
      </c>
      <c r="C33" s="455">
        <f t="shared" ref="C33:Q33" ca="1" si="19">SUM(C22:C32)</f>
        <v>35107.515126050421</v>
      </c>
      <c r="D33" s="455">
        <f t="shared" ca="1" si="19"/>
        <v>15781.212221388221</v>
      </c>
      <c r="E33" s="455">
        <f t="shared" si="19"/>
        <v>298.8615643709108</v>
      </c>
      <c r="F33" s="455">
        <f t="shared" ca="1" si="19"/>
        <v>10447.008705622664</v>
      </c>
      <c r="G33" s="455">
        <f t="shared" si="19"/>
        <v>12785.741437741897</v>
      </c>
      <c r="H33" s="455">
        <f t="shared" si="19"/>
        <v>2002.6697011165854</v>
      </c>
      <c r="I33" s="455">
        <f t="shared" si="19"/>
        <v>0</v>
      </c>
      <c r="J33" s="455">
        <f t="shared" si="19"/>
        <v>318.44391737113483</v>
      </c>
      <c r="K33" s="455">
        <f t="shared" si="19"/>
        <v>0</v>
      </c>
      <c r="L33" s="455">
        <f t="shared" ca="1" si="19"/>
        <v>0</v>
      </c>
      <c r="M33" s="455">
        <f t="shared" si="19"/>
        <v>0</v>
      </c>
      <c r="N33" s="455">
        <f t="shared" ca="1" si="19"/>
        <v>0</v>
      </c>
      <c r="O33" s="455">
        <f t="shared" si="19"/>
        <v>0</v>
      </c>
      <c r="P33" s="455">
        <f t="shared" si="19"/>
        <v>0</v>
      </c>
      <c r="Q33" s="455">
        <f t="shared" ca="1" si="19"/>
        <v>93078.891015191228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1075.058237694931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103410.75</v>
      </c>
      <c r="D8" s="963">
        <f>'SEAP template'!D76</f>
        <v>121659.70588235297</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24575.260588235302</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1075.058237694931</v>
      </c>
      <c r="C10" s="967">
        <f>SUM(C4:C9)</f>
        <v>103410.75</v>
      </c>
      <c r="D10" s="967">
        <f t="shared" ref="D10:H10" si="0">SUM(D8:D9)</f>
        <v>121659.70588235297</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24575.260588235302</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0.23520189969080779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147729.64285714287</v>
      </c>
      <c r="D17" s="964">
        <f>'SEAP template'!D87</f>
        <v>173799.57983193282</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35107.515126050428</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147729.64285714287</v>
      </c>
      <c r="D20" s="967">
        <f t="shared" ref="D20:H20" si="2">SUM(D17:D19)</f>
        <v>173799.57983193282</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35107.515126050428</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0.23520189969080779</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2022-07-26T12:42:04Z</dcterms:modified>
</cp:coreProperties>
</file>