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5C35A9D-42F2-4587-B0A6-F26C41062AA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<sst xmlns="http://schemas.openxmlformats.org/spreadsheetml/2006/main" count="2387" uniqueCount="866">
  <si>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</si>
  <si>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</si>
  <si>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</si>
  <si>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</si>
  <si>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</si>
  <si>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</si>
  <si>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</si>
  <si>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</si>
  <si>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</si>
  <si>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</si>
  <si>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</si>
  <si>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</si>
  <si>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</si>
  <si>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</si>
  <si>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</si>
  <si>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</si>
  <si>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</si>
  <si>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</si>
  <si>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</si>
  <si>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</si>
  <si>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</si>
  <si>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</si>
  <si>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</si>
  <si>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</si>
  <si>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</si>
  <si>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</si>
  <si>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</si>
  <si>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</si>
  <si>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</si>
  <si>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</si>
  <si>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</si>
  <si>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</si>
  <si>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</si>
  <si>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</si>
  <si>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</si>
  <si>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</si>
  <si>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</si>
  <si>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</si>
  <si>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</si>
  <si>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</si>
  <si>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</si>
  <si>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</si>
  <si>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</si>
  <si>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</si>
  <si>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</si>
  <si>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</si>
  <si>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</si>
  <si>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</si>
  <si>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</si>
  <si>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</si>
  <si>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</si>
  <si>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</si>
  <si>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</si>
  <si>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</si>
  <si>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</si>
  <si>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</si>
  <si>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</si>
  <si>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</si>
  <si>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</si>
  <si>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</si>
  <si>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</si>
  <si>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</si>
  <si>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</si>
  <si>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</si>
  <si>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</si>
  <si>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</si>
  <si>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</si>
  <si>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</si>
  <si>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</si>
  <si>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</si>
  <si>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</si>
  <si>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</si>
  <si>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</si>
  <si>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</si>
  <si>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</si>
  <si>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</si>
  <si>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</si>
  <si>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</si>
  <si>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</si>
  <si>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</si>
  <si>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</si>
  <si>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</si>
  <si>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</si>
  <si>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</si>
  <si>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</si>
  <si>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</si>
  <si>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</si>
  <si>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</si>
  <si>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</si>
  <si>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</si>
  <si>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</si>
  <si>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</si>
  <si>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</si>
  <si>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</si>
  <si>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</si>
  <si>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</si>
  <si>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</si>
  <si>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</si>
  <si>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</si>
  <si>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</si>
  <si>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</si>
  <si>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</si>
  <si>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</si>
  <si>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</si>
  <si>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</si>
  <si>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</si>
  <si>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</si>
  <si>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</si>
  <si>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</si>
  <si>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</si>
  <si>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</si>
  <si>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</si>
  <si>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</si>
  <si>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</si>
  <si>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</si>
  <si>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</si>
  <si>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</si>
  <si>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</si>
  <si>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</si>
  <si>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</si>
  <si>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</si>
  <si>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</si>
  <si>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</si>
  <si>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</si>
  <si>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</si>
  <si>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</si>
  <si>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</si>
  <si>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</si>
  <si>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</si>
  <si>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</si>
  <si>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</si>
  <si>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</si>
  <si>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</si>
  <si>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</si>
  <si>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</si>
  <si>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</si>
  <si>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</si>
  <si>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</si>
  <si>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</si>
  <si>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</si>
  <si>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</si>
  <si>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</si>
  <si>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</si>
  <si>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</si>
  <si>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</si>
  <si>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</si>
  <si>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</si>
  <si>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</si>
  <si>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</si>
  <si>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</si>
  <si>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</si>
  <si>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</si>
  <si>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</si>
  <si>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</si>
  <si>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</si>
  <si>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</si>
  <si>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</si>
  <si>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</si>
  <si>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</si>
  <si>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</si>
  <si>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</si>
  <si>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</si>
  <si>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</si>
  <si>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</si>
  <si>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</si>
  <si>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</si>
  <si>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</si>
  <si>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</si>
  <si>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</si>
  <si>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</si>
  <si>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</si>
  <si>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</si>
  <si>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</si>
  <si>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</si>
  <si>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</si>
  <si>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</si>
  <si>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</si>
  <si>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</si>
  <si>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</si>
  <si>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</si>
  <si>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</si>
  <si>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</si>
  <si>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</si>
  <si>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</si>
  <si>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</si>
  <si>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</si>
  <si>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</si>
  <si>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</si>
  <si>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</si>
  <si>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</si>
  <si>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</si>
  <si>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</si>
  <si>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</si>
  <si>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</si>
  <si>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</si>
  <si>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</si>
  <si>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</si>
  <si>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</si>
  <si>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</si>
  <si>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</si>
  <si>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</si>
  <si>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</si>
  <si>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</si>
  <si>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</si>
  <si>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</si>
  <si>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</si>
  <si>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</si>
  <si>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</si>
  <si>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</si>
  <si>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</si>
  <si>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</si>
  <si>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</si>
  <si>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</si>
  <si>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</si>
  <si>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</si>
  <si>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</si>
  <si>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</si>
  <si>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</si>
  <si>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</si>
  <si>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</si>
  <si>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</si>
  <si>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</si>
  <si>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</si>
  <si>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</si>
  <si>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</si>
  <si>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</si>
  <si>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</si>
  <si>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</si>
  <si>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</si>
  <si>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</si>
  <si>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</si>
  <si>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</si>
  <si>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</si>
  <si>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</si>
  <si>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</si>
  <si>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</si>
  <si>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</si>
  <si>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</si>
  <si>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</si>
  <si>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</si>
  <si>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</si>
  <si>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</si>
  <si>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</si>
  <si>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</si>
  <si>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</si>
  <si>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</si>
  <si>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</si>
  <si>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</si>
  <si>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</si>
  <si>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</si>
  <si>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</si>
  <si>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</si>
  <si>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</si>
  <si>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</si>
  <si>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</si>
  <si>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</si>
  <si>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</si>
  <si>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</si>
  <si>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</si>
  <si>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</si>
  <si>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</si>
  <si>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</si>
  <si>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</si>
  <si>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</si>
  <si>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</si>
  <si>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</si>
  <si>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</si>
  <si>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</si>
  <si>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</si>
  <si>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</si>
  <si>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</si>
  <si>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</si>
  <si>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</si>
  <si>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</si>
  <si>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</si>
  <si>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</si>
  <si>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</si>
  <si>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</si>
  <si>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</si>
  <si>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</si>
  <si>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</si>
  <si>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</si>
  <si>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</si>
  <si>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</si>
  <si>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</si>
  <si>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</si>
  <si>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</si>
  <si>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</si>
  <si>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</si>
  <si>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</si>
  <si>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</si>
  <si>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</si>
  <si>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</si>
  <si>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</si>
  <si>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</si>
  <si>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</si>
  <si>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</si>
  <si>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</si>
  <si>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</si>
  <si>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</si>
  <si>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</si>
  <si>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</si>
  <si>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</si>
  <si>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</si>
  <si>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</si>
  <si>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</si>
  <si>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</si>
  <si>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</si>
  <si>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</si>
  <si>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</si>
  <si>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</si>
  <si>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</si>
  <si>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</si>
  <si>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</si>
  <si>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</si>
  <si>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</si>
  <si>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</si>
  <si>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</si>
  <si>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</si>
  <si>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</si>
  <si>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</si>
  <si>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</si>
  <si>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</si>
  <si>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</si>
  <si>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</si>
  <si>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</si>
  <si>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</si>
  <si>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</si>
  <si>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</si>
  <si>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</si>
  <si>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</si>
  <si>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</si>
  <si>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</si>
  <si>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</si>
  <si>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</si>
  <si>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</si>
  <si>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</si>
  <si>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</si>
  <si>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</si>
  <si>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</si>
  <si>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</si>
  <si>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</si>
  <si>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</si>
  <si>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</si>
  <si>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</si>
  <si>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</si>
  <si>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</si>
  <si>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</si>
  <si>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</si>
  <si>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</si>
  <si>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</si>
  <si>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</si>
  <si>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</si>
  <si>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</si>
  <si>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</si>
  <si>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</si>
  <si>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</si>
  <si>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</si>
  <si>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</si>
  <si>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</si>
  <si>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</si>
  <si>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</si>
  <si>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</si>
  <si>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</si>
  <si>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</si>
  <si>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</si>
  <si>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</si>
  <si>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</si>
  <si>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</si>
  <si>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</si>
  <si>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</si>
  <si>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</si>
  <si>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</si>
  <si>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</si>
  <si>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</si>
  <si>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</si>
  <si>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</si>
  <si>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</si>
  <si>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</si>
  <si>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</si>
  <si>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</si>
  <si>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</si>
  <si>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</si>
  <si>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</si>
  <si>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</si>
  <si>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</si>
  <si>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</si>
  <si>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</si>
  <si>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</si>
  <si>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</si>
  <si>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</si>
  <si>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</si>
  <si>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</si>
  <si>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</si>
  <si>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</si>
  <si>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</si>
  <si>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</si>
  <si>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</si>
  <si>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</si>
  <si>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</si>
  <si>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</si>
  <si>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</si>
  <si>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</si>
  <si>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</si>
  <si>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</si>
  <si>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</si>
  <si>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</si>
  <si>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</si>
  <si>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</si>
  <si>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</si>
  <si>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</si>
  <si>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</si>
  <si>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</si>
  <si>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</si>
  <si>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</si>
  <si>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</si>
  <si>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</si>
  <si>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</si>
  <si>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</si>
  <si>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</si>
  <si>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</si>
  <si>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</si>
  <si>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</si>
  <si>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</si>
  <si>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</si>
  <si>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</si>
  <si>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</si>
  <si>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</si>
  <si>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</si>
  <si>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</si>
  <si>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</si>
  <si>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</si>
  <si>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</si>
  <si>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</si>
  <si>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</si>
  <si>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</si>
  <si>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</si>
  <si>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</si>
  <si>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</si>
  <si>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</si>
  <si>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</si>
  <si>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</si>
  <si>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</si>
  <si>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</si>
  <si>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</si>
  <si>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</si>
  <si>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</si>
  <si>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</si>
  <si>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</si>
  <si>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</si>
  <si>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</si>
  <si>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</si>
  <si>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</si>
  <si>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</si>
  <si>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</si>
  <si>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</si>
  <si>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</si>
  <si>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</si>
  <si>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</si>
  <si>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</si>
  <si>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</si>
  <si>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</si>
  <si>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</si>
  <si>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</si>
  <si>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</si>
  <si>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</si>
  <si>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</si>
  <si>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</si>
  <si>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</si>
  <si>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</si>
  <si>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</si>
  <si>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</si>
  <si>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</si>
  <si>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</si>
  <si>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</si>
  <si>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</si>
  <si>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</si>
  <si>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</si>
  <si>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</si>
  <si>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</si>
  <si>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</si>
  <si>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</si>
  <si>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</si>
  <si>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</si>
  <si>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</si>
  <si>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</si>
  <si>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</si>
  <si>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</si>
  <si>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</si>
  <si>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</si>
  <si>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</si>
  <si>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</si>
  <si>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</si>
  <si>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</si>
  <si>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</si>
  <si>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</si>
  <si>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</si>
  <si>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</si>
  <si>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</si>
  <si>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</si>
  <si>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</si>
  <si>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</si>
  <si>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</si>
  <si>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</si>
  <si>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</si>
  <si>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</si>
  <si>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</si>
  <si>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</si>
  <si>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</si>
  <si>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</si>
  <si>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</si>
  <si>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</si>
  <si>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</si>
  <si>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</si>
  <si>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</si>
  <si>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</si>
  <si>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</si>
  <si>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</si>
  <si>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</si>
  <si>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</si>
  <si>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</si>
  <si>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</si>
  <si>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</si>
  <si>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</si>
  <si>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</si>
  <si>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</si>
  <si>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</si>
  <si>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</si>
  <si>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</si>
  <si>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</si>
  <si>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</si>
  <si>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</si>
  <si>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</si>
  <si>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</si>
  <si>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</si>
  <si>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</si>
  <si>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</si>
  <si>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</si>
  <si>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</si>
  <si>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</si>
  <si>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</si>
  <si>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</si>
  <si>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</si>
  <si>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</si>
  <si>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</si>
  <si>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</si>
  <si>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</si>
  <si>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</si>
  <si>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</si>
  <si>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</si>
  <si>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</si>
  <si>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</si>
  <si>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</si>
  <si>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</si>
  <si>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</si>
  <si>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</si>
  <si>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</si>
  <si>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</si>
  <si>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</si>
  <si>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</si>
  <si>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</si>
  <si>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</si>
  <si>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</si>
  <si>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</si>
  <si>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</si>
  <si>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</si>
  <si>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</si>
  <si>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</si>
  <si>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</si>
  <si>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</si>
  <si>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</si>
  <si>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</si>
  <si>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</si>
  <si>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</si>
  <si>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</si>
  <si>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</si>
  <si>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</si>
  <si>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</si>
  <si>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</si>
  <si>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</si>
  <si>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</si>
  <si>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</si>
  <si>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</si>
  <si>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</si>
  <si>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</si>
  <si>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</si>
  <si>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</si>
  <si>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</si>
  <si>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</si>
  <si>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</si>
  <si>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</si>
  <si>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</si>
  <si>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</si>
  <si>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</si>
  <si>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</si>
  <si>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</si>
  <si>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</si>
  <si>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</si>
  <si>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</si>
  <si>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</si>
  <si>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</si>
  <si>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</si>
  <si>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</si>
  <si>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</si>
  <si>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</si>
  <si>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</si>
  <si>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</si>
  <si>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</si>
  <si>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</si>
  <si>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</si>
  <si>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</si>
  <si>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</si>
  <si>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</si>
  <si>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</si>
  <si>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</si>
  <si>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</si>
  <si>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</si>
  <si>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</si>
  <si>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</si>
  <si>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</si>
  <si>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</si>
  <si>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</si>
  <si>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</si>
  <si>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</si>
  <si>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</si>
  <si>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</si>
  <si>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</si>
  <si>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</si>
  <si>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</si>
  <si>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</si>
  <si>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</si>
  <si>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</si>
  <si>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</si>
  <si>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</si>
  <si>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</si>
  <si>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</si>
  <si>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</si>
  <si>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</si>
  <si>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</si>
  <si>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</si>
  <si>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</si>
  <si>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</si>
  <si>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</si>
  <si>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</si>
  <si>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</si>
  <si>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</si>
  <si>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</si>
  <si>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</si>
  <si>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</si>
  <si>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</si>
  <si>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</si>
  <si>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</si>
  <si>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</si>
  <si>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</si>
  <si>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</si>
  <si>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</si>
  <si>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</si>
  <si>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</si>
  <si>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</si>
  <si>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</si>
  <si>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</si>
  <si>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</si>
  <si>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</si>
  <si>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</si>
  <si>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</si>
  <si>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</si>
  <si>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</si>
  <si>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</si>
  <si>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</si>
  <si>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</si>
  <si>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</si>
  <si>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</si>
  <si>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</si>
  <si>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</si>
  <si>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</si>
  <si>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</si>
  <si>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</si>
  <si>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</si>
  <si>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</si>
  <si>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</si>
  <si>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</si>
  <si>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</si>
  <si>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</si>
  <si>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</si>
  <si>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</si>
  <si>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</si>
  <si>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</si>
  <si>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</si>
  <si>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</si>
  <si>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</si>
  <si>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</si>
  <si>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</si>
  <si>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</si>
  <si>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</si>
  <si>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</si>
  <si>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</si>
  <si>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</si>
  <si>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</si>
  <si>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</si>
  <si>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</si>
  <si>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</si>
  <si>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</si>
  <si>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</si>
  <si>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</si>
  <si>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</si>
  <si>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</si>
  <si>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</si>
  <si>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</si>
  <si>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</si>
  <si>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</si>
  <si>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</si>
  <si>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</si>
  <si>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</si>
  <si>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</si>
  <si>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</si>
  <si>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</si>
  <si>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</si>
  <si>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</si>
  <si>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</si>
  <si>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</si>
  <si>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</si>
  <si>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</si>
  <si>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</si>
  <si>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</si>
  <si>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</si>
  <si>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</si>
  <si>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</si>
  <si>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</si>
  <si>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</si>
  <si>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</si>
  <si>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</si>
  <si>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</si>
  <si>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</si>
  <si>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</si>
  <si>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</si>
  <si>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</si>
  <si>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</si>
  <si>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</si>
  <si>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</si>
  <si>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</si>
  <si>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</si>
  <si>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</si>
  <si>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</si>
  <si>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</si>
  <si>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</si>
  <si>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</si>
  <si>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</si>
  <si>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</si>
  <si>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</si>
  <si>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</si>
  <si>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</si>
  <si>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</si>
  <si>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</si>
  <si>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</si>
  <si>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</si>
  <si>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</si>
  <si>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</si>
  <si>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</si>
  <si>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</si>
  <si>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</si>
  <si>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</si>
  <si>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</si>
  <si>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</si>
  <si>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</si>
  <si>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</si>
  <si>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</si>
  <si>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</si>
  <si>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</si>
  <si>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</si>
  <si>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</si>
  <si>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</si>
  <si>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</si>
  <si>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</si>
  <si>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</si>
  <si>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</si>
  <si>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</si>
  <si>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</si>
  <si>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</si>
  <si>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</si>
  <si>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</si>
  <si>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</si>
  <si>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</si>
  <si>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</si>
  <si>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</si>
  <si>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</si>
  <si>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</si>
  <si>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</si>
  <si>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</si>
  <si>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</si>
  <si>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</si>
  <si>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</si>
  <si>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</si>
  <si>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</si>
  <si>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</si>
  <si>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</si>
  <si>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</si>
  <si>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</si>
  <si>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</si>
  <si>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</si>
  <si>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</si>
  <si>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</si>
  <si>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</si>
  <si>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</si>
  <si>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</si>
  <si>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</si>
  <si>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</si>
  <si>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</si>
  <si>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</si>
  <si>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</si>
  <si>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</si>
  <si>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</si>
  <si>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</si>
  <si>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</si>
  <si>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</si>
  <si>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</si>
  <si>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</si>
  <si>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</si>
  <si>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</si>
  <si>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</si>
  <si>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</si>
  <si>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</si>
  <si>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</si>
  <si>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</si>
  <si>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</si>
  <si>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</si>
  <si>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</si>
  <si>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</si>
  <si>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</si>
  <si>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</si>
  <si>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</si>
  <si>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</si>
  <si>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</si>
  <si>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</si>
  <si>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</si>
  <si>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</si>
  <si>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</si>
  <si>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</si>
  <si>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</si>
  <si>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</si>
  <si>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</si>
  <si>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</si>
  <si>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</si>
  <si>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</si>
  <si>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</si>
  <si>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</si>
  <si>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</si>
  <si>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</si>
  <si>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</si>
  <si>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</si>
  <si>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</si>
  <si>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</si>
  <si>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</si>
  <si>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</si>
  <si>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</si>
  <si>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</si>
  <si>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</si>
  <si>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</si>
  <si>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73001</t>
  </si>
  <si>
    <t>ALKEN</t>
  </si>
  <si>
    <t>waterkracht</t>
  </si>
  <si>
    <t>vloeibaar gas (MWh)</t>
  </si>
  <si>
    <t>interne verbrandingsmotor</t>
  </si>
  <si>
    <t>WKK interne verbrandinsgmotor (gas)</t>
  </si>
  <si>
    <t>Inter-Energa</t>
  </si>
  <si>
    <t>Interne verbrandingsmotor</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</si>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</sst>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F5BE8C4-2EB1-4724-8C12-6E4F0378596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95588.463582951619</c:v>
                </c:pt>
                <c:pt idx="1">
                  <c:v>24587.974881774644</c:v>
                </c:pt>
                <c:pt idx="2">
                  <c:v>622.00322699999992</c:v>
                </c:pt>
                <c:pt idx="3">
                  <c:v>6997.5677889737863</c:v>
                </c:pt>
                <c:pt idx="4">
                  <c:v>111625.52695353748</c:v>
                </c:pt>
                <c:pt idx="5">
                  <c:v>73620.092293283407</c:v>
                </c:pt>
                <c:pt idx="6">
                  <c:v>725.22350475075984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95588.463582951619</c:v>
                </c:pt>
                <c:pt idx="1">
                  <c:v>24587.974881774644</c:v>
                </c:pt>
                <c:pt idx="2">
                  <c:v>622.00322699999992</c:v>
                </c:pt>
                <c:pt idx="3">
                  <c:v>6997.5677889737863</c:v>
                </c:pt>
                <c:pt idx="4">
                  <c:v>111625.52695353748</c:v>
                </c:pt>
                <c:pt idx="5">
                  <c:v>73620.092293283407</c:v>
                </c:pt>
                <c:pt idx="6">
                  <c:v>725.22350475075984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19719.051410529366</c:v>
                </c:pt>
                <c:pt idx="1">
                  <c:v>4883.5884891085379</c:v>
                </c:pt>
                <c:pt idx="2">
                  <c:v>120.70495308894878</c:v>
                </c:pt>
                <c:pt idx="3">
                  <c:v>1759.3895548654846</c:v>
                </c:pt>
                <c:pt idx="4">
                  <c:v>23186.608509516471</c:v>
                </c:pt>
                <c:pt idx="5">
                  <c:v>18273.591761864838</c:v>
                </c:pt>
                <c:pt idx="6">
                  <c:v>182.94159857029433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19719.051410529366</c:v>
                </c:pt>
                <c:pt idx="1">
                  <c:v>4883.5884891085379</c:v>
                </c:pt>
                <c:pt idx="2">
                  <c:v>120.70495308894878</c:v>
                </c:pt>
                <c:pt idx="3">
                  <c:v>1759.3895548654846</c:v>
                </c:pt>
                <c:pt idx="4">
                  <c:v>23186.608509516471</c:v>
                </c:pt>
                <c:pt idx="5">
                  <c:v>18273.591761864838</c:v>
                </c:pt>
                <c:pt idx="6">
                  <c:v>182.94159857029433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73001</v>
      </c>
      <c r="B6" s="382"/>
      <c r="C6" s="383"/>
    </row>
    <row r="7" spans="1:7" s="380" customFormat="1" ht="15.75" customHeight="1">
      <c r="A7" s="384" t="str">
        <f>txtMunicipality</f>
        <v>ALKEN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0.19405840331588634</v>
      </c>
      <c r="C17" s="493">
        <f ca="1">'EF ele_warmte'!B22</f>
        <v>7.7888049074378365E-3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0.19405840331588634</v>
      </c>
      <c r="C29" s="494">
        <f ca="1">'EF ele_warmte'!B22</f>
        <v>7.7888049074378365E-3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4677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1395.24</v>
      </c>
      <c r="C14" s="324"/>
      <c r="D14" s="324"/>
      <c r="E14" s="324"/>
      <c r="F14" s="324"/>
    </row>
    <row r="15" spans="1:6">
      <c r="A15" s="1264" t="s">
        <v>177</v>
      </c>
      <c r="B15" s="1265">
        <v>13</v>
      </c>
      <c r="C15" s="324"/>
      <c r="D15" s="324"/>
      <c r="E15" s="324"/>
      <c r="F15" s="324"/>
    </row>
    <row r="16" spans="1:6">
      <c r="A16" s="1264" t="s">
        <v>6</v>
      </c>
      <c r="B16" s="1265">
        <v>441</v>
      </c>
      <c r="C16" s="324"/>
      <c r="D16" s="324"/>
      <c r="E16" s="324"/>
      <c r="F16" s="324"/>
    </row>
    <row r="17" spans="1:6">
      <c r="A17" s="1264" t="s">
        <v>7</v>
      </c>
      <c r="B17" s="1265">
        <v>335</v>
      </c>
      <c r="C17" s="324"/>
      <c r="D17" s="324"/>
      <c r="E17" s="324"/>
      <c r="F17" s="324"/>
    </row>
    <row r="18" spans="1:6">
      <c r="A18" s="1264" t="s">
        <v>8</v>
      </c>
      <c r="B18" s="1265">
        <v>575</v>
      </c>
      <c r="C18" s="324"/>
      <c r="D18" s="324"/>
      <c r="E18" s="324"/>
      <c r="F18" s="324"/>
    </row>
    <row r="19" spans="1:6">
      <c r="A19" s="1264" t="s">
        <v>9</v>
      </c>
      <c r="B19" s="1265">
        <v>496</v>
      </c>
      <c r="C19" s="324"/>
      <c r="D19" s="324"/>
      <c r="E19" s="324"/>
      <c r="F19" s="324"/>
    </row>
    <row r="20" spans="1:6">
      <c r="A20" s="1264" t="s">
        <v>10</v>
      </c>
      <c r="B20" s="1265">
        <v>442</v>
      </c>
      <c r="C20" s="324"/>
      <c r="D20" s="324"/>
      <c r="E20" s="324"/>
      <c r="F20" s="324"/>
    </row>
    <row r="21" spans="1:6">
      <c r="A21" s="1264" t="s">
        <v>11</v>
      </c>
      <c r="B21" s="1265">
        <v>136</v>
      </c>
      <c r="C21" s="324"/>
      <c r="D21" s="324"/>
      <c r="E21" s="324"/>
      <c r="F21" s="324"/>
    </row>
    <row r="22" spans="1:6">
      <c r="A22" s="1264" t="s">
        <v>12</v>
      </c>
      <c r="B22" s="1265">
        <v>1610</v>
      </c>
      <c r="C22" s="324"/>
      <c r="D22" s="324"/>
      <c r="E22" s="324"/>
      <c r="F22" s="324"/>
    </row>
    <row r="23" spans="1:6">
      <c r="A23" s="1264" t="s">
        <v>13</v>
      </c>
      <c r="B23" s="1265">
        <v>12</v>
      </c>
      <c r="C23" s="324"/>
      <c r="D23" s="324"/>
      <c r="E23" s="324"/>
      <c r="F23" s="324"/>
    </row>
    <row r="24" spans="1:6">
      <c r="A24" s="1264" t="s">
        <v>14</v>
      </c>
      <c r="B24" s="1265">
        <v>7</v>
      </c>
      <c r="C24" s="324"/>
      <c r="D24" s="324"/>
      <c r="E24" s="324"/>
      <c r="F24" s="324"/>
    </row>
    <row r="25" spans="1:6">
      <c r="A25" s="1264" t="s">
        <v>15</v>
      </c>
      <c r="B25" s="1265">
        <v>68</v>
      </c>
      <c r="C25" s="324"/>
      <c r="D25" s="324"/>
      <c r="E25" s="324"/>
      <c r="F25" s="324"/>
    </row>
    <row r="26" spans="1:6">
      <c r="A26" s="1264" t="s">
        <v>16</v>
      </c>
      <c r="B26" s="1265">
        <v>140</v>
      </c>
      <c r="C26" s="324"/>
      <c r="D26" s="324"/>
      <c r="E26" s="324"/>
      <c r="F26" s="324"/>
    </row>
    <row r="27" spans="1:6">
      <c r="A27" s="1264" t="s">
        <v>17</v>
      </c>
      <c r="B27" s="1265">
        <v>148</v>
      </c>
      <c r="C27" s="324"/>
      <c r="D27" s="324"/>
      <c r="E27" s="324"/>
      <c r="F27" s="324"/>
    </row>
    <row r="28" spans="1:6">
      <c r="A28" s="1264" t="s">
        <v>18</v>
      </c>
      <c r="B28" s="1266">
        <v>54165</v>
      </c>
      <c r="C28" s="324"/>
      <c r="D28" s="324"/>
      <c r="E28" s="324"/>
      <c r="F28" s="324"/>
    </row>
    <row r="29" spans="1:6">
      <c r="A29" s="1264" t="s">
        <v>657</v>
      </c>
      <c r="B29" s="1266">
        <v>146</v>
      </c>
      <c r="C29" s="324"/>
      <c r="D29" s="324"/>
      <c r="E29" s="324"/>
      <c r="F29" s="324"/>
    </row>
    <row r="30" spans="1:6">
      <c r="A30" s="1259" t="s">
        <v>658</v>
      </c>
      <c r="B30" s="1267">
        <v>30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2147</v>
      </c>
      <c r="D39" s="1265">
        <v>34674802.009000003</v>
      </c>
      <c r="E39" s="1265">
        <v>4530</v>
      </c>
      <c r="F39" s="1265">
        <v>15738122.416999999</v>
      </c>
    </row>
    <row r="40" spans="1:6">
      <c r="A40" s="1264" t="s">
        <v>29</v>
      </c>
      <c r="B40" s="1264" t="s">
        <v>28</v>
      </c>
      <c r="C40" s="1265">
        <v>0</v>
      </c>
      <c r="D40" s="1265">
        <v>0</v>
      </c>
      <c r="E40" s="1265">
        <v>0</v>
      </c>
      <c r="F40" s="1265">
        <v>0</v>
      </c>
    </row>
    <row r="41" spans="1:6">
      <c r="A41" s="1264" t="s">
        <v>31</v>
      </c>
      <c r="B41" s="1264" t="s">
        <v>32</v>
      </c>
      <c r="C41" s="1265">
        <v>36</v>
      </c>
      <c r="D41" s="1265">
        <v>16620750.669</v>
      </c>
      <c r="E41" s="1265">
        <v>105</v>
      </c>
      <c r="F41" s="1265">
        <v>30455137.346000001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344032.53499999997</v>
      </c>
      <c r="E44" s="1265">
        <v>13</v>
      </c>
      <c r="F44" s="1265">
        <v>312132.90700000001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12627.632</v>
      </c>
    </row>
    <row r="48" spans="1:6">
      <c r="A48" s="1264" t="s">
        <v>31</v>
      </c>
      <c r="B48" s="1264" t="s">
        <v>28</v>
      </c>
      <c r="C48" s="1265">
        <v>4</v>
      </c>
      <c r="D48" s="1265">
        <v>384174.27500000002</v>
      </c>
      <c r="E48" s="1265">
        <v>2</v>
      </c>
      <c r="F48" s="1265">
        <v>206654</v>
      </c>
    </row>
    <row r="49" spans="1:6">
      <c r="A49" s="1264" t="s">
        <v>31</v>
      </c>
      <c r="B49" s="1264" t="s">
        <v>39</v>
      </c>
      <c r="C49" s="1265">
        <v>0</v>
      </c>
      <c r="D49" s="1265">
        <v>0</v>
      </c>
      <c r="E49" s="1265">
        <v>3</v>
      </c>
      <c r="F49" s="1265">
        <v>91058.248000000007</v>
      </c>
    </row>
    <row r="50" spans="1:6">
      <c r="A50" s="1264" t="s">
        <v>31</v>
      </c>
      <c r="B50" s="1264" t="s">
        <v>40</v>
      </c>
      <c r="C50" s="1265">
        <v>3</v>
      </c>
      <c r="D50" s="1265">
        <v>33871564.82</v>
      </c>
      <c r="E50" s="1265">
        <v>9</v>
      </c>
      <c r="F50" s="1265">
        <v>11510670.893999999</v>
      </c>
    </row>
    <row r="51" spans="1:6">
      <c r="A51" s="1264" t="s">
        <v>41</v>
      </c>
      <c r="B51" s="1264" t="s">
        <v>42</v>
      </c>
      <c r="C51" s="1265">
        <v>7</v>
      </c>
      <c r="D51" s="1265">
        <v>242238.63800000001</v>
      </c>
      <c r="E51" s="1265">
        <v>74</v>
      </c>
      <c r="F51" s="1265">
        <v>1505923.9580000001</v>
      </c>
    </row>
    <row r="52" spans="1:6">
      <c r="A52" s="1264" t="s">
        <v>41</v>
      </c>
      <c r="B52" s="1264" t="s">
        <v>28</v>
      </c>
      <c r="C52" s="1265">
        <v>0</v>
      </c>
      <c r="D52" s="1265">
        <v>0</v>
      </c>
      <c r="E52" s="1265">
        <v>0</v>
      </c>
      <c r="F52" s="1265">
        <v>0</v>
      </c>
    </row>
    <row r="53" spans="1:6">
      <c r="A53" s="1264" t="s">
        <v>43</v>
      </c>
      <c r="B53" s="1264" t="s">
        <v>44</v>
      </c>
      <c r="C53" s="1265">
        <v>32</v>
      </c>
      <c r="D53" s="1265">
        <v>1065687.5830000001</v>
      </c>
      <c r="E53" s="1265">
        <v>93</v>
      </c>
      <c r="F53" s="1265">
        <v>364351.984</v>
      </c>
    </row>
    <row r="54" spans="1:6">
      <c r="A54" s="1264" t="s">
        <v>45</v>
      </c>
      <c r="B54" s="1264" t="s">
        <v>46</v>
      </c>
      <c r="C54" s="1265">
        <v>0</v>
      </c>
      <c r="D54" s="1265">
        <v>0</v>
      </c>
      <c r="E54" s="1265">
        <v>3</v>
      </c>
      <c r="F54" s="1265">
        <v>622003.22699999996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38</v>
      </c>
      <c r="D57" s="1265">
        <v>1935472.25</v>
      </c>
      <c r="E57" s="1265">
        <v>84</v>
      </c>
      <c r="F57" s="1265">
        <v>1777241.419</v>
      </c>
    </row>
    <row r="58" spans="1:6">
      <c r="A58" s="1264" t="s">
        <v>48</v>
      </c>
      <c r="B58" s="1264" t="s">
        <v>50</v>
      </c>
      <c r="C58" s="1265">
        <v>26</v>
      </c>
      <c r="D58" s="1265">
        <v>1496475.85</v>
      </c>
      <c r="E58" s="1265">
        <v>46</v>
      </c>
      <c r="F58" s="1265">
        <v>770414.51899999997</v>
      </c>
    </row>
    <row r="59" spans="1:6">
      <c r="A59" s="1264" t="s">
        <v>48</v>
      </c>
      <c r="B59" s="1264" t="s">
        <v>51</v>
      </c>
      <c r="C59" s="1265">
        <v>59</v>
      </c>
      <c r="D59" s="1265">
        <v>2639571.7039999999</v>
      </c>
      <c r="E59" s="1265">
        <v>155</v>
      </c>
      <c r="F59" s="1265">
        <v>3442462.82</v>
      </c>
    </row>
    <row r="60" spans="1:6">
      <c r="A60" s="1264" t="s">
        <v>48</v>
      </c>
      <c r="B60" s="1264" t="s">
        <v>52</v>
      </c>
      <c r="C60" s="1265">
        <v>26</v>
      </c>
      <c r="D60" s="1265">
        <v>1192089.817</v>
      </c>
      <c r="E60" s="1265">
        <v>45</v>
      </c>
      <c r="F60" s="1265">
        <v>1090774.7819999999</v>
      </c>
    </row>
    <row r="61" spans="1:6">
      <c r="A61" s="1264" t="s">
        <v>48</v>
      </c>
      <c r="B61" s="1264" t="s">
        <v>53</v>
      </c>
      <c r="C61" s="1265">
        <v>122</v>
      </c>
      <c r="D61" s="1265">
        <v>3805606.5809999998</v>
      </c>
      <c r="E61" s="1265">
        <v>223</v>
      </c>
      <c r="F61" s="1265">
        <v>3654121.8539999998</v>
      </c>
    </row>
    <row r="62" spans="1:6">
      <c r="A62" s="1264" t="s">
        <v>48</v>
      </c>
      <c r="B62" s="1264" t="s">
        <v>54</v>
      </c>
      <c r="C62" s="1265">
        <v>4</v>
      </c>
      <c r="D62" s="1265">
        <v>538118.47900000005</v>
      </c>
      <c r="E62" s="1265">
        <v>10</v>
      </c>
      <c r="F62" s="1265">
        <v>146008.98699999999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54801.572999999997</v>
      </c>
      <c r="E65" s="1265">
        <v>1</v>
      </c>
      <c r="F65" s="1265">
        <v>48904</v>
      </c>
    </row>
    <row r="66" spans="1:6">
      <c r="A66" s="1264" t="s">
        <v>55</v>
      </c>
      <c r="B66" s="1264" t="s">
        <v>57</v>
      </c>
      <c r="C66" s="1265">
        <v>0</v>
      </c>
      <c r="D66" s="1265">
        <v>0</v>
      </c>
      <c r="E66" s="1265">
        <v>5</v>
      </c>
      <c r="F66" s="1265">
        <v>167341.94500000001</v>
      </c>
    </row>
    <row r="67" spans="1:6">
      <c r="A67" s="1264" t="s">
        <v>55</v>
      </c>
      <c r="B67" s="1264" t="s">
        <v>58</v>
      </c>
      <c r="C67" s="1265">
        <v>0</v>
      </c>
      <c r="D67" s="1265">
        <v>0</v>
      </c>
      <c r="E67" s="1265">
        <v>0</v>
      </c>
      <c r="F67" s="1265">
        <v>0</v>
      </c>
    </row>
    <row r="68" spans="1:6">
      <c r="A68" s="1259" t="s">
        <v>55</v>
      </c>
      <c r="B68" s="1259" t="s">
        <v>59</v>
      </c>
      <c r="C68" s="1267">
        <v>0</v>
      </c>
      <c r="D68" s="1267">
        <v>0</v>
      </c>
      <c r="E68" s="1267">
        <v>4</v>
      </c>
      <c r="F68" s="1267">
        <v>48443.243000000002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68536338</v>
      </c>
      <c r="E73" s="443"/>
      <c r="F73" s="324"/>
    </row>
    <row r="74" spans="1:6">
      <c r="A74" s="1264" t="s">
        <v>63</v>
      </c>
      <c r="B74" s="1264" t="s">
        <v>608</v>
      </c>
      <c r="C74" s="1277" t="s">
        <v>610</v>
      </c>
      <c r="D74" s="1265">
        <v>6376144.6646678681</v>
      </c>
      <c r="E74" s="443"/>
      <c r="F74" s="324"/>
    </row>
    <row r="75" spans="1:6">
      <c r="A75" s="1264" t="s">
        <v>64</v>
      </c>
      <c r="B75" s="1264" t="s">
        <v>607</v>
      </c>
      <c r="C75" s="1277" t="s">
        <v>611</v>
      </c>
      <c r="D75" s="1265">
        <v>14041822</v>
      </c>
      <c r="E75" s="443"/>
      <c r="F75" s="324"/>
    </row>
    <row r="76" spans="1:6">
      <c r="A76" s="1264" t="s">
        <v>64</v>
      </c>
      <c r="B76" s="1264" t="s">
        <v>608</v>
      </c>
      <c r="C76" s="1277" t="s">
        <v>612</v>
      </c>
      <c r="D76" s="1265">
        <v>211508.664667868</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200852.67066426401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5174.7695881970767</v>
      </c>
      <c r="C91" s="324"/>
      <c r="D91" s="324"/>
      <c r="E91" s="324"/>
      <c r="F91" s="324"/>
    </row>
    <row r="92" spans="1:6">
      <c r="A92" s="1259" t="s">
        <v>68</v>
      </c>
      <c r="B92" s="1260">
        <v>3189.0636861674188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534</v>
      </c>
      <c r="C97" s="324"/>
      <c r="D97" s="324"/>
      <c r="E97" s="324"/>
      <c r="F97" s="324"/>
    </row>
    <row r="98" spans="1:6">
      <c r="A98" s="1264" t="s">
        <v>71</v>
      </c>
      <c r="B98" s="1265">
        <v>0</v>
      </c>
      <c r="C98" s="324"/>
      <c r="D98" s="324"/>
      <c r="E98" s="324"/>
      <c r="F98" s="324"/>
    </row>
    <row r="99" spans="1:6">
      <c r="A99" s="1264" t="s">
        <v>72</v>
      </c>
      <c r="B99" s="1265">
        <v>23</v>
      </c>
      <c r="C99" s="324"/>
      <c r="D99" s="324"/>
      <c r="E99" s="324"/>
      <c r="F99" s="324"/>
    </row>
    <row r="100" spans="1:6">
      <c r="A100" s="1264" t="s">
        <v>73</v>
      </c>
      <c r="B100" s="1265">
        <v>174</v>
      </c>
      <c r="C100" s="324"/>
      <c r="D100" s="324"/>
      <c r="E100" s="324"/>
      <c r="F100" s="324"/>
    </row>
    <row r="101" spans="1:6">
      <c r="A101" s="1264" t="s">
        <v>74</v>
      </c>
      <c r="B101" s="1265">
        <v>37</v>
      </c>
      <c r="C101" s="324"/>
      <c r="D101" s="324"/>
      <c r="E101" s="324"/>
      <c r="F101" s="324"/>
    </row>
    <row r="102" spans="1:6">
      <c r="A102" s="1264" t="s">
        <v>75</v>
      </c>
      <c r="B102" s="1265">
        <v>41</v>
      </c>
      <c r="C102" s="324"/>
      <c r="D102" s="324"/>
      <c r="E102" s="324"/>
      <c r="F102" s="324"/>
    </row>
    <row r="103" spans="1:6">
      <c r="A103" s="1264" t="s">
        <v>76</v>
      </c>
      <c r="B103" s="1265">
        <v>77</v>
      </c>
      <c r="C103" s="324"/>
      <c r="D103" s="324"/>
      <c r="E103" s="324"/>
      <c r="F103" s="324"/>
    </row>
    <row r="104" spans="1:6">
      <c r="A104" s="1264" t="s">
        <v>77</v>
      </c>
      <c r="B104" s="1265">
        <v>3171</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26</v>
      </c>
      <c r="C123" s="1265">
        <v>29</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190</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34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78169.813199934608</v>
      </c>
      <c r="C3" s="43" t="s">
        <v>163</v>
      </c>
      <c r="D3" s="43"/>
      <c r="E3" s="153"/>
      <c r="F3" s="43"/>
      <c r="G3" s="43"/>
      <c r="H3" s="43"/>
      <c r="I3" s="43"/>
      <c r="J3" s="43"/>
      <c r="K3" s="96"/>
    </row>
    <row r="4" spans="1:11">
      <c r="A4" s="350" t="s">
        <v>164</v>
      </c>
      <c r="B4" s="49">
        <f>IF(ISERROR('SEAP template'!B78+'SEAP template'!C78),0,'SEAP template'!B78+'SEAP template'!C78)</f>
        <v>9572.0832743644951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9.4108235294117666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0.19405840331588634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13.444033613445381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1726.0714285714287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7.7888049074378365E-3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622.00322699999992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622.00322699999992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0.19405840331588634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120.70495308894878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15738.122416999999</v>
      </c>
      <c r="C5" s="17">
        <f>IF(ISERROR('Eigen informatie GS &amp; warmtenet'!B59),0,'Eigen informatie GS &amp; warmtenet'!B59)</f>
        <v>0</v>
      </c>
      <c r="D5" s="30">
        <f>(SUM(HH_hh_gas_kWh,HH_rest_gas_kWh)/1000)*0.903</f>
        <v>31311.346214127007</v>
      </c>
      <c r="E5" s="17">
        <f>B32*B41</f>
        <v>2014.4081526068419</v>
      </c>
      <c r="F5" s="17">
        <f>B36*B45</f>
        <v>33011.480064628304</v>
      </c>
      <c r="G5" s="18"/>
      <c r="H5" s="17"/>
      <c r="I5" s="17"/>
      <c r="J5" s="17">
        <f>B35*B44+C35*C44</f>
        <v>182.2068252318933</v>
      </c>
      <c r="K5" s="17"/>
      <c r="L5" s="17"/>
      <c r="M5" s="17"/>
      <c r="N5" s="17">
        <f>B34*B43+C34*C43</f>
        <v>7077.0879951265706</v>
      </c>
      <c r="O5" s="17">
        <f>B52*B53*B54</f>
        <v>436.47080826514696</v>
      </c>
      <c r="P5" s="17">
        <f>B60*B61*B62/1000-B60*B61*B62/1000/B63</f>
        <v>642.57151776878641</v>
      </c>
    </row>
    <row r="6" spans="1:16">
      <c r="A6" s="16" t="s">
        <v>573</v>
      </c>
      <c r="B6" s="739">
        <f>kWh_PV_kleiner_dan_10kW</f>
        <v>5174.7695881970767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20912.892005197074</v>
      </c>
      <c r="C8" s="21">
        <f>C5</f>
        <v>0</v>
      </c>
      <c r="D8" s="21">
        <f>D5</f>
        <v>31311.346214127007</v>
      </c>
      <c r="E8" s="21">
        <f>E5</f>
        <v>2014.4081526068419</v>
      </c>
      <c r="F8" s="21">
        <f>F5</f>
        <v>33011.480064628304</v>
      </c>
      <c r="G8" s="21"/>
      <c r="H8" s="21"/>
      <c r="I8" s="21"/>
      <c r="J8" s="21">
        <f>J5</f>
        <v>182.2068252318933</v>
      </c>
      <c r="K8" s="21"/>
      <c r="L8" s="21">
        <f>L5</f>
        <v>0</v>
      </c>
      <c r="M8" s="21">
        <f>M5</f>
        <v>0</v>
      </c>
      <c r="N8" s="21">
        <f>N5</f>
        <v>7077.0879951265706</v>
      </c>
      <c r="O8" s="21">
        <f>O5</f>
        <v>436.47080826514696</v>
      </c>
      <c r="P8" s="21">
        <f>P5</f>
        <v>642.57151776878641</v>
      </c>
    </row>
    <row r="9" spans="1:16">
      <c r="B9" s="19"/>
      <c r="C9" s="19"/>
      <c r="D9" s="253"/>
      <c r="E9" s="19"/>
      <c r="F9" s="19"/>
      <c r="G9" s="19"/>
      <c r="H9" s="19"/>
      <c r="I9" s="19"/>
      <c r="J9" s="19"/>
      <c r="K9" s="19"/>
      <c r="L9" s="19"/>
      <c r="M9" s="19"/>
      <c r="N9" s="19"/>
      <c r="O9" s="19"/>
      <c r="P9" s="19"/>
    </row>
    <row r="10" spans="1:16">
      <c r="A10" s="24" t="s">
        <v>207</v>
      </c>
      <c r="B10" s="25">
        <f ca="1">'EF ele_warmte'!B12</f>
        <v>0.19405840331588634</v>
      </c>
      <c r="C10" s="25">
        <f ca="1">'EF ele_warmte'!B22</f>
        <v>7.7888049074378365E-3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4058.3224312461089</v>
      </c>
      <c r="C12" s="23">
        <f ca="1">C10*C8</f>
        <v>0</v>
      </c>
      <c r="D12" s="23">
        <f>D8*D10</f>
        <v>6324.8919352536559</v>
      </c>
      <c r="E12" s="23">
        <f>E10*E8</f>
        <v>457.27065064175315</v>
      </c>
      <c r="F12" s="23">
        <f>F10*F8</f>
        <v>8814.0651772557576</v>
      </c>
      <c r="G12" s="23"/>
      <c r="H12" s="23"/>
      <c r="I12" s="23"/>
      <c r="J12" s="23">
        <f>J10*J8</f>
        <v>64.501216132090221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4677</v>
      </c>
      <c r="C26" s="36"/>
      <c r="D26" s="224"/>
    </row>
    <row r="27" spans="1:5" s="15" customFormat="1">
      <c r="A27" s="226" t="s">
        <v>784</v>
      </c>
      <c r="B27" s="37">
        <f>SUM(HH_hh_gas_aantal,HH_rest_gas_aantal)</f>
        <v>2147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2039.65</v>
      </c>
      <c r="C31" s="34" t="s">
        <v>104</v>
      </c>
      <c r="D31" s="170"/>
    </row>
    <row r="32" spans="1:5">
      <c r="A32" s="167" t="s">
        <v>72</v>
      </c>
      <c r="B32" s="33">
        <f>IF((B21*($B$26-($B$27-0.05*$B$27)-$B$60))&lt;0,0,B21*($B$26-($B$27-0.05*$B$27)-$B$60))</f>
        <v>39.740101327143321</v>
      </c>
      <c r="C32" s="34" t="s">
        <v>104</v>
      </c>
      <c r="D32" s="170"/>
    </row>
    <row r="33" spans="1:6">
      <c r="A33" s="167" t="s">
        <v>73</v>
      </c>
      <c r="B33" s="33">
        <f>IF((B22*($B$26-($B$27-0.05*$B$27)-$B$60))&lt;0,0,B22*($B$26-($B$27-0.05*$B$27)-$B$60))</f>
        <v>645.3005394182594</v>
      </c>
      <c r="C33" s="34" t="s">
        <v>104</v>
      </c>
      <c r="D33" s="170"/>
    </row>
    <row r="34" spans="1:6">
      <c r="A34" s="167" t="s">
        <v>74</v>
      </c>
      <c r="B34" s="33">
        <f>IF((B24*($B$26-($B$27-0.05*$B$27)-$B$60))&lt;0,0,B24*($B$26-($B$27-0.05*$B$27)-$B$60))</f>
        <v>282.16364377605657</v>
      </c>
      <c r="C34" s="33">
        <f>B26*C24</f>
        <v>785.73568108747554</v>
      </c>
      <c r="D34" s="229"/>
    </row>
    <row r="35" spans="1:6">
      <c r="A35" s="167" t="s">
        <v>76</v>
      </c>
      <c r="B35" s="33">
        <f>IF((B19*($B$26-($B$27-0.05*$B$27)-$B$60))&lt;0,0,B19*($B$26-($B$27-0.05*$B$27)-$B$60))</f>
        <v>17.274927303914392</v>
      </c>
      <c r="C35" s="33">
        <f>B35/2</f>
        <v>8.6374636519571961</v>
      </c>
      <c r="D35" s="229"/>
    </row>
    <row r="36" spans="1:6">
      <c r="A36" s="167" t="s">
        <v>77</v>
      </c>
      <c r="B36" s="33">
        <f>IF((B18*($B$26-($B$27-0.05*$B$27)-$B$60))&lt;0,0,B18*($B$26-($B$27-0.05*$B$27)-$B$60))</f>
        <v>1591.8707881746254</v>
      </c>
      <c r="C36" s="34" t="s">
        <v>104</v>
      </c>
      <c r="D36" s="170"/>
    </row>
    <row r="37" spans="1:6">
      <c r="A37" s="167" t="s">
        <v>78</v>
      </c>
      <c r="B37" s="33">
        <f>B60</f>
        <v>61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10881.024380999999</v>
      </c>
      <c r="C5" s="17">
        <f>IF(ISERROR('Eigen informatie GS &amp; warmtenet'!B60),0,'Eigen informatie GS &amp; warmtenet'!B60)</f>
        <v>0</v>
      </c>
      <c r="D5" s="30">
        <f>SUM(D6:D12)</f>
        <v>10481.423216942998</v>
      </c>
      <c r="E5" s="17">
        <f>SUM(E6:E12)</f>
        <v>38.563971181531443</v>
      </c>
      <c r="F5" s="17">
        <f>SUM(F6:F12)</f>
        <v>2474.7418249182351</v>
      </c>
      <c r="G5" s="18"/>
      <c r="H5" s="17"/>
      <c r="I5" s="17"/>
      <c r="J5" s="17">
        <f>SUM(J6:J12)</f>
        <v>1.755171654094766E-2</v>
      </c>
      <c r="K5" s="17"/>
      <c r="L5" s="17"/>
      <c r="M5" s="17"/>
      <c r="N5" s="17">
        <f>SUM(N6:N12)</f>
        <v>614.30256644209669</v>
      </c>
      <c r="O5" s="17">
        <f>B38*B39*B40</f>
        <v>9.7945215316823084</v>
      </c>
      <c r="P5" s="17">
        <f>B46*B47*B48/1000-B46*B47*B48/1000/B49</f>
        <v>105.07827661299004</v>
      </c>
      <c r="R5" s="32"/>
    </row>
    <row r="6" spans="1:18">
      <c r="A6" s="32" t="s">
        <v>53</v>
      </c>
      <c r="B6" s="37">
        <f>B26</f>
        <v>3654.121854</v>
      </c>
      <c r="C6" s="33"/>
      <c r="D6" s="37">
        <f>IF(ISERROR(TER_kantoor_gas_kWh/1000),0,TER_kantoor_gas_kWh/1000)*0.903</f>
        <v>3436.4627426429997</v>
      </c>
      <c r="E6" s="33">
        <f>$C$26*'E Balans VL '!I12/100/3.6*1000000</f>
        <v>0.88870829710356558</v>
      </c>
      <c r="F6" s="33">
        <f>$C$26*('E Balans VL '!L12+'E Balans VL '!N12)/100/3.6*1000000</f>
        <v>349.90530592215077</v>
      </c>
      <c r="G6" s="34"/>
      <c r="H6" s="33"/>
      <c r="I6" s="33"/>
      <c r="J6" s="33">
        <f>$C$26*('E Balans VL '!D12+'E Balans VL '!E12)/100/3.6*1000000</f>
        <v>0</v>
      </c>
      <c r="K6" s="33"/>
      <c r="L6" s="33"/>
      <c r="M6" s="33"/>
      <c r="N6" s="33">
        <f>$C$26*'E Balans VL '!Y12/100/3.6*1000000</f>
        <v>1.8551027125832764</v>
      </c>
      <c r="O6" s="33"/>
      <c r="P6" s="33"/>
      <c r="R6" s="32"/>
    </row>
    <row r="7" spans="1:18">
      <c r="A7" s="32" t="s">
        <v>52</v>
      </c>
      <c r="B7" s="37">
        <f t="shared" ref="B7:B12" si="0">B27</f>
        <v>1090.774782</v>
      </c>
      <c r="C7" s="33"/>
      <c r="D7" s="37">
        <f>IF(ISERROR(TER_horeca_gas_kWh/1000),0,TER_horeca_gas_kWh/1000)*0.903</f>
        <v>1076.4571047510001</v>
      </c>
      <c r="E7" s="33">
        <f>$C$27*'E Balans VL '!I9/100/3.6*1000000</f>
        <v>0</v>
      </c>
      <c r="F7" s="33">
        <f>$C$27*('E Balans VL '!L9+'E Balans VL '!N9)/100/3.6*1000000</f>
        <v>89.464353974748448</v>
      </c>
      <c r="G7" s="34"/>
      <c r="H7" s="33"/>
      <c r="I7" s="33"/>
      <c r="J7" s="33">
        <f>$C$27*('E Balans VL '!D9+'E Balans VL '!E9)/100/3.6*1000000</f>
        <v>0</v>
      </c>
      <c r="K7" s="33"/>
      <c r="L7" s="33"/>
      <c r="M7" s="33"/>
      <c r="N7" s="33">
        <f>$C$27*'E Balans VL '!Y9/100/3.6*1000000</f>
        <v>7.1639926351481815</v>
      </c>
      <c r="O7" s="33"/>
      <c r="P7" s="33"/>
      <c r="R7" s="32"/>
    </row>
    <row r="8" spans="1:18">
      <c r="A8" s="6" t="s">
        <v>51</v>
      </c>
      <c r="B8" s="37">
        <f t="shared" si="0"/>
        <v>3442.4628199999997</v>
      </c>
      <c r="C8" s="33"/>
      <c r="D8" s="37">
        <f>IF(ISERROR(TER_handel_gas_kWh/1000),0,TER_handel_gas_kWh/1000)*0.903</f>
        <v>2383.5332487119999</v>
      </c>
      <c r="E8" s="33">
        <f>$C$28*'E Balans VL '!I13/100/3.6*1000000</f>
        <v>12.169284406470091</v>
      </c>
      <c r="F8" s="33">
        <f>$C$28*('E Balans VL '!L13+'E Balans VL '!N13)/100/3.6*1000000</f>
        <v>316.97718612459607</v>
      </c>
      <c r="G8" s="34"/>
      <c r="H8" s="33"/>
      <c r="I8" s="33"/>
      <c r="J8" s="33">
        <f>$C$28*('E Balans VL '!D13+'E Balans VL '!E13)/100/3.6*1000000</f>
        <v>0</v>
      </c>
      <c r="K8" s="33"/>
      <c r="L8" s="33"/>
      <c r="M8" s="33"/>
      <c r="N8" s="33">
        <f>$C$28*'E Balans VL '!Y13/100/3.6*1000000</f>
        <v>1.2467118298331343</v>
      </c>
      <c r="O8" s="33"/>
      <c r="P8" s="33"/>
      <c r="R8" s="32"/>
    </row>
    <row r="9" spans="1:18">
      <c r="A9" s="32" t="s">
        <v>50</v>
      </c>
      <c r="B9" s="37">
        <f t="shared" si="0"/>
        <v>770.41451899999993</v>
      </c>
      <c r="C9" s="33"/>
      <c r="D9" s="37">
        <f>IF(ISERROR(TER_gezond_gas_kWh/1000),0,TER_gezond_gas_kWh/1000)*0.903</f>
        <v>1351.3176925500002</v>
      </c>
      <c r="E9" s="33">
        <f>$C$29*'E Balans VL '!I10/100/3.6*1000000</f>
        <v>0</v>
      </c>
      <c r="F9" s="33">
        <f>$C$29*('E Balans VL '!L10+'E Balans VL '!N10)/100/3.6*1000000</f>
        <v>94.642278333665843</v>
      </c>
      <c r="G9" s="34"/>
      <c r="H9" s="33"/>
      <c r="I9" s="33"/>
      <c r="J9" s="33">
        <f>$C$29*('E Balans VL '!D10+'E Balans VL '!E10)/100/3.6*1000000</f>
        <v>0</v>
      </c>
      <c r="K9" s="33"/>
      <c r="L9" s="33"/>
      <c r="M9" s="33"/>
      <c r="N9" s="33">
        <f>$C$29*'E Balans VL '!Y10/100/3.6*1000000</f>
        <v>5.6812702105422286</v>
      </c>
      <c r="O9" s="33"/>
      <c r="P9" s="33"/>
      <c r="R9" s="32"/>
    </row>
    <row r="10" spans="1:18">
      <c r="A10" s="32" t="s">
        <v>49</v>
      </c>
      <c r="B10" s="37">
        <f t="shared" si="0"/>
        <v>1777.241419</v>
      </c>
      <c r="C10" s="33"/>
      <c r="D10" s="37">
        <f>IF(ISERROR(TER_ander_gas_kWh/1000),0,TER_ander_gas_kWh/1000)*0.903</f>
        <v>1747.7314417500002</v>
      </c>
      <c r="E10" s="33">
        <f>$C$30*'E Balans VL '!I14/100/3.6*1000000</f>
        <v>25.505978477957786</v>
      </c>
      <c r="F10" s="33">
        <f>$C$30*('E Balans VL '!L14+'E Balans VL '!N14)/100/3.6*1000000</f>
        <v>1606.682511247486</v>
      </c>
      <c r="G10" s="34"/>
      <c r="H10" s="33"/>
      <c r="I10" s="33"/>
      <c r="J10" s="33">
        <f>$C$30*('E Balans VL '!D14+'E Balans VL '!E14)/100/3.6*1000000</f>
        <v>1.755171654094766E-2</v>
      </c>
      <c r="K10" s="33"/>
      <c r="L10" s="33"/>
      <c r="M10" s="33"/>
      <c r="N10" s="33">
        <f>$C$30*'E Balans VL '!Y14/100/3.6*1000000</f>
        <v>597.94434451298764</v>
      </c>
      <c r="O10" s="33"/>
      <c r="P10" s="33"/>
      <c r="R10" s="32"/>
    </row>
    <row r="11" spans="1:18">
      <c r="A11" s="32" t="s">
        <v>54</v>
      </c>
      <c r="B11" s="37">
        <f t="shared" si="0"/>
        <v>146.00898699999999</v>
      </c>
      <c r="C11" s="33"/>
      <c r="D11" s="37">
        <f>IF(ISERROR(TER_onderwijs_gas_kWh/1000),0,TER_onderwijs_gas_kWh/1000)*0.903</f>
        <v>485.92098653700009</v>
      </c>
      <c r="E11" s="33">
        <f>$C$31*'E Balans VL '!I11/100/3.6*1000000</f>
        <v>0</v>
      </c>
      <c r="F11" s="33">
        <f>$C$31*('E Balans VL '!L11+'E Balans VL '!N11)/100/3.6*1000000</f>
        <v>17.070189315588003</v>
      </c>
      <c r="G11" s="34"/>
      <c r="H11" s="33"/>
      <c r="I11" s="33"/>
      <c r="J11" s="33">
        <f>$C$31*('E Balans VL '!D11+'E Balans VL '!E11)/100/3.6*1000000</f>
        <v>0</v>
      </c>
      <c r="K11" s="33"/>
      <c r="L11" s="33"/>
      <c r="M11" s="33"/>
      <c r="N11" s="33">
        <f>$C$31*'E Balans VL '!Y11/100/3.6*1000000</f>
        <v>0.41114454100228748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39.6</v>
      </c>
      <c r="C13" s="242">
        <f ca="1">'lokale energieproductie'!O40+'lokale energieproductie'!O33</f>
        <v>56.571428571428577</v>
      </c>
      <c r="D13" s="302">
        <f ca="1">('lokale energieproductie'!P33+'lokale energieproductie'!P40)*(-1)</f>
        <v>-113.14285714285715</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10920.624381</v>
      </c>
      <c r="C16" s="21">
        <f t="shared" ca="1" si="1"/>
        <v>56.571428571428577</v>
      </c>
      <c r="D16" s="21">
        <f t="shared" ca="1" si="1"/>
        <v>10368.280359800141</v>
      </c>
      <c r="E16" s="21">
        <f t="shared" si="1"/>
        <v>38.563971181531443</v>
      </c>
      <c r="F16" s="21">
        <f t="shared" ca="1" si="1"/>
        <v>2474.7418249182351</v>
      </c>
      <c r="G16" s="21">
        <f t="shared" si="1"/>
        <v>0</v>
      </c>
      <c r="H16" s="21">
        <f t="shared" si="1"/>
        <v>0</v>
      </c>
      <c r="I16" s="21">
        <f t="shared" si="1"/>
        <v>0</v>
      </c>
      <c r="J16" s="21">
        <f t="shared" si="1"/>
        <v>1.755171654094766E-2</v>
      </c>
      <c r="K16" s="21">
        <f t="shared" si="1"/>
        <v>0</v>
      </c>
      <c r="L16" s="21">
        <f t="shared" ca="1" si="1"/>
        <v>0</v>
      </c>
      <c r="M16" s="21">
        <f t="shared" si="1"/>
        <v>0</v>
      </c>
      <c r="N16" s="21">
        <f t="shared" ca="1" si="1"/>
        <v>614.30256644209669</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0.19405840331588634</v>
      </c>
      <c r="C18" s="25">
        <f ca="1">'EF ele_warmte'!B22</f>
        <v>7.7888049074378365E-3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2119.2389305893994</v>
      </c>
      <c r="C20" s="23">
        <f t="shared" ref="C20:P20" ca="1" si="2">C16*C18</f>
        <v>0.44062382047791193</v>
      </c>
      <c r="D20" s="23">
        <f t="shared" ca="1" si="2"/>
        <v>2094.3926326796286</v>
      </c>
      <c r="E20" s="23">
        <f t="shared" si="2"/>
        <v>8.754021458207637</v>
      </c>
      <c r="F20" s="23">
        <f t="shared" ca="1" si="2"/>
        <v>660.75606725316879</v>
      </c>
      <c r="G20" s="23">
        <f t="shared" si="2"/>
        <v>0</v>
      </c>
      <c r="H20" s="23">
        <f t="shared" si="2"/>
        <v>0</v>
      </c>
      <c r="I20" s="23">
        <f t="shared" si="2"/>
        <v>0</v>
      </c>
      <c r="J20" s="23">
        <f t="shared" si="2"/>
        <v>6.2133076554954716E-3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3654.121854</v>
      </c>
      <c r="C26" s="39">
        <f>IF(ISERROR(B26*3.6/1000000/'E Balans VL '!Z12*100),0,B26*3.6/1000000/'E Balans VL '!Z12*100)</f>
        <v>0.10300026891758773</v>
      </c>
      <c r="D26" s="232" t="s">
        <v>660</v>
      </c>
      <c r="F26" s="6"/>
    </row>
    <row r="27" spans="1:18">
      <c r="A27" s="227" t="s">
        <v>52</v>
      </c>
      <c r="B27" s="33">
        <f>IF(ISERROR(TER_horeca_ele_kWh/1000),0,TER_horeca_ele_kWh/1000)</f>
        <v>1090.774782</v>
      </c>
      <c r="C27" s="39">
        <f>IF(ISERROR(B27*3.6/1000000/'E Balans VL '!Z9*100),0,B27*3.6/1000000/'E Balans VL '!Z9*100)</f>
        <v>8.0867550269172167E-2</v>
      </c>
      <c r="D27" s="232" t="s">
        <v>660</v>
      </c>
      <c r="F27" s="6"/>
    </row>
    <row r="28" spans="1:18">
      <c r="A28" s="167" t="s">
        <v>51</v>
      </c>
      <c r="B28" s="33">
        <f>IF(ISERROR(TER_handel_ele_kWh/1000),0,TER_handel_ele_kWh/1000)</f>
        <v>3442.4628199999997</v>
      </c>
      <c r="C28" s="39">
        <f>IF(ISERROR(B28*3.6/1000000/'E Balans VL '!Z13*100),0,B28*3.6/1000000/'E Balans VL '!Z13*100)</f>
        <v>0.10312800132626083</v>
      </c>
      <c r="D28" s="232" t="s">
        <v>660</v>
      </c>
      <c r="F28" s="6"/>
    </row>
    <row r="29" spans="1:18">
      <c r="A29" s="227" t="s">
        <v>50</v>
      </c>
      <c r="B29" s="33">
        <f>IF(ISERROR(TER_gezond_ele_kWh/1000),0,TER_gezond_ele_kWh/1000)</f>
        <v>770.41451899999993</v>
      </c>
      <c r="C29" s="39">
        <f>IF(ISERROR(B29*3.6/1000000/'E Balans VL '!Z10*100),0,B29*3.6/1000000/'E Balans VL '!Z10*100)</f>
        <v>7.6178889601236102E-2</v>
      </c>
      <c r="D29" s="232" t="s">
        <v>660</v>
      </c>
      <c r="F29" s="6"/>
    </row>
    <row r="30" spans="1:18">
      <c r="A30" s="227" t="s">
        <v>49</v>
      </c>
      <c r="B30" s="33">
        <f>IF(ISERROR(TER_ander_ele_kWh/1000),0,TER_ander_ele_kWh/1000)</f>
        <v>1777.241419</v>
      </c>
      <c r="C30" s="39">
        <f>IF(ISERROR(B30*3.6/1000000/'E Balans VL '!Z14*100),0,B30*3.6/1000000/'E Balans VL '!Z14*100)</f>
        <v>7.188416330763546E-2</v>
      </c>
      <c r="D30" s="232" t="s">
        <v>660</v>
      </c>
      <c r="F30" s="6"/>
    </row>
    <row r="31" spans="1:18">
      <c r="A31" s="227" t="s">
        <v>54</v>
      </c>
      <c r="B31" s="33">
        <f>IF(ISERROR(TER_onderwijs_ele_kWh/1000),0,TER_onderwijs_ele_kWh/1000)</f>
        <v>146.00898699999999</v>
      </c>
      <c r="C31" s="39">
        <f>IF(ISERROR(B31*3.6/1000000/'E Balans VL '!Z11*100),0,B31*3.6/1000000/'E Balans VL '!Z11*100)</f>
        <v>4.011505437880479E-2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42588.281027000005</v>
      </c>
      <c r="C5" s="17">
        <f>IF(ISERROR('Eigen informatie GS &amp; warmtenet'!B61),0,'Eigen informatie GS &amp; warmtenet'!B61)</f>
        <v>0</v>
      </c>
      <c r="D5" s="30">
        <f>SUM(D6:D15)</f>
        <v>46252.131635997008</v>
      </c>
      <c r="E5" s="17">
        <f>SUM(E6:E15)</f>
        <v>150.4683347867774</v>
      </c>
      <c r="F5" s="17">
        <f>SUM(F6:F15)</f>
        <v>19901.2842739158</v>
      </c>
      <c r="G5" s="18"/>
      <c r="H5" s="17"/>
      <c r="I5" s="17"/>
      <c r="J5" s="17">
        <f>SUM(J6:J15)</f>
        <v>1.2188246950378701</v>
      </c>
      <c r="K5" s="17"/>
      <c r="L5" s="17"/>
      <c r="M5" s="17"/>
      <c r="N5" s="17">
        <f>SUM(N6:N15)</f>
        <v>1573.4517374335255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312.13290699999999</v>
      </c>
      <c r="C8" s="33"/>
      <c r="D8" s="37">
        <f>IF( ISERROR(IND_metaal_Gas_kWH/1000),0,IND_metaal_Gas_kWH/1000)*0.903</f>
        <v>310.66137910499998</v>
      </c>
      <c r="E8" s="33">
        <f>C30*'E Balans VL '!I18/100/3.6*1000000</f>
        <v>1.7059419139584597</v>
      </c>
      <c r="F8" s="33">
        <f>C30*'E Balans VL '!L18/100/3.6*1000000+C30*'E Balans VL '!N18/100/3.6*1000000</f>
        <v>21.365032657591243</v>
      </c>
      <c r="G8" s="34"/>
      <c r="H8" s="33"/>
      <c r="I8" s="33"/>
      <c r="J8" s="40">
        <f>C30*'E Balans VL '!D18/100/3.6*1000000+C30*'E Balans VL '!E18/100/3.6*1000000</f>
        <v>0.31106148393868027</v>
      </c>
      <c r="K8" s="33"/>
      <c r="L8" s="33"/>
      <c r="M8" s="33"/>
      <c r="N8" s="33">
        <f>C30*'E Balans VL '!Y18/100/3.6*1000000</f>
        <v>4.6165959962936309</v>
      </c>
      <c r="O8" s="33"/>
      <c r="P8" s="33"/>
      <c r="R8" s="32"/>
    </row>
    <row r="9" spans="1:18">
      <c r="A9" s="6" t="s">
        <v>32</v>
      </c>
      <c r="B9" s="37">
        <f t="shared" si="0"/>
        <v>30455.137346</v>
      </c>
      <c r="C9" s="33"/>
      <c r="D9" s="37">
        <f>IF( ISERROR(IND_andere_gas_kWh/1000),0,IND_andere_gas_kWh/1000)*0.903</f>
        <v>15008.537854107</v>
      </c>
      <c r="E9" s="33">
        <f>C31*'E Balans VL '!I19/100/3.6*1000000</f>
        <v>114.61073549322641</v>
      </c>
      <c r="F9" s="33">
        <f>C31*'E Balans VL '!L19/100/3.6*1000000+C31*'E Balans VL '!N19/100/3.6*1000000</f>
        <v>19601.749977999527</v>
      </c>
      <c r="G9" s="34"/>
      <c r="H9" s="33"/>
      <c r="I9" s="33"/>
      <c r="J9" s="40">
        <f>C31*'E Balans VL '!D19/100/3.6*1000000+C31*'E Balans VL '!E19/100/3.6*1000000</f>
        <v>0</v>
      </c>
      <c r="K9" s="33"/>
      <c r="L9" s="33"/>
      <c r="M9" s="33"/>
      <c r="N9" s="33">
        <f>C31*'E Balans VL '!Y19/100/3.6*1000000</f>
        <v>1100.2122153662631</v>
      </c>
      <c r="O9" s="33"/>
      <c r="P9" s="33"/>
      <c r="R9" s="32"/>
    </row>
    <row r="10" spans="1:18">
      <c r="A10" s="6" t="s">
        <v>40</v>
      </c>
      <c r="B10" s="37">
        <f t="shared" si="0"/>
        <v>11510.670893999999</v>
      </c>
      <c r="C10" s="33"/>
      <c r="D10" s="37">
        <f>IF( ISERROR(IND_voed_gas_kWh/1000),0,IND_voed_gas_kWh/1000)*0.903</f>
        <v>30586.023032460002</v>
      </c>
      <c r="E10" s="33">
        <f>C32*'E Balans VL '!I20/100/3.6*1000000</f>
        <v>22.786235188812761</v>
      </c>
      <c r="F10" s="33">
        <f>C32*'E Balans VL '!L20/100/3.6*1000000+C32*'E Balans VL '!N20/100/3.6*1000000</f>
        <v>244.47253320090343</v>
      </c>
      <c r="G10" s="34"/>
      <c r="H10" s="33"/>
      <c r="I10" s="33"/>
      <c r="J10" s="40">
        <f>C32*'E Balans VL '!D20/100/3.6*1000000+C32*'E Balans VL '!E20/100/3.6*1000000</f>
        <v>0</v>
      </c>
      <c r="K10" s="33"/>
      <c r="L10" s="33"/>
      <c r="M10" s="33"/>
      <c r="N10" s="33">
        <f>C32*'E Balans VL '!Y20/100/3.6*1000000</f>
        <v>463.92377711880442</v>
      </c>
      <c r="O10" s="33"/>
      <c r="P10" s="33"/>
      <c r="R10" s="32"/>
    </row>
    <row r="11" spans="1:18">
      <c r="A11" s="6" t="s">
        <v>39</v>
      </c>
      <c r="B11" s="37">
        <f t="shared" si="0"/>
        <v>91.058248000000006</v>
      </c>
      <c r="C11" s="33"/>
      <c r="D11" s="37">
        <f>IF( ISERROR(IND_textiel_gas_kWh/1000),0,IND_textiel_gas_kWh/1000)*0.903</f>
        <v>0</v>
      </c>
      <c r="E11" s="33">
        <f>C33*'E Balans VL '!I21/100/3.6*1000000</f>
        <v>0.17731169465374622</v>
      </c>
      <c r="F11" s="33">
        <f>C33*'E Balans VL '!L21/100/3.6*1000000+C33*'E Balans VL '!N21/100/3.6*1000000</f>
        <v>2.1568860674681489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12.627632</v>
      </c>
      <c r="C13" s="33"/>
      <c r="D13" s="37">
        <f>IF( ISERROR(IND_papier_gas_kWh/1000),0,IND_papier_gas_kWh/1000)*0.903</f>
        <v>0</v>
      </c>
      <c r="E13" s="33">
        <f>C35*'E Balans VL '!I23/100/3.6*1000000</f>
        <v>0</v>
      </c>
      <c r="F13" s="33">
        <f>C35*'E Balans VL '!L23/100/3.6*1000000+C35*'E Balans VL '!N23/100/3.6*1000000</f>
        <v>1.5469646281794532E-3</v>
      </c>
      <c r="G13" s="34"/>
      <c r="H13" s="33"/>
      <c r="I13" s="33"/>
      <c r="J13" s="40">
        <f>C35*'E Balans VL '!D23/100/3.6*1000000+C35*'E Balans VL '!E23/100/3.6*1000000</f>
        <v>9.8387992757551965E-4</v>
      </c>
      <c r="K13" s="33"/>
      <c r="L13" s="33"/>
      <c r="M13" s="33"/>
      <c r="N13" s="33">
        <f>C35*'E Balans VL '!Y23/100/3.6*1000000</f>
        <v>-1.1587872029888995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206.654</v>
      </c>
      <c r="C15" s="33"/>
      <c r="D15" s="37">
        <f>IF( ISERROR(IND_rest_gas_kWh/1000),0,IND_rest_gas_kWh/1000)*0.903</f>
        <v>346.90937032500005</v>
      </c>
      <c r="E15" s="33">
        <f>C37*'E Balans VL '!I15/100/3.6*1000000</f>
        <v>11.188110496126029</v>
      </c>
      <c r="F15" s="33">
        <f>C37*'E Balans VL '!L15/100/3.6*1000000+C37*'E Balans VL '!N15/100/3.6*1000000</f>
        <v>31.538297025682709</v>
      </c>
      <c r="G15" s="34"/>
      <c r="H15" s="33"/>
      <c r="I15" s="33"/>
      <c r="J15" s="40">
        <f>C37*'E Balans VL '!D15/100/3.6*1000000+C37*'E Balans VL '!E15/100/3.6*1000000</f>
        <v>0.90677933117161436</v>
      </c>
      <c r="K15" s="33"/>
      <c r="L15" s="33"/>
      <c r="M15" s="33"/>
      <c r="N15" s="33">
        <f>C37*'E Balans VL '!Y15/100/3.6*1000000</f>
        <v>5.8579361551530669</v>
      </c>
      <c r="O15" s="33"/>
      <c r="P15" s="33"/>
      <c r="R15" s="32"/>
    </row>
    <row r="16" spans="1:18">
      <c r="A16" s="16" t="s">
        <v>466</v>
      </c>
      <c r="B16" s="242">
        <f>'lokale energieproductie'!N39+'lokale energieproductie'!N32</f>
        <v>1125</v>
      </c>
      <c r="C16" s="242">
        <f>'lokale energieproductie'!O39+'lokale energieproductie'!O32</f>
        <v>1607.1428571428571</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-3214.2857142857147</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43713.281027000005</v>
      </c>
      <c r="C18" s="21">
        <f>C5+C16</f>
        <v>1607.1428571428571</v>
      </c>
      <c r="D18" s="21">
        <f>MAX((D5+D16),0)</f>
        <v>46252.131635997008</v>
      </c>
      <c r="E18" s="21">
        <f>MAX((E5+E16),0)</f>
        <v>150.4683347867774</v>
      </c>
      <c r="F18" s="21">
        <f>MAX((F5+F16),0)</f>
        <v>19901.2842739158</v>
      </c>
      <c r="G18" s="21"/>
      <c r="H18" s="21"/>
      <c r="I18" s="21"/>
      <c r="J18" s="21">
        <f>MAX((J5+J16),0)</f>
        <v>1.2188246950378701</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0.19405840331588634</v>
      </c>
      <c r="C20" s="25">
        <f ca="1">'EF ele_warmte'!B22</f>
        <v>7.7888049074378365E-3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8482.9295197982483</v>
      </c>
      <c r="C22" s="23">
        <f ca="1">C18*C20</f>
        <v>12.517722172667952</v>
      </c>
      <c r="D22" s="23">
        <f>D18*D20</f>
        <v>9342.9305904713965</v>
      </c>
      <c r="E22" s="23">
        <f>E18*E20</f>
        <v>34.156311996598475</v>
      </c>
      <c r="F22" s="23">
        <f>F18*F20</f>
        <v>5313.6429011355194</v>
      </c>
      <c r="G22" s="23"/>
      <c r="H22" s="23"/>
      <c r="I22" s="23"/>
      <c r="J22" s="23">
        <f>J18*J20</f>
        <v>0.43146394204340599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312.13290699999999</v>
      </c>
      <c r="C30" s="39">
        <f>IF(ISERROR(B30*3.6/1000000/'E Balans VL '!Z18*100),0,B30*3.6/1000000/'E Balans VL '!Z18*100)</f>
        <v>1.741557297323866E-2</v>
      </c>
      <c r="D30" s="232" t="s">
        <v>660</v>
      </c>
    </row>
    <row r="31" spans="1:18">
      <c r="A31" s="6" t="s">
        <v>32</v>
      </c>
      <c r="B31" s="37">
        <f>IF( ISERROR(IND_ander_ele_kWh/1000),0,IND_ander_ele_kWh/1000)</f>
        <v>30455.137346</v>
      </c>
      <c r="C31" s="39">
        <f>IF(ISERROR(B31*3.6/1000000/'E Balans VL '!Z19*100),0,B31*3.6/1000000/'E Balans VL '!Z19*100)</f>
        <v>1.2396180669153789</v>
      </c>
      <c r="D31" s="232" t="s">
        <v>660</v>
      </c>
    </row>
    <row r="32" spans="1:18">
      <c r="A32" s="167" t="s">
        <v>40</v>
      </c>
      <c r="B32" s="37">
        <f>IF( ISERROR(IND_voed_ele_kWh/1000),0,IND_voed_ele_kWh/1000)</f>
        <v>11510.670893999999</v>
      </c>
      <c r="C32" s="39">
        <f>IF(ISERROR(B32*3.6/1000000/'E Balans VL '!Z20*100),0,B32*3.6/1000000/'E Balans VL '!Z20*100)</f>
        <v>0.33478603420440189</v>
      </c>
      <c r="D32" s="232" t="s">
        <v>660</v>
      </c>
    </row>
    <row r="33" spans="1:5">
      <c r="A33" s="167" t="s">
        <v>39</v>
      </c>
      <c r="B33" s="37">
        <f>IF( ISERROR(IND_textiel_ele_kWh/1000),0,IND_textiel_ele_kWh/1000)</f>
        <v>91.058248000000006</v>
      </c>
      <c r="C33" s="39">
        <f>IF(ISERROR(B33*3.6/1000000/'E Balans VL '!Z21*100),0,B33*3.6/1000000/'E Balans VL '!Z21*100)</f>
        <v>1.3412946012891077E-2</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12.627632</v>
      </c>
      <c r="C35" s="39">
        <f>IF(ISERROR(B35*3.6/1000000/'E Balans VL '!Z22*100),0,B35*3.6/1000000/'E Balans VL '!Z22*100)</f>
        <v>5.0656853744191965E-3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206.654</v>
      </c>
      <c r="C37" s="39">
        <f>IF(ISERROR(B37*3.6/1000000/'E Balans VL '!Z15*100),0,B37*3.6/1000000/'E Balans VL '!Z15*100)</f>
        <v>1.6645031386578043E-3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1505.9239580000001</v>
      </c>
      <c r="C5" s="17">
        <f>'Eigen informatie GS &amp; warmtenet'!B62</f>
        <v>0</v>
      </c>
      <c r="D5" s="30">
        <f>IF(ISERROR(SUM(LB_lb_gas_kWh,LB_rest_gas_kWh)/1000),0,SUM(LB_lb_gas_kWh,LB_rest_gas_kWh)/1000)*0.903</f>
        <v>218.74149011400002</v>
      </c>
      <c r="E5" s="17">
        <f>B17*'E Balans VL '!I25/3.6*1000000/100</f>
        <v>44.398895724397363</v>
      </c>
      <c r="F5" s="17">
        <f>B17*('E Balans VL '!L25/3.6*1000000+'E Balans VL '!N25/3.6*1000000)/100</f>
        <v>4786.3615275678176</v>
      </c>
      <c r="G5" s="18"/>
      <c r="H5" s="17"/>
      <c r="I5" s="17"/>
      <c r="J5" s="17">
        <f>('E Balans VL '!D25+'E Balans VL '!E25)/3.6*1000000*landbouw!B17/100</f>
        <v>379.78477471042856</v>
      </c>
      <c r="K5" s="17"/>
      <c r="L5" s="17">
        <f>L6*(-1)</f>
        <v>0</v>
      </c>
      <c r="M5" s="17"/>
      <c r="N5" s="17">
        <f>N6*(-1)</f>
        <v>124.71428571428569</v>
      </c>
      <c r="O5" s="17"/>
      <c r="P5" s="17"/>
      <c r="R5" s="32"/>
    </row>
    <row r="6" spans="1:18">
      <c r="A6" s="16" t="s">
        <v>466</v>
      </c>
      <c r="B6" s="17" t="s">
        <v>204</v>
      </c>
      <c r="C6" s="17">
        <f>'lokale energieproductie'!O41+'lokale energieproductie'!O34</f>
        <v>62.357142857142847</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1505.9239580000001</v>
      </c>
      <c r="C8" s="21">
        <f>C5+C6</f>
        <v>62.357142857142847</v>
      </c>
      <c r="D8" s="21">
        <f>MAX((D5+D6),0)</f>
        <v>218.74149011400002</v>
      </c>
      <c r="E8" s="21">
        <f>MAX((E5+E6),0)</f>
        <v>44.398895724397363</v>
      </c>
      <c r="F8" s="21">
        <f>MAX((F5+F6),0)</f>
        <v>4786.3615275678176</v>
      </c>
      <c r="G8" s="21"/>
      <c r="H8" s="21"/>
      <c r="I8" s="21"/>
      <c r="J8" s="21">
        <f>MAX((J5+J6),0)</f>
        <v>379.78477471042856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0.19405840331588634</v>
      </c>
      <c r="C10" s="31">
        <f ca="1">'EF ele_warmte'!B22</f>
        <v>7.7888049074378365E-3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292.23719880461988</v>
      </c>
      <c r="C12" s="23">
        <f ca="1">C8*C10</f>
        <v>0.48568762029951645</v>
      </c>
      <c r="D12" s="23">
        <f>D8*D10</f>
        <v>44.185781003028005</v>
      </c>
      <c r="E12" s="23">
        <f>E8*E10</f>
        <v>10.078549329438202</v>
      </c>
      <c r="F12" s="23">
        <f>F8*F10</f>
        <v>1277.9585278606073</v>
      </c>
      <c r="G12" s="23"/>
      <c r="H12" s="23"/>
      <c r="I12" s="23"/>
      <c r="J12" s="23">
        <f>J8*J10</f>
        <v>134.44381024749171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0.20683472589509175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149.27937514798319</v>
      </c>
      <c r="C26" s="242">
        <f>B26*'GWP N2O_CH4'!B5</f>
        <v>3134.8668781076472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30.332468814050504</v>
      </c>
      <c r="C27" s="242">
        <f>B27*'GWP N2O_CH4'!B5</f>
        <v>636.98184509506063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2.2005291947925962</v>
      </c>
      <c r="C28" s="242">
        <f>B28*'GWP N2O_CH4'!B4</f>
        <v>682.16405038570485</v>
      </c>
      <c r="D28" s="50"/>
    </row>
    <row r="29" spans="1:4">
      <c r="A29" s="41" t="s">
        <v>266</v>
      </c>
      <c r="B29" s="242">
        <f>B34*'ha_N2O bodem landbouw'!B4</f>
        <v>9.0574653490277512</v>
      </c>
      <c r="C29" s="242">
        <f>B29*'GWP N2O_CH4'!B4</f>
        <v>2807.8142581986031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2.0642222194605362E-3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4.3644298961413819E-4</v>
      </c>
      <c r="C5" s="430" t="s">
        <v>204</v>
      </c>
      <c r="D5" s="415">
        <f>SUM(D6:D11)</f>
        <v>8.0467442804859832E-4</v>
      </c>
      <c r="E5" s="415">
        <f>SUM(E6:E11)</f>
        <v>4.3730856253041957E-4</v>
      </c>
      <c r="F5" s="428" t="s">
        <v>204</v>
      </c>
      <c r="G5" s="415">
        <f>SUM(G6:G11)</f>
        <v>0.19574033635560753</v>
      </c>
      <c r="H5" s="415">
        <f>SUM(H6:H11)</f>
        <v>5.2914665975514218E-2</v>
      </c>
      <c r="I5" s="430" t="s">
        <v>204</v>
      </c>
      <c r="J5" s="430" t="s">
        <v>204</v>
      </c>
      <c r="K5" s="430" t="s">
        <v>204</v>
      </c>
      <c r="L5" s="430" t="s">
        <v>204</v>
      </c>
      <c r="M5" s="415">
        <f>SUM(M6:M11)</f>
        <v>1.4698903944505381E-2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3.4208159166247958E-4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5.9698243522649441E-4</v>
      </c>
      <c r="E6" s="844">
        <f>vkm_GW_PW*SUMIFS(TableVerdeelsleutelVkm[LPG],TableVerdeelsleutelVkm[Voertuigtype],"Lichte voertuigen")*SUMIFS(TableECFTransport[EnergieConsumptieFactor (PJ per km)],TableECFTransport[Index],CONCATENATE($A6,"_LPG_LPG"))</f>
        <v>3.2823922664850446E-4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0.10102360494109353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3.9415251972892383E-2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8.427810990860778E-3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1.4759626442083982E-6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6.108632318959941E-2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6.6947575986528E-7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3.4392575118420391E-3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9.2836474861225377E-5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2.0769199282210388E-4</v>
      </c>
      <c r="E8" s="418">
        <f>vkm_NGW_PW*SUMIFS(TableVerdeelsleutelVkm[LPG],TableVerdeelsleutelVkm[Voertuigtype],"Lichte voertuigen")*SUMIFS(TableECFTransport[EnergieConsumptieFactor (PJ per km)],TableECFTransport[Index],CONCATENATE($A8,"_LPG_LPG"))</f>
        <v>1.0906933588191509E-4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3.1020944335708633E-2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1.3498717721522937E-2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2.6849185838281834E-3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4.8960446224824666E-8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2.6094638892059756E-3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2.6805339032281838E-8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1.4691685797438151E-4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121.23416378170506</v>
      </c>
      <c r="C14" s="21"/>
      <c r="D14" s="21">
        <f t="shared" ref="D14:M14" si="0">((D5)*10^9/3600)+D12</f>
        <v>223.52067445794398</v>
      </c>
      <c r="E14" s="21">
        <f t="shared" si="0"/>
        <v>121.47460070289432</v>
      </c>
      <c r="F14" s="21"/>
      <c r="G14" s="21">
        <f t="shared" si="0"/>
        <v>54372.315654335427</v>
      </c>
      <c r="H14" s="21">
        <f t="shared" si="0"/>
        <v>14698.518326531726</v>
      </c>
      <c r="I14" s="21"/>
      <c r="J14" s="21"/>
      <c r="K14" s="21"/>
      <c r="L14" s="21"/>
      <c r="M14" s="21">
        <f t="shared" si="0"/>
        <v>4083.0288734737169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0.19405840331588634</v>
      </c>
      <c r="C16" s="56">
        <f ca="1">'EF ele_warmte'!B22</f>
        <v>7.7888049074378365E-3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23.526508250814341</v>
      </c>
      <c r="C18" s="23"/>
      <c r="D18" s="23">
        <f t="shared" ref="D18:M18" si="1">D14*D16</f>
        <v>45.151176240504689</v>
      </c>
      <c r="E18" s="23">
        <f t="shared" si="1"/>
        <v>27.574734359557013</v>
      </c>
      <c r="F18" s="23"/>
      <c r="G18" s="23">
        <f t="shared" si="1"/>
        <v>14517.408279707561</v>
      </c>
      <c r="H18" s="23">
        <f t="shared" si="1"/>
        <v>3659.9310633063997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3.4208834240962798E-5</v>
      </c>
      <c r="C50" s="313">
        <f t="shared" ref="C50:P50" si="2">SUM(C51:C52)</f>
        <v>0</v>
      </c>
      <c r="D50" s="313">
        <f t="shared" si="2"/>
        <v>0</v>
      </c>
      <c r="E50" s="313">
        <f t="shared" si="2"/>
        <v>0</v>
      </c>
      <c r="F50" s="313">
        <f t="shared" si="2"/>
        <v>0</v>
      </c>
      <c r="G50" s="313">
        <f t="shared" si="2"/>
        <v>2.4417649554343088E-3</v>
      </c>
      <c r="H50" s="313">
        <f t="shared" si="2"/>
        <v>0</v>
      </c>
      <c r="I50" s="313">
        <f t="shared" si="2"/>
        <v>0</v>
      </c>
      <c r="J50" s="313">
        <f t="shared" si="2"/>
        <v>0</v>
      </c>
      <c r="K50" s="313">
        <f t="shared" si="2"/>
        <v>0</v>
      </c>
      <c r="L50" s="313">
        <f t="shared" si="2"/>
        <v>0</v>
      </c>
      <c r="M50" s="313">
        <f t="shared" si="2"/>
        <v>1.348308274274639E-4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3.4208834240962798E-5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2.4417649554343088E-3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1.348308274274639E-4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9.5024539558229986</v>
      </c>
      <c r="C54" s="21">
        <f t="shared" ref="C54:P54" si="3">(C50)*10^9/3600</f>
        <v>0</v>
      </c>
      <c r="D54" s="21">
        <f t="shared" si="3"/>
        <v>0</v>
      </c>
      <c r="E54" s="21">
        <f t="shared" si="3"/>
        <v>0</v>
      </c>
      <c r="F54" s="21">
        <f t="shared" si="3"/>
        <v>0</v>
      </c>
      <c r="G54" s="21">
        <f t="shared" si="3"/>
        <v>678.2680431761969</v>
      </c>
      <c r="H54" s="21">
        <f t="shared" si="3"/>
        <v>0</v>
      </c>
      <c r="I54" s="21">
        <f t="shared" si="3"/>
        <v>0</v>
      </c>
      <c r="J54" s="21">
        <f t="shared" si="3"/>
        <v>0</v>
      </c>
      <c r="K54" s="21">
        <f t="shared" si="3"/>
        <v>0</v>
      </c>
      <c r="L54" s="21">
        <f t="shared" si="3"/>
        <v>0</v>
      </c>
      <c r="M54" s="21">
        <f t="shared" si="3"/>
        <v>37.453007618739974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0.19405840331588634</v>
      </c>
      <c r="C56" s="56">
        <f ca="1">'EF ele_warmte'!B22</f>
        <v>7.7888049074378365E-3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1.844031042249739</v>
      </c>
      <c r="C58" s="23">
        <f t="shared" ref="C58:P58" ca="1" si="4">C54*C56</f>
        <v>0</v>
      </c>
      <c r="D58" s="23">
        <f t="shared" si="4"/>
        <v>0</v>
      </c>
      <c r="E58" s="23">
        <f t="shared" si="4"/>
        <v>0</v>
      </c>
      <c r="F58" s="23">
        <f t="shared" si="4"/>
        <v>0</v>
      </c>
      <c r="G58" s="23">
        <f t="shared" si="4"/>
        <v>181.09756752804458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8363.8332743644951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1208.25</v>
      </c>
      <c r="C8" s="540">
        <f>B50</f>
        <v>46.588235294117652</v>
      </c>
      <c r="D8" s="541"/>
      <c r="E8" s="541">
        <f>E50</f>
        <v>0</v>
      </c>
      <c r="F8" s="542"/>
      <c r="G8" s="543"/>
      <c r="H8" s="541">
        <f>I50</f>
        <v>0</v>
      </c>
      <c r="I8" s="541">
        <f>G50+F50</f>
        <v>0</v>
      </c>
      <c r="J8" s="541">
        <f>H50+D50+C50</f>
        <v>1374.8823529411768</v>
      </c>
      <c r="K8" s="541"/>
      <c r="L8" s="541"/>
      <c r="M8" s="541"/>
      <c r="N8" s="544"/>
      <c r="O8" s="545">
        <f>C8*$C$12+D8*$D$12+E8*$E$12+F8*$F$12+G8*$G$12+H8*$H$12+I8*$I$12+J8*$J$12</f>
        <v>9.4108235294117666</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9572.0832743644951</v>
      </c>
      <c r="C10" s="555">
        <f t="shared" ref="C10:L10" si="0">SUM(C8:C9)</f>
        <v>46.588235294117652</v>
      </c>
      <c r="D10" s="555">
        <f t="shared" si="0"/>
        <v>0</v>
      </c>
      <c r="E10" s="555">
        <f t="shared" si="0"/>
        <v>0</v>
      </c>
      <c r="F10" s="555">
        <f t="shared" si="0"/>
        <v>0</v>
      </c>
      <c r="G10" s="555">
        <f t="shared" si="0"/>
        <v>0</v>
      </c>
      <c r="H10" s="555">
        <f t="shared" si="0"/>
        <v>0</v>
      </c>
      <c r="I10" s="555">
        <f t="shared" si="0"/>
        <v>0</v>
      </c>
      <c r="J10" s="555">
        <f t="shared" si="0"/>
        <v>1374.8823529411768</v>
      </c>
      <c r="K10" s="555">
        <f t="shared" si="0"/>
        <v>0</v>
      </c>
      <c r="L10" s="555">
        <f t="shared" si="0"/>
        <v>0</v>
      </c>
      <c r="M10" s="917"/>
      <c r="N10" s="917"/>
      <c r="O10" s="556">
        <f>SUM(O4:O9)</f>
        <v>9.4108235294117666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1726.0714285714287</v>
      </c>
      <c r="C17" s="571">
        <f>B51</f>
        <v>66.554621848739501</v>
      </c>
      <c r="D17" s="572"/>
      <c r="E17" s="572">
        <f>E51</f>
        <v>0</v>
      </c>
      <c r="F17" s="573"/>
      <c r="G17" s="574"/>
      <c r="H17" s="571">
        <f>I51</f>
        <v>0</v>
      </c>
      <c r="I17" s="572">
        <f>G51+F51</f>
        <v>0</v>
      </c>
      <c r="J17" s="572">
        <f>H51+D51+C51</f>
        <v>1964.1176470588239</v>
      </c>
      <c r="K17" s="572"/>
      <c r="L17" s="572"/>
      <c r="M17" s="572"/>
      <c r="N17" s="918"/>
      <c r="O17" s="575">
        <f>C17*$C$22+E17*$E$22+H17*$H$22+I17*$I$22+J17*$J$22+D17*$D$22+F17*$F$22+G17*$G$22+K17*$K$22+L17*$L$22</f>
        <v>13.444033613445381</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1726.0714285714287</v>
      </c>
      <c r="C20" s="554">
        <f>SUM(C17:C19)</f>
        <v>66.554621848739501</v>
      </c>
      <c r="D20" s="554">
        <f t="shared" ref="D20:L20" si="1">SUM(D17:D19)</f>
        <v>0</v>
      </c>
      <c r="E20" s="554">
        <f t="shared" si="1"/>
        <v>0</v>
      </c>
      <c r="F20" s="554">
        <f t="shared" si="1"/>
        <v>0</v>
      </c>
      <c r="G20" s="554">
        <f t="shared" si="1"/>
        <v>0</v>
      </c>
      <c r="H20" s="554">
        <f t="shared" si="1"/>
        <v>0</v>
      </c>
      <c r="I20" s="554">
        <f t="shared" si="1"/>
        <v>0</v>
      </c>
      <c r="J20" s="554">
        <f t="shared" si="1"/>
        <v>1964.1176470588239</v>
      </c>
      <c r="K20" s="554">
        <f t="shared" si="1"/>
        <v>0</v>
      </c>
      <c r="L20" s="554">
        <f t="shared" si="1"/>
        <v>0</v>
      </c>
      <c r="M20" s="554"/>
      <c r="N20" s="554"/>
      <c r="O20" s="580">
        <f>SUM(O17:O19)</f>
        <v>13.444033613445381</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73001</v>
      </c>
      <c r="C28" s="746">
        <v>3570</v>
      </c>
      <c r="D28" s="632"/>
      <c r="E28" s="631"/>
      <c r="F28" s="631"/>
      <c r="G28" s="631" t="s">
        <v>861</v>
      </c>
      <c r="H28" s="631" t="s">
        <v>862</v>
      </c>
      <c r="I28" s="631"/>
      <c r="J28" s="745"/>
      <c r="K28" s="745"/>
      <c r="L28" s="631" t="s">
        <v>863</v>
      </c>
      <c r="M28" s="631">
        <v>250</v>
      </c>
      <c r="N28" s="631">
        <v>1125</v>
      </c>
      <c r="O28" s="631">
        <v>1607.1428571428571</v>
      </c>
      <c r="P28" s="631">
        <v>0</v>
      </c>
      <c r="Q28" s="631">
        <v>3214.2857142857147</v>
      </c>
      <c r="R28" s="631">
        <v>0</v>
      </c>
      <c r="S28" s="631">
        <v>0</v>
      </c>
      <c r="T28" s="631">
        <v>0</v>
      </c>
      <c r="U28" s="631">
        <v>0</v>
      </c>
      <c r="V28" s="631">
        <v>0</v>
      </c>
      <c r="W28" s="631">
        <v>0</v>
      </c>
      <c r="X28" s="631"/>
      <c r="Y28" s="631">
        <v>500</v>
      </c>
      <c r="Z28" s="631" t="s">
        <v>40</v>
      </c>
      <c r="AA28" s="633" t="s">
        <v>373</v>
      </c>
    </row>
    <row r="29" spans="1:27" s="585" customFormat="1" ht="25.5" hidden="1">
      <c r="A29" s="584"/>
      <c r="B29" s="746">
        <v>73001</v>
      </c>
      <c r="C29" s="746">
        <v>3570</v>
      </c>
      <c r="D29" s="632"/>
      <c r="E29" s="631"/>
      <c r="F29" s="631"/>
      <c r="G29" s="631" t="s">
        <v>861</v>
      </c>
      <c r="H29" s="631" t="s">
        <v>862</v>
      </c>
      <c r="I29" s="631"/>
      <c r="J29" s="745"/>
      <c r="K29" s="745"/>
      <c r="L29" s="631" t="s">
        <v>863</v>
      </c>
      <c r="M29" s="631">
        <v>8.8000000000000007</v>
      </c>
      <c r="N29" s="631">
        <v>39.6</v>
      </c>
      <c r="O29" s="631">
        <v>56.571428571428577</v>
      </c>
      <c r="P29" s="631">
        <v>113.14285714285715</v>
      </c>
      <c r="Q29" s="631">
        <v>0</v>
      </c>
      <c r="R29" s="631">
        <v>0</v>
      </c>
      <c r="S29" s="631">
        <v>0</v>
      </c>
      <c r="T29" s="631">
        <v>0</v>
      </c>
      <c r="U29" s="631">
        <v>0</v>
      </c>
      <c r="V29" s="631">
        <v>0</v>
      </c>
      <c r="W29" s="631">
        <v>0</v>
      </c>
      <c r="X29" s="631"/>
      <c r="Y29" s="631">
        <v>1300</v>
      </c>
      <c r="Z29" s="631" t="s">
        <v>53</v>
      </c>
      <c r="AA29" s="633" t="s">
        <v>149</v>
      </c>
    </row>
    <row r="30" spans="1:27" s="585" customFormat="1" ht="25.5" hidden="1">
      <c r="A30" s="584"/>
      <c r="B30" s="746">
        <v>73001</v>
      </c>
      <c r="C30" s="746">
        <v>3570</v>
      </c>
      <c r="D30" s="632"/>
      <c r="E30" s="631"/>
      <c r="F30" s="631"/>
      <c r="G30" s="631" t="s">
        <v>864</v>
      </c>
      <c r="H30" s="631" t="s">
        <v>862</v>
      </c>
      <c r="I30" s="631"/>
      <c r="J30" s="745"/>
      <c r="K30" s="745"/>
      <c r="L30" s="631" t="s">
        <v>865</v>
      </c>
      <c r="M30" s="631">
        <v>9.6999999999999993</v>
      </c>
      <c r="N30" s="631">
        <v>43.649999999999991</v>
      </c>
      <c r="O30" s="631">
        <v>62.357142857142847</v>
      </c>
      <c r="P30" s="631">
        <v>0</v>
      </c>
      <c r="Q30" s="631">
        <v>124.71428571428569</v>
      </c>
      <c r="R30" s="631">
        <v>0</v>
      </c>
      <c r="S30" s="631">
        <v>0</v>
      </c>
      <c r="T30" s="631">
        <v>0</v>
      </c>
      <c r="U30" s="631">
        <v>0</v>
      </c>
      <c r="V30" s="631">
        <v>0</v>
      </c>
      <c r="W30" s="631">
        <v>0</v>
      </c>
      <c r="X30" s="631"/>
      <c r="Y30" s="631">
        <v>10</v>
      </c>
      <c r="Z30" s="631" t="s">
        <v>105</v>
      </c>
      <c r="AA30" s="633" t="s">
        <v>105</v>
      </c>
    </row>
    <row r="31" spans="1:27" s="565" customFormat="1" hidden="1">
      <c r="A31" s="587" t="s">
        <v>269</v>
      </c>
      <c r="B31" s="588"/>
      <c r="C31" s="588"/>
      <c r="D31" s="588"/>
      <c r="E31" s="588"/>
      <c r="F31" s="588"/>
      <c r="G31" s="588"/>
      <c r="H31" s="588"/>
      <c r="I31" s="588"/>
      <c r="J31" s="588"/>
      <c r="K31" s="588"/>
      <c r="L31" s="589"/>
      <c r="M31" s="589">
        <f>SUM(M28:M30)</f>
        <v>268.5</v>
      </c>
      <c r="N31" s="589">
        <f>SUM(N28:N30)</f>
        <v>1208.25</v>
      </c>
      <c r="O31" s="589">
        <f>SUM(O28:O30)</f>
        <v>1726.0714285714287</v>
      </c>
      <c r="P31" s="589">
        <f>SUM(P28:P30)</f>
        <v>113.14285714285715</v>
      </c>
      <c r="Q31" s="589">
        <f>SUM(Q28:Q30)</f>
        <v>3339.0000000000005</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250</v>
      </c>
      <c r="N32" s="589">
        <f>SUMIF($AA$28:$AA$30,"industrie",N28:N30)</f>
        <v>1125</v>
      </c>
      <c r="O32" s="589">
        <f>SUMIF($AA$28:$AA$30,"industrie",O28:O30)</f>
        <v>1607.1428571428571</v>
      </c>
      <c r="P32" s="589">
        <f>SUMIF($AA$28:$AA$30,"industrie",P28:P30)</f>
        <v>0</v>
      </c>
      <c r="Q32" s="589">
        <f>SUMIF($AA$28:$AA$30,"industrie",Q28:Q30)</f>
        <v>3214.2857142857147</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8.8000000000000007</v>
      </c>
      <c r="N33" s="589">
        <f ca="1">SUMIF($AA$28:AE30,"tertiair",N28:N30)</f>
        <v>39.6</v>
      </c>
      <c r="O33" s="589">
        <f ca="1">SUMIF($AA$28:AF30,"tertiair",O28:O30)</f>
        <v>56.571428571428577</v>
      </c>
      <c r="P33" s="589">
        <f ca="1">SUMIF($AA$28:AG30,"tertiair",P28:P30)</f>
        <v>113.14285714285715</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9.6999999999999993</v>
      </c>
      <c r="N34" s="594">
        <f>SUMIF($AA$28:$AA$30,"landbouw",N28:N30)</f>
        <v>43.649999999999991</v>
      </c>
      <c r="O34" s="594">
        <f>SUMIF($AA$28:$AA$30,"landbouw",O28:O30)</f>
        <v>62.357142857142847</v>
      </c>
      <c r="P34" s="594">
        <f>SUMIF($AA$28:$AA$30,"landbouw",P28:P30)</f>
        <v>0</v>
      </c>
      <c r="Q34" s="594">
        <f>SUMIF($AA$28:$AA$30,"landbouw",Q28:Q30)</f>
        <v>124.71428571428569</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0.58823529411764708</v>
      </c>
      <c r="C47" s="614">
        <f>IF(ISERROR(N31/(O31+N31)),0,N31/(N31+O31))</f>
        <v>0.41176470588235298</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46.588235294117652</v>
      </c>
      <c r="C50" s="623">
        <f t="shared" si="2"/>
        <v>1374.8823529411768</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66.554621848739501</v>
      </c>
      <c r="C51" s="626">
        <f t="shared" si="3"/>
        <v>1964.1176470588239</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11542.627607999999</v>
      </c>
      <c r="D10" s="642">
        <f ca="1">tertiair!C16</f>
        <v>56.571428571428577</v>
      </c>
      <c r="E10" s="642">
        <f ca="1">tertiair!D16</f>
        <v>10368.280359800141</v>
      </c>
      <c r="F10" s="642">
        <f>tertiair!E16</f>
        <v>38.563971181531443</v>
      </c>
      <c r="G10" s="642">
        <f ca="1">tertiair!F16</f>
        <v>2474.7418249182351</v>
      </c>
      <c r="H10" s="642">
        <f>tertiair!G16</f>
        <v>0</v>
      </c>
      <c r="I10" s="642">
        <f>tertiair!H16</f>
        <v>0</v>
      </c>
      <c r="J10" s="642">
        <f>tertiair!I16</f>
        <v>0</v>
      </c>
      <c r="K10" s="642">
        <f>tertiair!J16</f>
        <v>1.755171654094766E-2</v>
      </c>
      <c r="L10" s="642">
        <f>tertiair!K16</f>
        <v>0</v>
      </c>
      <c r="M10" s="642">
        <f ca="1">tertiair!L16</f>
        <v>0</v>
      </c>
      <c r="N10" s="642">
        <f>tertiair!M16</f>
        <v>0</v>
      </c>
      <c r="O10" s="642">
        <f ca="1">tertiair!N16</f>
        <v>614.30256644209669</v>
      </c>
      <c r="P10" s="642">
        <f>tertiair!O16</f>
        <v>9.7945215316823084</v>
      </c>
      <c r="Q10" s="643">
        <f>tertiair!P16</f>
        <v>105.07827661299004</v>
      </c>
      <c r="R10" s="645">
        <f ca="1">SUM(C10:Q10)</f>
        <v>25209.978108774645</v>
      </c>
      <c r="S10" s="67"/>
    </row>
    <row r="11" spans="1:19" s="441" customFormat="1">
      <c r="A11" s="762" t="s">
        <v>214</v>
      </c>
      <c r="B11" s="767"/>
      <c r="C11" s="642">
        <f>huishoudens!B8</f>
        <v>20912.892005197074</v>
      </c>
      <c r="D11" s="642">
        <f>huishoudens!C8</f>
        <v>0</v>
      </c>
      <c r="E11" s="642">
        <f>huishoudens!D8</f>
        <v>31311.346214127007</v>
      </c>
      <c r="F11" s="642">
        <f>huishoudens!E8</f>
        <v>2014.4081526068419</v>
      </c>
      <c r="G11" s="642">
        <f>huishoudens!F8</f>
        <v>33011.480064628304</v>
      </c>
      <c r="H11" s="642">
        <f>huishoudens!G8</f>
        <v>0</v>
      </c>
      <c r="I11" s="642">
        <f>huishoudens!H8</f>
        <v>0</v>
      </c>
      <c r="J11" s="642">
        <f>huishoudens!I8</f>
        <v>0</v>
      </c>
      <c r="K11" s="642">
        <f>huishoudens!J8</f>
        <v>182.2068252318933</v>
      </c>
      <c r="L11" s="642">
        <f>huishoudens!K8</f>
        <v>0</v>
      </c>
      <c r="M11" s="642">
        <f>huishoudens!L8</f>
        <v>0</v>
      </c>
      <c r="N11" s="642">
        <f>huishoudens!M8</f>
        <v>0</v>
      </c>
      <c r="O11" s="642">
        <f>huishoudens!N8</f>
        <v>7077.0879951265706</v>
      </c>
      <c r="P11" s="642">
        <f>huishoudens!O8</f>
        <v>436.47080826514696</v>
      </c>
      <c r="Q11" s="643">
        <f>huishoudens!P8</f>
        <v>642.57151776878641</v>
      </c>
      <c r="R11" s="645">
        <f>SUM(C11:Q11)</f>
        <v>95588.463582951619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43713.281027000005</v>
      </c>
      <c r="D13" s="642">
        <f>industrie!C18</f>
        <v>1607.1428571428571</v>
      </c>
      <c r="E13" s="642">
        <f>industrie!D18</f>
        <v>46252.131635997008</v>
      </c>
      <c r="F13" s="642">
        <f>industrie!E18</f>
        <v>150.4683347867774</v>
      </c>
      <c r="G13" s="642">
        <f>industrie!F18</f>
        <v>19901.2842739158</v>
      </c>
      <c r="H13" s="642">
        <f>industrie!G18</f>
        <v>0</v>
      </c>
      <c r="I13" s="642">
        <f>industrie!H18</f>
        <v>0</v>
      </c>
      <c r="J13" s="642">
        <f>industrie!I18</f>
        <v>0</v>
      </c>
      <c r="K13" s="642">
        <f>industrie!J18</f>
        <v>1.2188246950378701</v>
      </c>
      <c r="L13" s="642">
        <f>industrie!K18</f>
        <v>0</v>
      </c>
      <c r="M13" s="642">
        <f>industrie!L18</f>
        <v>0</v>
      </c>
      <c r="N13" s="642">
        <f>industrie!M18</f>
        <v>0</v>
      </c>
      <c r="O13" s="642">
        <f>industrie!N18</f>
        <v>0</v>
      </c>
      <c r="P13" s="642">
        <f>industrie!O18</f>
        <v>0</v>
      </c>
      <c r="Q13" s="643">
        <f>industrie!P18</f>
        <v>0</v>
      </c>
      <c r="R13" s="645">
        <f>SUM(C13:Q13)</f>
        <v>111625.52695353748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76168.800640197078</v>
      </c>
      <c r="D16" s="678">
        <f t="shared" ref="D16:R16" ca="1" si="0">SUM(D9:D15)</f>
        <v>1663.7142857142858</v>
      </c>
      <c r="E16" s="678">
        <f t="shared" ca="1" si="0"/>
        <v>87931.758209924155</v>
      </c>
      <c r="F16" s="678">
        <f t="shared" si="0"/>
        <v>2203.4404585751508</v>
      </c>
      <c r="G16" s="678">
        <f t="shared" ca="1" si="0"/>
        <v>55387.506163462342</v>
      </c>
      <c r="H16" s="678">
        <f t="shared" si="0"/>
        <v>0</v>
      </c>
      <c r="I16" s="678">
        <f t="shared" si="0"/>
        <v>0</v>
      </c>
      <c r="J16" s="678">
        <f t="shared" si="0"/>
        <v>0</v>
      </c>
      <c r="K16" s="678">
        <f t="shared" si="0"/>
        <v>183.44320164347212</v>
      </c>
      <c r="L16" s="678">
        <f t="shared" si="0"/>
        <v>0</v>
      </c>
      <c r="M16" s="678">
        <f t="shared" ca="1" si="0"/>
        <v>0</v>
      </c>
      <c r="N16" s="678">
        <f t="shared" si="0"/>
        <v>0</v>
      </c>
      <c r="O16" s="678">
        <f t="shared" ca="1" si="0"/>
        <v>7691.3905615686672</v>
      </c>
      <c r="P16" s="678">
        <f t="shared" si="0"/>
        <v>446.26532979682929</v>
      </c>
      <c r="Q16" s="678">
        <f t="shared" si="0"/>
        <v>747.64979438177647</v>
      </c>
      <c r="R16" s="678">
        <f t="shared" ca="1" si="0"/>
        <v>232423.96864526375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9.5024539558229986</v>
      </c>
      <c r="D19" s="642">
        <f>transport!C54</f>
        <v>0</v>
      </c>
      <c r="E19" s="642">
        <f>transport!D54</f>
        <v>0</v>
      </c>
      <c r="F19" s="642">
        <f>transport!E54</f>
        <v>0</v>
      </c>
      <c r="G19" s="642">
        <f>transport!F54</f>
        <v>0</v>
      </c>
      <c r="H19" s="642">
        <f>transport!G54</f>
        <v>678.2680431761969</v>
      </c>
      <c r="I19" s="642">
        <f>transport!H54</f>
        <v>0</v>
      </c>
      <c r="J19" s="642">
        <f>transport!I54</f>
        <v>0</v>
      </c>
      <c r="K19" s="642">
        <f>transport!J54</f>
        <v>0</v>
      </c>
      <c r="L19" s="642">
        <f>transport!K54</f>
        <v>0</v>
      </c>
      <c r="M19" s="642">
        <f>transport!L54</f>
        <v>0</v>
      </c>
      <c r="N19" s="642">
        <f>transport!M54</f>
        <v>37.453007618739974</v>
      </c>
      <c r="O19" s="642">
        <f>transport!N54</f>
        <v>0</v>
      </c>
      <c r="P19" s="642">
        <f>transport!O54</f>
        <v>0</v>
      </c>
      <c r="Q19" s="643">
        <f>transport!P54</f>
        <v>0</v>
      </c>
      <c r="R19" s="645">
        <f>SUM(C19:Q19)</f>
        <v>725.22350475075984</v>
      </c>
      <c r="S19" s="67"/>
    </row>
    <row r="20" spans="1:19" s="441" customFormat="1">
      <c r="A20" s="762" t="s">
        <v>296</v>
      </c>
      <c r="B20" s="767"/>
      <c r="C20" s="642">
        <f>transport!B14</f>
        <v>121.23416378170506</v>
      </c>
      <c r="D20" s="642">
        <f>transport!C14</f>
        <v>0</v>
      </c>
      <c r="E20" s="642">
        <f>transport!D14</f>
        <v>223.52067445794398</v>
      </c>
      <c r="F20" s="642">
        <f>transport!E14</f>
        <v>121.47460070289432</v>
      </c>
      <c r="G20" s="642">
        <f>transport!F14</f>
        <v>0</v>
      </c>
      <c r="H20" s="642">
        <f>transport!G14</f>
        <v>54372.315654335427</v>
      </c>
      <c r="I20" s="642">
        <f>transport!H14</f>
        <v>14698.518326531726</v>
      </c>
      <c r="J20" s="642">
        <f>transport!I14</f>
        <v>0</v>
      </c>
      <c r="K20" s="642">
        <f>transport!J14</f>
        <v>0</v>
      </c>
      <c r="L20" s="642">
        <f>transport!K14</f>
        <v>0</v>
      </c>
      <c r="M20" s="642">
        <f>transport!L14</f>
        <v>0</v>
      </c>
      <c r="N20" s="642">
        <f>transport!M14</f>
        <v>4083.0288734737169</v>
      </c>
      <c r="O20" s="642">
        <f>transport!N14</f>
        <v>0</v>
      </c>
      <c r="P20" s="642">
        <f>transport!O14</f>
        <v>0</v>
      </c>
      <c r="Q20" s="643">
        <f>transport!P14</f>
        <v>0</v>
      </c>
      <c r="R20" s="645">
        <f>SUM(C20:Q20)</f>
        <v>73620.092293283407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130.73661773752806</v>
      </c>
      <c r="D22" s="765">
        <f t="shared" ref="D22:R22" si="1">SUM(D18:D21)</f>
        <v>0</v>
      </c>
      <c r="E22" s="765">
        <f t="shared" si="1"/>
        <v>223.52067445794398</v>
      </c>
      <c r="F22" s="765">
        <f t="shared" si="1"/>
        <v>121.47460070289432</v>
      </c>
      <c r="G22" s="765">
        <f t="shared" si="1"/>
        <v>0</v>
      </c>
      <c r="H22" s="765">
        <f t="shared" si="1"/>
        <v>55050.583697511625</v>
      </c>
      <c r="I22" s="765">
        <f t="shared" si="1"/>
        <v>14698.518326531726</v>
      </c>
      <c r="J22" s="765">
        <f t="shared" si="1"/>
        <v>0</v>
      </c>
      <c r="K22" s="765">
        <f t="shared" si="1"/>
        <v>0</v>
      </c>
      <c r="L22" s="765">
        <f t="shared" si="1"/>
        <v>0</v>
      </c>
      <c r="M22" s="765">
        <f t="shared" si="1"/>
        <v>0</v>
      </c>
      <c r="N22" s="765">
        <f t="shared" si="1"/>
        <v>4120.4818810924571</v>
      </c>
      <c r="O22" s="765">
        <f t="shared" si="1"/>
        <v>0</v>
      </c>
      <c r="P22" s="765">
        <f t="shared" si="1"/>
        <v>0</v>
      </c>
      <c r="Q22" s="765">
        <f t="shared" si="1"/>
        <v>0</v>
      </c>
      <c r="R22" s="765">
        <f t="shared" si="1"/>
        <v>74345.315798034164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1505.9239580000001</v>
      </c>
      <c r="D24" s="642">
        <f>+landbouw!C8</f>
        <v>62.357142857142847</v>
      </c>
      <c r="E24" s="642">
        <f>+landbouw!D8</f>
        <v>218.74149011400002</v>
      </c>
      <c r="F24" s="642">
        <f>+landbouw!E8</f>
        <v>44.398895724397363</v>
      </c>
      <c r="G24" s="642">
        <f>+landbouw!F8</f>
        <v>4786.3615275678176</v>
      </c>
      <c r="H24" s="642">
        <f>+landbouw!G8</f>
        <v>0</v>
      </c>
      <c r="I24" s="642">
        <f>+landbouw!H8</f>
        <v>0</v>
      </c>
      <c r="J24" s="642">
        <f>+landbouw!I8</f>
        <v>0</v>
      </c>
      <c r="K24" s="642">
        <f>+landbouw!J8</f>
        <v>379.78477471042856</v>
      </c>
      <c r="L24" s="642">
        <f>+landbouw!K8</f>
        <v>0</v>
      </c>
      <c r="M24" s="642">
        <f>+landbouw!L8</f>
        <v>0</v>
      </c>
      <c r="N24" s="642">
        <f>+landbouw!M8</f>
        <v>0</v>
      </c>
      <c r="O24" s="642">
        <f>+landbouw!N8</f>
        <v>0</v>
      </c>
      <c r="P24" s="642">
        <f>+landbouw!O8</f>
        <v>0</v>
      </c>
      <c r="Q24" s="643">
        <f>+landbouw!P8</f>
        <v>0</v>
      </c>
      <c r="R24" s="645">
        <f>SUM(C24:Q24)</f>
        <v>6997.5677889737863</v>
      </c>
      <c r="S24" s="67"/>
    </row>
    <row r="25" spans="1:19" s="441" customFormat="1" ht="15" thickBot="1">
      <c r="A25" s="784" t="s">
        <v>672</v>
      </c>
      <c r="B25" s="895"/>
      <c r="C25" s="896">
        <f>IF(Onbekend_ele_kWh="---",0,Onbekend_ele_kWh)/1000+IF(REST_rest_ele_kWh="---",0,REST_rest_ele_kWh)/1000</f>
        <v>364.35198400000002</v>
      </c>
      <c r="D25" s="896"/>
      <c r="E25" s="896">
        <f>IF(onbekend_gas_kWh="---",0,onbekend_gas_kWh)/1000+IF(REST_rest_gas_kWh="---",0,REST_rest_gas_kWh)/1000</f>
        <v>1065.6875830000001</v>
      </c>
      <c r="F25" s="896"/>
      <c r="G25" s="896"/>
      <c r="H25" s="896"/>
      <c r="I25" s="896"/>
      <c r="J25" s="896"/>
      <c r="K25" s="896"/>
      <c r="L25" s="896"/>
      <c r="M25" s="896"/>
      <c r="N25" s="896"/>
      <c r="O25" s="896"/>
      <c r="P25" s="896"/>
      <c r="Q25" s="897"/>
      <c r="R25" s="645">
        <f>SUM(C25:Q25)</f>
        <v>1430.0395670000003</v>
      </c>
      <c r="S25" s="67"/>
    </row>
    <row r="26" spans="1:19" s="441" customFormat="1" ht="15.75" thickBot="1">
      <c r="A26" s="650" t="s">
        <v>673</v>
      </c>
      <c r="B26" s="770"/>
      <c r="C26" s="765">
        <f>SUM(C24:C25)</f>
        <v>1870.2759420000002</v>
      </c>
      <c r="D26" s="765">
        <f t="shared" ref="D26:R26" si="2">SUM(D24:D25)</f>
        <v>62.357142857142847</v>
      </c>
      <c r="E26" s="765">
        <f t="shared" si="2"/>
        <v>1284.4290731140002</v>
      </c>
      <c r="F26" s="765">
        <f t="shared" si="2"/>
        <v>44.398895724397363</v>
      </c>
      <c r="G26" s="765">
        <f t="shared" si="2"/>
        <v>4786.3615275678176</v>
      </c>
      <c r="H26" s="765">
        <f t="shared" si="2"/>
        <v>0</v>
      </c>
      <c r="I26" s="765">
        <f t="shared" si="2"/>
        <v>0</v>
      </c>
      <c r="J26" s="765">
        <f t="shared" si="2"/>
        <v>0</v>
      </c>
      <c r="K26" s="765">
        <f t="shared" si="2"/>
        <v>379.78477471042856</v>
      </c>
      <c r="L26" s="765">
        <f t="shared" si="2"/>
        <v>0</v>
      </c>
      <c r="M26" s="765">
        <f t="shared" si="2"/>
        <v>0</v>
      </c>
      <c r="N26" s="765">
        <f t="shared" si="2"/>
        <v>0</v>
      </c>
      <c r="O26" s="765">
        <f t="shared" si="2"/>
        <v>0</v>
      </c>
      <c r="P26" s="765">
        <f t="shared" si="2"/>
        <v>0</v>
      </c>
      <c r="Q26" s="765">
        <f t="shared" si="2"/>
        <v>0</v>
      </c>
      <c r="R26" s="765">
        <f t="shared" si="2"/>
        <v>8427.607355973787</v>
      </c>
      <c r="S26" s="67"/>
    </row>
    <row r="27" spans="1:19" s="441" customFormat="1" ht="17.25" thickTop="1" thickBot="1">
      <c r="A27" s="651" t="s">
        <v>109</v>
      </c>
      <c r="B27" s="757"/>
      <c r="C27" s="652">
        <f ca="1">C22+C16+C26</f>
        <v>78169.813199934608</v>
      </c>
      <c r="D27" s="652">
        <f t="shared" ref="D27:R27" ca="1" si="3">D22+D16+D26</f>
        <v>1726.0714285714287</v>
      </c>
      <c r="E27" s="652">
        <f t="shared" ca="1" si="3"/>
        <v>89439.70795749611</v>
      </c>
      <c r="F27" s="652">
        <f t="shared" si="3"/>
        <v>2369.3139550024425</v>
      </c>
      <c r="G27" s="652">
        <f t="shared" ca="1" si="3"/>
        <v>60173.867691030158</v>
      </c>
      <c r="H27" s="652">
        <f t="shared" si="3"/>
        <v>55050.583697511625</v>
      </c>
      <c r="I27" s="652">
        <f t="shared" si="3"/>
        <v>14698.518326531726</v>
      </c>
      <c r="J27" s="652">
        <f t="shared" si="3"/>
        <v>0</v>
      </c>
      <c r="K27" s="652">
        <f t="shared" si="3"/>
        <v>563.22797635390066</v>
      </c>
      <c r="L27" s="652">
        <f t="shared" si="3"/>
        <v>0</v>
      </c>
      <c r="M27" s="652">
        <f t="shared" ca="1" si="3"/>
        <v>0</v>
      </c>
      <c r="N27" s="652">
        <f t="shared" si="3"/>
        <v>4120.4818810924571</v>
      </c>
      <c r="O27" s="652">
        <f t="shared" ca="1" si="3"/>
        <v>7691.3905615686672</v>
      </c>
      <c r="P27" s="652">
        <f t="shared" si="3"/>
        <v>446.26532979682929</v>
      </c>
      <c r="Q27" s="652">
        <f t="shared" si="3"/>
        <v>747.64979438177647</v>
      </c>
      <c r="R27" s="652">
        <f t="shared" ca="1" si="3"/>
        <v>315196.89179927169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2239.9438836783484</v>
      </c>
      <c r="D40" s="642">
        <f ca="1">tertiair!C20</f>
        <v>0.44062382047791193</v>
      </c>
      <c r="E40" s="642">
        <f ca="1">tertiair!D20</f>
        <v>2094.3926326796286</v>
      </c>
      <c r="F40" s="642">
        <f>tertiair!E20</f>
        <v>8.754021458207637</v>
      </c>
      <c r="G40" s="642">
        <f ca="1">tertiair!F20</f>
        <v>660.75606725316879</v>
      </c>
      <c r="H40" s="642">
        <f>tertiair!G20</f>
        <v>0</v>
      </c>
      <c r="I40" s="642">
        <f>tertiair!H20</f>
        <v>0</v>
      </c>
      <c r="J40" s="642">
        <f>tertiair!I20</f>
        <v>0</v>
      </c>
      <c r="K40" s="642">
        <f>tertiair!J20</f>
        <v>6.2133076554954716E-3</v>
      </c>
      <c r="L40" s="642">
        <f>tertiair!K20</f>
        <v>0</v>
      </c>
      <c r="M40" s="642">
        <f ca="1">tertiair!L20</f>
        <v>0</v>
      </c>
      <c r="N40" s="642">
        <f>tertiair!M20</f>
        <v>0</v>
      </c>
      <c r="O40" s="642">
        <f ca="1">tertiair!N20</f>
        <v>0</v>
      </c>
      <c r="P40" s="642">
        <f>tertiair!O20</f>
        <v>0</v>
      </c>
      <c r="Q40" s="725">
        <f>tertiair!P20</f>
        <v>0</v>
      </c>
      <c r="R40" s="803">
        <f t="shared" ca="1" si="4"/>
        <v>5004.2934421974869</v>
      </c>
    </row>
    <row r="41" spans="1:18">
      <c r="A41" s="775" t="s">
        <v>214</v>
      </c>
      <c r="B41" s="782"/>
      <c r="C41" s="642">
        <f ca="1">huishoudens!B12</f>
        <v>4058.3224312461089</v>
      </c>
      <c r="D41" s="642">
        <f ca="1">huishoudens!C12</f>
        <v>0</v>
      </c>
      <c r="E41" s="642">
        <f>huishoudens!D12</f>
        <v>6324.8919352536559</v>
      </c>
      <c r="F41" s="642">
        <f>huishoudens!E12</f>
        <v>457.27065064175315</v>
      </c>
      <c r="G41" s="642">
        <f>huishoudens!F12</f>
        <v>8814.0651772557576</v>
      </c>
      <c r="H41" s="642">
        <f>huishoudens!G12</f>
        <v>0</v>
      </c>
      <c r="I41" s="642">
        <f>huishoudens!H12</f>
        <v>0</v>
      </c>
      <c r="J41" s="642">
        <f>huishoudens!I12</f>
        <v>0</v>
      </c>
      <c r="K41" s="642">
        <f>huishoudens!J12</f>
        <v>64.501216132090221</v>
      </c>
      <c r="L41" s="642">
        <f>huishoudens!K12</f>
        <v>0</v>
      </c>
      <c r="M41" s="642">
        <f>huishoudens!L12</f>
        <v>0</v>
      </c>
      <c r="N41" s="642">
        <f>huishoudens!M12</f>
        <v>0</v>
      </c>
      <c r="O41" s="642">
        <f>huishoudens!N12</f>
        <v>0</v>
      </c>
      <c r="P41" s="642">
        <f>huishoudens!O12</f>
        <v>0</v>
      </c>
      <c r="Q41" s="725">
        <f>huishoudens!P12</f>
        <v>0</v>
      </c>
      <c r="R41" s="803">
        <f t="shared" ca="1" si="4"/>
        <v>19719.051410529366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8482.9295197982483</v>
      </c>
      <c r="D43" s="642">
        <f ca="1">industrie!C22</f>
        <v>12.517722172667952</v>
      </c>
      <c r="E43" s="642">
        <f>industrie!D22</f>
        <v>9342.9305904713965</v>
      </c>
      <c r="F43" s="642">
        <f>industrie!E22</f>
        <v>34.156311996598475</v>
      </c>
      <c r="G43" s="642">
        <f>industrie!F22</f>
        <v>5313.6429011355194</v>
      </c>
      <c r="H43" s="642">
        <f>industrie!G22</f>
        <v>0</v>
      </c>
      <c r="I43" s="642">
        <f>industrie!H22</f>
        <v>0</v>
      </c>
      <c r="J43" s="642">
        <f>industrie!I22</f>
        <v>0</v>
      </c>
      <c r="K43" s="642">
        <f>industrie!J22</f>
        <v>0.43146394204340599</v>
      </c>
      <c r="L43" s="642">
        <f>industrie!K22</f>
        <v>0</v>
      </c>
      <c r="M43" s="642">
        <f>industrie!L22</f>
        <v>0</v>
      </c>
      <c r="N43" s="642">
        <f>industrie!M22</f>
        <v>0</v>
      </c>
      <c r="O43" s="642">
        <f>industrie!N22</f>
        <v>0</v>
      </c>
      <c r="P43" s="642">
        <f>industrie!O22</f>
        <v>0</v>
      </c>
      <c r="Q43" s="725">
        <f>industrie!P22</f>
        <v>0</v>
      </c>
      <c r="R43" s="802">
        <f t="shared" ca="1" si="4"/>
        <v>23186.608509516471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14781.195834722705</v>
      </c>
      <c r="D46" s="678">
        <f t="shared" ref="D46:Q46" ca="1" si="5">SUM(D39:D45)</f>
        <v>12.958345993145864</v>
      </c>
      <c r="E46" s="678">
        <f t="shared" ca="1" si="5"/>
        <v>17762.215158404681</v>
      </c>
      <c r="F46" s="678">
        <f t="shared" si="5"/>
        <v>500.18098409655931</v>
      </c>
      <c r="G46" s="678">
        <f t="shared" ca="1" si="5"/>
        <v>14788.464145644446</v>
      </c>
      <c r="H46" s="678">
        <f t="shared" si="5"/>
        <v>0</v>
      </c>
      <c r="I46" s="678">
        <f t="shared" si="5"/>
        <v>0</v>
      </c>
      <c r="J46" s="678">
        <f t="shared" si="5"/>
        <v>0</v>
      </c>
      <c r="K46" s="678">
        <f t="shared" si="5"/>
        <v>64.938893381789129</v>
      </c>
      <c r="L46" s="678">
        <f t="shared" si="5"/>
        <v>0</v>
      </c>
      <c r="M46" s="678">
        <f t="shared" ca="1" si="5"/>
        <v>0</v>
      </c>
      <c r="N46" s="678">
        <f t="shared" si="5"/>
        <v>0</v>
      </c>
      <c r="O46" s="678">
        <f t="shared" ca="1" si="5"/>
        <v>0</v>
      </c>
      <c r="P46" s="678">
        <f t="shared" si="5"/>
        <v>0</v>
      </c>
      <c r="Q46" s="678">
        <f t="shared" si="5"/>
        <v>0</v>
      </c>
      <c r="R46" s="678">
        <f ca="1">SUM(R39:R45)</f>
        <v>47909.953362243323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1.844031042249739</v>
      </c>
      <c r="D49" s="642">
        <f ca="1">transport!C58</f>
        <v>0</v>
      </c>
      <c r="E49" s="642">
        <f>transport!D58</f>
        <v>0</v>
      </c>
      <c r="F49" s="642">
        <f>transport!E58</f>
        <v>0</v>
      </c>
      <c r="G49" s="642">
        <f>transport!F58</f>
        <v>0</v>
      </c>
      <c r="H49" s="642">
        <f>transport!G58</f>
        <v>181.09756752804458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182.94159857029433</v>
      </c>
    </row>
    <row r="50" spans="1:18">
      <c r="A50" s="778" t="s">
        <v>296</v>
      </c>
      <c r="B50" s="788"/>
      <c r="C50" s="648">
        <f ca="1">transport!B18</f>
        <v>23.526508250814341</v>
      </c>
      <c r="D50" s="648">
        <f>transport!C18</f>
        <v>0</v>
      </c>
      <c r="E50" s="648">
        <f>transport!D18</f>
        <v>45.151176240504689</v>
      </c>
      <c r="F50" s="648">
        <f>transport!E18</f>
        <v>27.574734359557013</v>
      </c>
      <c r="G50" s="648">
        <f>transport!F18</f>
        <v>0</v>
      </c>
      <c r="H50" s="648">
        <f>transport!G18</f>
        <v>14517.408279707561</v>
      </c>
      <c r="I50" s="648">
        <f>transport!H18</f>
        <v>3659.9310633063997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18273.591761864838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25.370539293064081</v>
      </c>
      <c r="D52" s="678">
        <f t="shared" ref="D52:Q52" ca="1" si="6">SUM(D48:D51)</f>
        <v>0</v>
      </c>
      <c r="E52" s="678">
        <f t="shared" si="6"/>
        <v>45.151176240504689</v>
      </c>
      <c r="F52" s="678">
        <f t="shared" si="6"/>
        <v>27.574734359557013</v>
      </c>
      <c r="G52" s="678">
        <f t="shared" si="6"/>
        <v>0</v>
      </c>
      <c r="H52" s="678">
        <f t="shared" si="6"/>
        <v>14698.505847235605</v>
      </c>
      <c r="I52" s="678">
        <f t="shared" si="6"/>
        <v>3659.9310633063997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18456.533360435133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292.23719880461988</v>
      </c>
      <c r="D54" s="648">
        <f ca="1">+landbouw!C12</f>
        <v>0.48568762029951645</v>
      </c>
      <c r="E54" s="648">
        <f>+landbouw!D12</f>
        <v>44.185781003028005</v>
      </c>
      <c r="F54" s="648">
        <f>+landbouw!E12</f>
        <v>10.078549329438202</v>
      </c>
      <c r="G54" s="648">
        <f>+landbouw!F12</f>
        <v>1277.9585278606073</v>
      </c>
      <c r="H54" s="648">
        <f>+landbouw!G12</f>
        <v>0</v>
      </c>
      <c r="I54" s="648">
        <f>+landbouw!H12</f>
        <v>0</v>
      </c>
      <c r="J54" s="648">
        <f>+landbouw!I12</f>
        <v>0</v>
      </c>
      <c r="K54" s="648">
        <f>+landbouw!J12</f>
        <v>134.44381024749171</v>
      </c>
      <c r="L54" s="648">
        <f>+landbouw!K12</f>
        <v>0</v>
      </c>
      <c r="M54" s="648">
        <f>+landbouw!L12</f>
        <v>0</v>
      </c>
      <c r="N54" s="648">
        <f>+landbouw!M12</f>
        <v>0</v>
      </c>
      <c r="O54" s="648">
        <f>+landbouw!N12</f>
        <v>0</v>
      </c>
      <c r="P54" s="648">
        <f>+landbouw!O12</f>
        <v>0</v>
      </c>
      <c r="Q54" s="649">
        <f>+landbouw!P12</f>
        <v>0</v>
      </c>
      <c r="R54" s="677">
        <f ca="1">SUM(C54:Q54)</f>
        <v>1759.3895548654846</v>
      </c>
    </row>
    <row r="55" spans="1:18" ht="15" thickBot="1">
      <c r="A55" s="778" t="s">
        <v>672</v>
      </c>
      <c r="B55" s="788"/>
      <c r="C55" s="648">
        <f ca="1">C25*'EF ele_warmte'!B12</f>
        <v>70.705564260015365</v>
      </c>
      <c r="D55" s="648"/>
      <c r="E55" s="648">
        <f>E25*EF_CO2_aardgas</f>
        <v>215.26889176600005</v>
      </c>
      <c r="F55" s="648"/>
      <c r="G55" s="648"/>
      <c r="H55" s="648"/>
      <c r="I55" s="648"/>
      <c r="J55" s="648"/>
      <c r="K55" s="648"/>
      <c r="L55" s="648"/>
      <c r="M55" s="648"/>
      <c r="N55" s="648"/>
      <c r="O55" s="648"/>
      <c r="P55" s="648"/>
      <c r="Q55" s="649"/>
      <c r="R55" s="677">
        <f ca="1">SUM(C55:Q55)</f>
        <v>285.97445602601545</v>
      </c>
    </row>
    <row r="56" spans="1:18" ht="15.75" thickBot="1">
      <c r="A56" s="776" t="s">
        <v>673</v>
      </c>
      <c r="B56" s="789"/>
      <c r="C56" s="678">
        <f ca="1">SUM(C54:C55)</f>
        <v>362.94276306463524</v>
      </c>
      <c r="D56" s="678">
        <f t="shared" ref="D56:Q56" ca="1" si="7">SUM(D54:D55)</f>
        <v>0.48568762029951645</v>
      </c>
      <c r="E56" s="678">
        <f t="shared" si="7"/>
        <v>259.45467276902804</v>
      </c>
      <c r="F56" s="678">
        <f t="shared" si="7"/>
        <v>10.078549329438202</v>
      </c>
      <c r="G56" s="678">
        <f t="shared" si="7"/>
        <v>1277.9585278606073</v>
      </c>
      <c r="H56" s="678">
        <f t="shared" si="7"/>
        <v>0</v>
      </c>
      <c r="I56" s="678">
        <f t="shared" si="7"/>
        <v>0</v>
      </c>
      <c r="J56" s="678">
        <f t="shared" si="7"/>
        <v>0</v>
      </c>
      <c r="K56" s="678">
        <f t="shared" si="7"/>
        <v>134.44381024749171</v>
      </c>
      <c r="L56" s="678">
        <f t="shared" si="7"/>
        <v>0</v>
      </c>
      <c r="M56" s="678">
        <f t="shared" si="7"/>
        <v>0</v>
      </c>
      <c r="N56" s="678">
        <f t="shared" si="7"/>
        <v>0</v>
      </c>
      <c r="O56" s="678">
        <f t="shared" si="7"/>
        <v>0</v>
      </c>
      <c r="P56" s="678">
        <f t="shared" si="7"/>
        <v>0</v>
      </c>
      <c r="Q56" s="679">
        <f t="shared" si="7"/>
        <v>0</v>
      </c>
      <c r="R56" s="680">
        <f ca="1">SUM(R54:R55)</f>
        <v>2045.3640108915001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15169.509137080404</v>
      </c>
      <c r="D61" s="686">
        <f t="shared" ref="D61:Q61" ca="1" si="8">D46+D52+D56</f>
        <v>13.444033613445381</v>
      </c>
      <c r="E61" s="686">
        <f t="shared" ca="1" si="8"/>
        <v>18066.821007414215</v>
      </c>
      <c r="F61" s="686">
        <f t="shared" si="8"/>
        <v>537.83426778555452</v>
      </c>
      <c r="G61" s="686">
        <f t="shared" ca="1" si="8"/>
        <v>16066.422673505054</v>
      </c>
      <c r="H61" s="686">
        <f t="shared" si="8"/>
        <v>14698.505847235605</v>
      </c>
      <c r="I61" s="686">
        <f t="shared" si="8"/>
        <v>3659.9310633063997</v>
      </c>
      <c r="J61" s="686">
        <f t="shared" si="8"/>
        <v>0</v>
      </c>
      <c r="K61" s="686">
        <f t="shared" si="8"/>
        <v>199.38270362928085</v>
      </c>
      <c r="L61" s="686">
        <f t="shared" si="8"/>
        <v>0</v>
      </c>
      <c r="M61" s="686">
        <f t="shared" ca="1" si="8"/>
        <v>0</v>
      </c>
      <c r="N61" s="686">
        <f t="shared" si="8"/>
        <v>0</v>
      </c>
      <c r="O61" s="686">
        <f t="shared" ca="1" si="8"/>
        <v>0</v>
      </c>
      <c r="P61" s="686">
        <f t="shared" si="8"/>
        <v>0</v>
      </c>
      <c r="Q61" s="686">
        <f t="shared" si="8"/>
        <v>0</v>
      </c>
      <c r="R61" s="686">
        <f ca="1">R46+R52+R56</f>
        <v>68411.850733569954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0.19405840331588631</v>
      </c>
      <c r="D63" s="732">
        <f t="shared" ca="1" si="9"/>
        <v>7.7888049074378365E-3</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8363.8332743644951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1168.6500000000001</v>
      </c>
      <c r="C76" s="699">
        <f>'lokale energieproductie'!B8*IFERROR(SUM(D76:H76)/SUM(D76:O76),0)</f>
        <v>39.6</v>
      </c>
      <c r="D76" s="904">
        <f>'lokale energieproductie'!C8</f>
        <v>46.588235294117652</v>
      </c>
      <c r="E76" s="905">
        <f>'lokale energieproductie'!D8</f>
        <v>0</v>
      </c>
      <c r="F76" s="905">
        <f>'lokale energieproductie'!E8</f>
        <v>0</v>
      </c>
      <c r="G76" s="905">
        <f>'lokale energieproductie'!F8</f>
        <v>0</v>
      </c>
      <c r="H76" s="905">
        <f>'lokale energieproductie'!G8</f>
        <v>0</v>
      </c>
      <c r="I76" s="905">
        <f>'lokale energieproductie'!I8</f>
        <v>0</v>
      </c>
      <c r="J76" s="905">
        <f>'lokale energieproductie'!J8</f>
        <v>1374.8823529411768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9.4108235294117666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9532.4832743644947</v>
      </c>
      <c r="C78" s="704">
        <f>SUM(C72:C77)</f>
        <v>39.6</v>
      </c>
      <c r="D78" s="705">
        <f t="shared" ref="D78:H78" si="10">SUM(D76:D77)</f>
        <v>46.588235294117652</v>
      </c>
      <c r="E78" s="705">
        <f t="shared" si="10"/>
        <v>0</v>
      </c>
      <c r="F78" s="705">
        <f t="shared" si="10"/>
        <v>0</v>
      </c>
      <c r="G78" s="705">
        <f t="shared" si="10"/>
        <v>0</v>
      </c>
      <c r="H78" s="705">
        <f t="shared" si="10"/>
        <v>0</v>
      </c>
      <c r="I78" s="705">
        <f>SUM(I76:I77)</f>
        <v>0</v>
      </c>
      <c r="J78" s="705">
        <f>SUM(J76:J77)</f>
        <v>1374.8823529411768</v>
      </c>
      <c r="K78" s="705">
        <f t="shared" ref="K78:L78" si="11">SUM(K76:K77)</f>
        <v>0</v>
      </c>
      <c r="L78" s="705">
        <f t="shared" si="11"/>
        <v>0</v>
      </c>
      <c r="M78" s="705">
        <f>SUM(M76:M77)</f>
        <v>0</v>
      </c>
      <c r="N78" s="705">
        <f>SUM(N76:N77)</f>
        <v>0</v>
      </c>
      <c r="O78" s="813">
        <f>SUM(O76:O77)</f>
        <v>0</v>
      </c>
      <c r="P78" s="706">
        <v>0</v>
      </c>
      <c r="Q78" s="706">
        <f>SUM(Q76:Q77)</f>
        <v>9.4108235294117666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1669.5000000000002</v>
      </c>
      <c r="C87" s="717">
        <f>'lokale energieproductie'!B17*IFERROR(SUM(D87:H87)/SUM(D87:O87),0)</f>
        <v>56.571428571428562</v>
      </c>
      <c r="D87" s="728">
        <f>'lokale energieproductie'!C17</f>
        <v>66.554621848739501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1964.1176470588239</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13.444033613445381</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1669.5000000000002</v>
      </c>
      <c r="C90" s="704">
        <f>SUM(C87:C89)</f>
        <v>56.571428571428562</v>
      </c>
      <c r="D90" s="704">
        <f t="shared" ref="D90:H90" si="12">SUM(D87:D89)</f>
        <v>66.554621848739501</v>
      </c>
      <c r="E90" s="704">
        <f t="shared" si="12"/>
        <v>0</v>
      </c>
      <c r="F90" s="704">
        <f t="shared" si="12"/>
        <v>0</v>
      </c>
      <c r="G90" s="704">
        <f t="shared" si="12"/>
        <v>0</v>
      </c>
      <c r="H90" s="704">
        <f t="shared" si="12"/>
        <v>0</v>
      </c>
      <c r="I90" s="704">
        <f>SUM(I87:I89)</f>
        <v>0</v>
      </c>
      <c r="J90" s="704">
        <f>SUM(J87:J89)</f>
        <v>1964.1176470588239</v>
      </c>
      <c r="K90" s="704">
        <f t="shared" ref="K90:L90" si="13">SUM(K87:K89)</f>
        <v>0</v>
      </c>
      <c r="L90" s="704">
        <f t="shared" si="13"/>
        <v>0</v>
      </c>
      <c r="M90" s="704">
        <f>SUM(M87:M89)</f>
        <v>0</v>
      </c>
      <c r="N90" s="704">
        <f>SUM(N87:N89)</f>
        <v>0</v>
      </c>
      <c r="O90" s="704">
        <f>SUM(O87:O89)</f>
        <v>0</v>
      </c>
      <c r="P90" s="704">
        <v>0</v>
      </c>
      <c r="Q90" s="704">
        <f>SUM(Q87:Q89)</f>
        <v>13.444033613445381</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20912.892005197074</v>
      </c>
      <c r="C4" s="445">
        <f>huishoudens!C8</f>
        <v>0</v>
      </c>
      <c r="D4" s="445">
        <f>huishoudens!D8</f>
        <v>31311.346214127007</v>
      </c>
      <c r="E4" s="445">
        <f>huishoudens!E8</f>
        <v>2014.4081526068419</v>
      </c>
      <c r="F4" s="445">
        <f>huishoudens!F8</f>
        <v>33011.480064628304</v>
      </c>
      <c r="G4" s="445">
        <f>huishoudens!G8</f>
        <v>0</v>
      </c>
      <c r="H4" s="445">
        <f>huishoudens!H8</f>
        <v>0</v>
      </c>
      <c r="I4" s="445">
        <f>huishoudens!I8</f>
        <v>0</v>
      </c>
      <c r="J4" s="445">
        <f>huishoudens!J8</f>
        <v>182.2068252318933</v>
      </c>
      <c r="K4" s="445">
        <f>huishoudens!K8</f>
        <v>0</v>
      </c>
      <c r="L4" s="445">
        <f>huishoudens!L8</f>
        <v>0</v>
      </c>
      <c r="M4" s="445">
        <f>huishoudens!M8</f>
        <v>0</v>
      </c>
      <c r="N4" s="445">
        <f>huishoudens!N8</f>
        <v>7077.0879951265706</v>
      </c>
      <c r="O4" s="445">
        <f>huishoudens!O8</f>
        <v>436.47080826514696</v>
      </c>
      <c r="P4" s="446">
        <f>huishoudens!P8</f>
        <v>642.57151776878641</v>
      </c>
      <c r="Q4" s="447">
        <f>SUM(B4:P4)</f>
        <v>95588.463582951619</v>
      </c>
    </row>
    <row r="5" spans="1:17">
      <c r="A5" s="444" t="s">
        <v>149</v>
      </c>
      <c r="B5" s="445">
        <f ca="1">tertiair!B16</f>
        <v>10920.624381</v>
      </c>
      <c r="C5" s="445">
        <f ca="1">tertiair!C16</f>
        <v>56.571428571428577</v>
      </c>
      <c r="D5" s="445">
        <f ca="1">tertiair!D16</f>
        <v>10368.280359800141</v>
      </c>
      <c r="E5" s="445">
        <f>tertiair!E16</f>
        <v>38.563971181531443</v>
      </c>
      <c r="F5" s="445">
        <f ca="1">tertiair!F16</f>
        <v>2474.7418249182351</v>
      </c>
      <c r="G5" s="445">
        <f>tertiair!G16</f>
        <v>0</v>
      </c>
      <c r="H5" s="445">
        <f>tertiair!H16</f>
        <v>0</v>
      </c>
      <c r="I5" s="445">
        <f>tertiair!I16</f>
        <v>0</v>
      </c>
      <c r="J5" s="445">
        <f>tertiair!J16</f>
        <v>1.755171654094766E-2</v>
      </c>
      <c r="K5" s="445">
        <f>tertiair!K16</f>
        <v>0</v>
      </c>
      <c r="L5" s="445">
        <f ca="1">tertiair!L16</f>
        <v>0</v>
      </c>
      <c r="M5" s="445">
        <f>tertiair!M16</f>
        <v>0</v>
      </c>
      <c r="N5" s="445">
        <f ca="1">tertiair!N16</f>
        <v>614.30256644209669</v>
      </c>
      <c r="O5" s="445">
        <f>tertiair!O16</f>
        <v>9.7945215316823084</v>
      </c>
      <c r="P5" s="446">
        <f>tertiair!P16</f>
        <v>105.07827661299004</v>
      </c>
      <c r="Q5" s="444">
        <f t="shared" ref="Q5:Q14" ca="1" si="0">SUM(B5:P5)</f>
        <v>24587.974881774644</v>
      </c>
    </row>
    <row r="6" spans="1:17">
      <c r="A6" s="444" t="s">
        <v>187</v>
      </c>
      <c r="B6" s="445">
        <f>'openbare verlichting'!B8</f>
        <v>622.00322699999992</v>
      </c>
      <c r="C6" s="445"/>
      <c r="D6" s="445"/>
      <c r="E6" s="445"/>
      <c r="F6" s="445"/>
      <c r="G6" s="445"/>
      <c r="H6" s="445"/>
      <c r="I6" s="445"/>
      <c r="J6" s="445"/>
      <c r="K6" s="445"/>
      <c r="L6" s="445"/>
      <c r="M6" s="445"/>
      <c r="N6" s="445"/>
      <c r="O6" s="445"/>
      <c r="P6" s="446"/>
      <c r="Q6" s="444">
        <f t="shared" si="0"/>
        <v>622.00322699999992</v>
      </c>
    </row>
    <row r="7" spans="1:17">
      <c r="A7" s="444" t="s">
        <v>105</v>
      </c>
      <c r="B7" s="445">
        <f>landbouw!B8</f>
        <v>1505.9239580000001</v>
      </c>
      <c r="C7" s="445">
        <f>landbouw!C8</f>
        <v>62.357142857142847</v>
      </c>
      <c r="D7" s="445">
        <f>landbouw!D8</f>
        <v>218.74149011400002</v>
      </c>
      <c r="E7" s="445">
        <f>landbouw!E8</f>
        <v>44.398895724397363</v>
      </c>
      <c r="F7" s="445">
        <f>landbouw!F8</f>
        <v>4786.3615275678176</v>
      </c>
      <c r="G7" s="445">
        <f>landbouw!G8</f>
        <v>0</v>
      </c>
      <c r="H7" s="445">
        <f>landbouw!H8</f>
        <v>0</v>
      </c>
      <c r="I7" s="445">
        <f>landbouw!I8</f>
        <v>0</v>
      </c>
      <c r="J7" s="445">
        <f>landbouw!J8</f>
        <v>379.78477471042856</v>
      </c>
      <c r="K7" s="445">
        <f>landbouw!K8</f>
        <v>0</v>
      </c>
      <c r="L7" s="445">
        <f>landbouw!L8</f>
        <v>0</v>
      </c>
      <c r="M7" s="445">
        <f>landbouw!M8</f>
        <v>0</v>
      </c>
      <c r="N7" s="445">
        <f>landbouw!N8</f>
        <v>0</v>
      </c>
      <c r="O7" s="445">
        <f>landbouw!O8</f>
        <v>0</v>
      </c>
      <c r="P7" s="446">
        <f>landbouw!P8</f>
        <v>0</v>
      </c>
      <c r="Q7" s="444">
        <f t="shared" si="0"/>
        <v>6997.5677889737863</v>
      </c>
    </row>
    <row r="8" spans="1:17">
      <c r="A8" s="444" t="s">
        <v>587</v>
      </c>
      <c r="B8" s="445">
        <f>industrie!B18</f>
        <v>43713.281027000005</v>
      </c>
      <c r="C8" s="445">
        <f>industrie!C18</f>
        <v>1607.1428571428571</v>
      </c>
      <c r="D8" s="445">
        <f>industrie!D18</f>
        <v>46252.131635997008</v>
      </c>
      <c r="E8" s="445">
        <f>industrie!E18</f>
        <v>150.4683347867774</v>
      </c>
      <c r="F8" s="445">
        <f>industrie!F18</f>
        <v>19901.2842739158</v>
      </c>
      <c r="G8" s="445">
        <f>industrie!G18</f>
        <v>0</v>
      </c>
      <c r="H8" s="445">
        <f>industrie!H18</f>
        <v>0</v>
      </c>
      <c r="I8" s="445">
        <f>industrie!I18</f>
        <v>0</v>
      </c>
      <c r="J8" s="445">
        <f>industrie!J18</f>
        <v>1.2188246950378701</v>
      </c>
      <c r="K8" s="445">
        <f>industrie!K18</f>
        <v>0</v>
      </c>
      <c r="L8" s="445">
        <f>industrie!L18</f>
        <v>0</v>
      </c>
      <c r="M8" s="445">
        <f>industrie!M18</f>
        <v>0</v>
      </c>
      <c r="N8" s="445">
        <f>industrie!N18</f>
        <v>0</v>
      </c>
      <c r="O8" s="445">
        <f>industrie!O18</f>
        <v>0</v>
      </c>
      <c r="P8" s="446">
        <f>industrie!P18</f>
        <v>0</v>
      </c>
      <c r="Q8" s="444">
        <f t="shared" si="0"/>
        <v>111625.52695353748</v>
      </c>
    </row>
    <row r="9" spans="1:17" s="450" customFormat="1">
      <c r="A9" s="448" t="s">
        <v>536</v>
      </c>
      <c r="B9" s="449">
        <f>transport!B14</f>
        <v>121.23416378170506</v>
      </c>
      <c r="C9" s="449">
        <f>transport!C14</f>
        <v>0</v>
      </c>
      <c r="D9" s="449">
        <f>transport!D14</f>
        <v>223.52067445794398</v>
      </c>
      <c r="E9" s="449">
        <f>transport!E14</f>
        <v>121.47460070289432</v>
      </c>
      <c r="F9" s="449">
        <f>transport!F14</f>
        <v>0</v>
      </c>
      <c r="G9" s="449">
        <f>transport!G14</f>
        <v>54372.315654335427</v>
      </c>
      <c r="H9" s="449">
        <f>transport!H14</f>
        <v>14698.518326531726</v>
      </c>
      <c r="I9" s="449">
        <f>transport!I14</f>
        <v>0</v>
      </c>
      <c r="J9" s="449">
        <f>transport!J14</f>
        <v>0</v>
      </c>
      <c r="K9" s="449">
        <f>transport!K14</f>
        <v>0</v>
      </c>
      <c r="L9" s="449">
        <f>transport!L14</f>
        <v>0</v>
      </c>
      <c r="M9" s="449">
        <f>transport!M14</f>
        <v>4083.0288734737169</v>
      </c>
      <c r="N9" s="449">
        <f>transport!N14</f>
        <v>0</v>
      </c>
      <c r="O9" s="449">
        <f>transport!O14</f>
        <v>0</v>
      </c>
      <c r="P9" s="449">
        <f>transport!P14</f>
        <v>0</v>
      </c>
      <c r="Q9" s="448">
        <f>SUM(B9:P9)</f>
        <v>73620.092293283407</v>
      </c>
    </row>
    <row r="10" spans="1:17">
      <c r="A10" s="444" t="s">
        <v>526</v>
      </c>
      <c r="B10" s="445">
        <f>transport!B54</f>
        <v>9.5024539558229986</v>
      </c>
      <c r="C10" s="445">
        <f>transport!C54</f>
        <v>0</v>
      </c>
      <c r="D10" s="445">
        <f>transport!D54</f>
        <v>0</v>
      </c>
      <c r="E10" s="445">
        <f>transport!E54</f>
        <v>0</v>
      </c>
      <c r="F10" s="445">
        <f>transport!F54</f>
        <v>0</v>
      </c>
      <c r="G10" s="445">
        <f>transport!G54</f>
        <v>678.2680431761969</v>
      </c>
      <c r="H10" s="445">
        <f>transport!H54</f>
        <v>0</v>
      </c>
      <c r="I10" s="445">
        <f>transport!I54</f>
        <v>0</v>
      </c>
      <c r="J10" s="445">
        <f>transport!J54</f>
        <v>0</v>
      </c>
      <c r="K10" s="445">
        <f>transport!K54</f>
        <v>0</v>
      </c>
      <c r="L10" s="445">
        <f>transport!L54</f>
        <v>0</v>
      </c>
      <c r="M10" s="445">
        <f>transport!M54</f>
        <v>37.453007618739974</v>
      </c>
      <c r="N10" s="445">
        <f>transport!N54</f>
        <v>0</v>
      </c>
      <c r="O10" s="445">
        <f>transport!O54</f>
        <v>0</v>
      </c>
      <c r="P10" s="446">
        <f>transport!P54</f>
        <v>0</v>
      </c>
      <c r="Q10" s="444">
        <f t="shared" si="0"/>
        <v>725.22350475075984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364.35198400000002</v>
      </c>
      <c r="C14" s="452"/>
      <c r="D14" s="452">
        <f>'SEAP template'!E25</f>
        <v>1065.6875830000001</v>
      </c>
      <c r="E14" s="452"/>
      <c r="F14" s="452"/>
      <c r="G14" s="452"/>
      <c r="H14" s="452"/>
      <c r="I14" s="452"/>
      <c r="J14" s="452"/>
      <c r="K14" s="452"/>
      <c r="L14" s="452"/>
      <c r="M14" s="452"/>
      <c r="N14" s="452"/>
      <c r="O14" s="452"/>
      <c r="P14" s="453"/>
      <c r="Q14" s="444">
        <f t="shared" si="0"/>
        <v>1430.0395670000003</v>
      </c>
    </row>
    <row r="15" spans="1:17" s="456" customFormat="1">
      <c r="A15" s="454" t="s">
        <v>530</v>
      </c>
      <c r="B15" s="455">
        <f ca="1">SUM(B4:B14)</f>
        <v>78169.813199934593</v>
      </c>
      <c r="C15" s="455">
        <f t="shared" ref="C15:Q15" ca="1" si="1">SUM(C4:C14)</f>
        <v>1726.0714285714284</v>
      </c>
      <c r="D15" s="455">
        <f t="shared" ca="1" si="1"/>
        <v>89439.70795749611</v>
      </c>
      <c r="E15" s="455">
        <f t="shared" si="1"/>
        <v>2369.3139550024425</v>
      </c>
      <c r="F15" s="455">
        <f t="shared" ca="1" si="1"/>
        <v>60173.867691030158</v>
      </c>
      <c r="G15" s="455">
        <f t="shared" si="1"/>
        <v>55050.583697511625</v>
      </c>
      <c r="H15" s="455">
        <f t="shared" si="1"/>
        <v>14698.518326531726</v>
      </c>
      <c r="I15" s="455">
        <f t="shared" si="1"/>
        <v>0</v>
      </c>
      <c r="J15" s="455">
        <f t="shared" si="1"/>
        <v>563.22797635390066</v>
      </c>
      <c r="K15" s="455">
        <f t="shared" si="1"/>
        <v>0</v>
      </c>
      <c r="L15" s="455">
        <f t="shared" ca="1" si="1"/>
        <v>0</v>
      </c>
      <c r="M15" s="455">
        <f t="shared" si="1"/>
        <v>4120.4818810924571</v>
      </c>
      <c r="N15" s="455">
        <f t="shared" ca="1" si="1"/>
        <v>7691.3905615686672</v>
      </c>
      <c r="O15" s="455">
        <f t="shared" si="1"/>
        <v>446.26532979682929</v>
      </c>
      <c r="P15" s="455">
        <f t="shared" si="1"/>
        <v>747.64979438177647</v>
      </c>
      <c r="Q15" s="455">
        <f t="shared" ca="1" si="1"/>
        <v>315196.89179927169</v>
      </c>
    </row>
    <row r="17" spans="1:17">
      <c r="A17" s="457" t="s">
        <v>531</v>
      </c>
      <c r="B17" s="737">
        <f ca="1">huishoudens!B10</f>
        <v>0.19405840331588634</v>
      </c>
      <c r="C17" s="737">
        <f ca="1">huishoudens!C10</f>
        <v>7.7888049074378365E-3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4058.3224312461089</v>
      </c>
      <c r="C22" s="445">
        <f t="shared" ref="C22:C32" ca="1" si="3">C4*$C$17</f>
        <v>0</v>
      </c>
      <c r="D22" s="445">
        <f t="shared" ref="D22:D32" si="4">D4*$D$17</f>
        <v>6324.8919352536559</v>
      </c>
      <c r="E22" s="445">
        <f t="shared" ref="E22:E32" si="5">E4*$E$17</f>
        <v>457.27065064175315</v>
      </c>
      <c r="F22" s="445">
        <f t="shared" ref="F22:F32" si="6">F4*$F$17</f>
        <v>8814.0651772557576</v>
      </c>
      <c r="G22" s="445">
        <f t="shared" ref="G22:G32" si="7">G4*$G$17</f>
        <v>0</v>
      </c>
      <c r="H22" s="445">
        <f t="shared" ref="H22:H32" si="8">H4*$H$17</f>
        <v>0</v>
      </c>
      <c r="I22" s="445">
        <f t="shared" ref="I22:I32" si="9">I4*$I$17</f>
        <v>0</v>
      </c>
      <c r="J22" s="445">
        <f t="shared" ref="J22:J32" si="10">J4*$J$17</f>
        <v>64.501216132090221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19719.051410529366</v>
      </c>
    </row>
    <row r="23" spans="1:17">
      <c r="A23" s="444" t="s">
        <v>149</v>
      </c>
      <c r="B23" s="445">
        <f t="shared" ca="1" si="2"/>
        <v>2119.2389305893994</v>
      </c>
      <c r="C23" s="445">
        <f t="shared" ca="1" si="3"/>
        <v>0.44062382047791193</v>
      </c>
      <c r="D23" s="445">
        <f t="shared" ca="1" si="4"/>
        <v>2094.3926326796286</v>
      </c>
      <c r="E23" s="445">
        <f t="shared" si="5"/>
        <v>8.754021458207637</v>
      </c>
      <c r="F23" s="445">
        <f t="shared" ca="1" si="6"/>
        <v>660.75606725316879</v>
      </c>
      <c r="G23" s="445">
        <f t="shared" si="7"/>
        <v>0</v>
      </c>
      <c r="H23" s="445">
        <f t="shared" si="8"/>
        <v>0</v>
      </c>
      <c r="I23" s="445">
        <f t="shared" si="9"/>
        <v>0</v>
      </c>
      <c r="J23" s="445">
        <f t="shared" si="10"/>
        <v>6.2133076554954716E-3</v>
      </c>
      <c r="K23" s="445">
        <f t="shared" si="11"/>
        <v>0</v>
      </c>
      <c r="L23" s="445">
        <f t="shared" ca="1" si="12"/>
        <v>0</v>
      </c>
      <c r="M23" s="445">
        <f t="shared" si="13"/>
        <v>0</v>
      </c>
      <c r="N23" s="445">
        <f t="shared" ca="1" si="14"/>
        <v>0</v>
      </c>
      <c r="O23" s="445">
        <f t="shared" si="15"/>
        <v>0</v>
      </c>
      <c r="P23" s="446">
        <f t="shared" si="16"/>
        <v>0</v>
      </c>
      <c r="Q23" s="444">
        <f t="shared" ref="Q23:Q31" ca="1" si="17">SUM(B23:P23)</f>
        <v>4883.5884891085379</v>
      </c>
    </row>
    <row r="24" spans="1:17">
      <c r="A24" s="444" t="s">
        <v>187</v>
      </c>
      <c r="B24" s="445">
        <f t="shared" ca="1" si="2"/>
        <v>120.70495308894878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120.70495308894878</v>
      </c>
    </row>
    <row r="25" spans="1:17">
      <c r="A25" s="444" t="s">
        <v>105</v>
      </c>
      <c r="B25" s="445">
        <f t="shared" ca="1" si="2"/>
        <v>292.23719880461988</v>
      </c>
      <c r="C25" s="445">
        <f t="shared" ca="1" si="3"/>
        <v>0.48568762029951645</v>
      </c>
      <c r="D25" s="445">
        <f t="shared" si="4"/>
        <v>44.185781003028005</v>
      </c>
      <c r="E25" s="445">
        <f t="shared" si="5"/>
        <v>10.078549329438202</v>
      </c>
      <c r="F25" s="445">
        <f t="shared" si="6"/>
        <v>1277.9585278606073</v>
      </c>
      <c r="G25" s="445">
        <f t="shared" si="7"/>
        <v>0</v>
      </c>
      <c r="H25" s="445">
        <f t="shared" si="8"/>
        <v>0</v>
      </c>
      <c r="I25" s="445">
        <f t="shared" si="9"/>
        <v>0</v>
      </c>
      <c r="J25" s="445">
        <f t="shared" si="10"/>
        <v>134.44381024749171</v>
      </c>
      <c r="K25" s="445">
        <f t="shared" si="11"/>
        <v>0</v>
      </c>
      <c r="L25" s="445">
        <f t="shared" si="12"/>
        <v>0</v>
      </c>
      <c r="M25" s="445">
        <f t="shared" si="13"/>
        <v>0</v>
      </c>
      <c r="N25" s="445">
        <f t="shared" si="14"/>
        <v>0</v>
      </c>
      <c r="O25" s="445">
        <f t="shared" si="15"/>
        <v>0</v>
      </c>
      <c r="P25" s="446">
        <f t="shared" si="16"/>
        <v>0</v>
      </c>
      <c r="Q25" s="444">
        <f t="shared" ca="1" si="17"/>
        <v>1759.3895548654846</v>
      </c>
    </row>
    <row r="26" spans="1:17">
      <c r="A26" s="444" t="s">
        <v>587</v>
      </c>
      <c r="B26" s="445">
        <f t="shared" ca="1" si="2"/>
        <v>8482.9295197982483</v>
      </c>
      <c r="C26" s="445">
        <f t="shared" ca="1" si="3"/>
        <v>12.517722172667952</v>
      </c>
      <c r="D26" s="445">
        <f t="shared" si="4"/>
        <v>9342.9305904713965</v>
      </c>
      <c r="E26" s="445">
        <f t="shared" si="5"/>
        <v>34.156311996598475</v>
      </c>
      <c r="F26" s="445">
        <f t="shared" si="6"/>
        <v>5313.6429011355194</v>
      </c>
      <c r="G26" s="445">
        <f t="shared" si="7"/>
        <v>0</v>
      </c>
      <c r="H26" s="445">
        <f t="shared" si="8"/>
        <v>0</v>
      </c>
      <c r="I26" s="445">
        <f t="shared" si="9"/>
        <v>0</v>
      </c>
      <c r="J26" s="445">
        <f t="shared" si="10"/>
        <v>0.43146394204340599</v>
      </c>
      <c r="K26" s="445">
        <f t="shared" si="11"/>
        <v>0</v>
      </c>
      <c r="L26" s="445">
        <f t="shared" si="12"/>
        <v>0</v>
      </c>
      <c r="M26" s="445">
        <f t="shared" si="13"/>
        <v>0</v>
      </c>
      <c r="N26" s="445">
        <f t="shared" si="14"/>
        <v>0</v>
      </c>
      <c r="O26" s="445">
        <f t="shared" si="15"/>
        <v>0</v>
      </c>
      <c r="P26" s="446">
        <f t="shared" si="16"/>
        <v>0</v>
      </c>
      <c r="Q26" s="444">
        <f t="shared" ca="1" si="17"/>
        <v>23186.608509516471</v>
      </c>
    </row>
    <row r="27" spans="1:17" s="450" customFormat="1">
      <c r="A27" s="448" t="s">
        <v>536</v>
      </c>
      <c r="B27" s="731">
        <f t="shared" ca="1" si="2"/>
        <v>23.526508250814341</v>
      </c>
      <c r="C27" s="449">
        <f t="shared" ca="1" si="3"/>
        <v>0</v>
      </c>
      <c r="D27" s="449">
        <f t="shared" si="4"/>
        <v>45.151176240504689</v>
      </c>
      <c r="E27" s="449">
        <f t="shared" si="5"/>
        <v>27.574734359557013</v>
      </c>
      <c r="F27" s="449">
        <f t="shared" si="6"/>
        <v>0</v>
      </c>
      <c r="G27" s="449">
        <f t="shared" si="7"/>
        <v>14517.408279707561</v>
      </c>
      <c r="H27" s="449">
        <f t="shared" si="8"/>
        <v>3659.9310633063997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18273.591761864838</v>
      </c>
    </row>
    <row r="28" spans="1:17" ht="16.5" customHeight="1">
      <c r="A28" s="444" t="s">
        <v>526</v>
      </c>
      <c r="B28" s="445">
        <f t="shared" ca="1" si="2"/>
        <v>1.844031042249739</v>
      </c>
      <c r="C28" s="445">
        <f t="shared" ca="1" si="3"/>
        <v>0</v>
      </c>
      <c r="D28" s="445">
        <f t="shared" si="4"/>
        <v>0</v>
      </c>
      <c r="E28" s="445">
        <f t="shared" si="5"/>
        <v>0</v>
      </c>
      <c r="F28" s="445">
        <f t="shared" si="6"/>
        <v>0</v>
      </c>
      <c r="G28" s="445">
        <f t="shared" si="7"/>
        <v>181.09756752804458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182.94159857029433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70.705564260015365</v>
      </c>
      <c r="C32" s="445">
        <f t="shared" ca="1" si="3"/>
        <v>0</v>
      </c>
      <c r="D32" s="445">
        <f t="shared" si="4"/>
        <v>215.26889176600005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285.97445602601545</v>
      </c>
    </row>
    <row r="33" spans="1:17" s="456" customFormat="1">
      <c r="A33" s="454" t="s">
        <v>530</v>
      </c>
      <c r="B33" s="455">
        <f ca="1">SUM(B22:B32)</f>
        <v>15169.509137080406</v>
      </c>
      <c r="C33" s="455">
        <f t="shared" ref="C33:Q33" ca="1" si="19">SUM(C22:C32)</f>
        <v>13.444033613445381</v>
      </c>
      <c r="D33" s="455">
        <f t="shared" ca="1" si="19"/>
        <v>18066.821007414215</v>
      </c>
      <c r="E33" s="455">
        <f t="shared" si="19"/>
        <v>537.83426778555452</v>
      </c>
      <c r="F33" s="455">
        <f t="shared" ca="1" si="19"/>
        <v>16066.422673505052</v>
      </c>
      <c r="G33" s="455">
        <f t="shared" si="19"/>
        <v>14698.505847235605</v>
      </c>
      <c r="H33" s="455">
        <f t="shared" si="19"/>
        <v>3659.9310633063997</v>
      </c>
      <c r="I33" s="455">
        <f t="shared" si="19"/>
        <v>0</v>
      </c>
      <c r="J33" s="455">
        <f t="shared" si="19"/>
        <v>199.38270362928083</v>
      </c>
      <c r="K33" s="455">
        <f t="shared" si="19"/>
        <v>0</v>
      </c>
      <c r="L33" s="455">
        <f t="shared" ca="1" si="19"/>
        <v>0</v>
      </c>
      <c r="M33" s="455">
        <f t="shared" si="19"/>
        <v>0</v>
      </c>
      <c r="N33" s="455">
        <f t="shared" ca="1" si="19"/>
        <v>0</v>
      </c>
      <c r="O33" s="455">
        <f t="shared" si="19"/>
        <v>0</v>
      </c>
      <c r="P33" s="455">
        <f t="shared" si="19"/>
        <v>0</v>
      </c>
      <c r="Q33" s="455">
        <f t="shared" ca="1" si="19"/>
        <v>68411.850733569954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8363.8332743644951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1168.6500000000001</v>
      </c>
      <c r="C8" s="972">
        <f>'SEAP template'!C76</f>
        <v>39.6</v>
      </c>
      <c r="D8" s="972">
        <f>'SEAP template'!D76</f>
        <v>46.588235294117652</v>
      </c>
      <c r="E8" s="972">
        <f>'SEAP template'!E76</f>
        <v>0</v>
      </c>
      <c r="F8" s="972">
        <f>'SEAP template'!F76</f>
        <v>0</v>
      </c>
      <c r="G8" s="972">
        <f>'SEAP template'!G76</f>
        <v>0</v>
      </c>
      <c r="H8" s="972">
        <f>'SEAP template'!H76</f>
        <v>0</v>
      </c>
      <c r="I8" s="972">
        <f>'SEAP template'!I76</f>
        <v>0</v>
      </c>
      <c r="J8" s="972">
        <f>'SEAP template'!J76</f>
        <v>1374.8823529411768</v>
      </c>
      <c r="K8" s="972">
        <f>'SEAP template'!K76</f>
        <v>0</v>
      </c>
      <c r="L8" s="972">
        <f>'SEAP template'!L76</f>
        <v>0</v>
      </c>
      <c r="M8" s="972">
        <f>'SEAP template'!M76</f>
        <v>0</v>
      </c>
      <c r="N8" s="972">
        <f>'SEAP template'!N76</f>
        <v>0</v>
      </c>
      <c r="O8" s="972">
        <f>'SEAP template'!O76</f>
        <v>0</v>
      </c>
      <c r="P8" s="973">
        <f>'SEAP template'!Q76</f>
        <v>9.4108235294117666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9532.4832743644947</v>
      </c>
      <c r="C10" s="974">
        <f>SUM(C4:C9)</f>
        <v>39.6</v>
      </c>
      <c r="D10" s="974">
        <f t="shared" ref="D10:H10" si="0">SUM(D8:D9)</f>
        <v>46.588235294117652</v>
      </c>
      <c r="E10" s="974">
        <f t="shared" si="0"/>
        <v>0</v>
      </c>
      <c r="F10" s="974">
        <f t="shared" si="0"/>
        <v>0</v>
      </c>
      <c r="G10" s="974">
        <f t="shared" si="0"/>
        <v>0</v>
      </c>
      <c r="H10" s="974">
        <f t="shared" si="0"/>
        <v>0</v>
      </c>
      <c r="I10" s="974">
        <f>SUM(I8:I9)</f>
        <v>0</v>
      </c>
      <c r="J10" s="974">
        <f>SUM(J8:J9)</f>
        <v>1374.8823529411768</v>
      </c>
      <c r="K10" s="974">
        <f t="shared" ref="K10:L10" si="1">SUM(K8:K9)</f>
        <v>0</v>
      </c>
      <c r="L10" s="974">
        <f t="shared" si="1"/>
        <v>0</v>
      </c>
      <c r="M10" s="974">
        <f>SUM(M8:M9)</f>
        <v>0</v>
      </c>
      <c r="N10" s="974">
        <f>SUM(N8:N9)</f>
        <v>0</v>
      </c>
      <c r="O10" s="974">
        <f>SUM(O8:O9)</f>
        <v>0</v>
      </c>
      <c r="P10" s="974">
        <f>SUM(P8:P9)</f>
        <v>9.4108235294117666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0.19405840331588634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1669.5000000000002</v>
      </c>
      <c r="C17" s="975">
        <f>'SEAP template'!C87</f>
        <v>56.571428571428562</v>
      </c>
      <c r="D17" s="973">
        <f>'SEAP template'!D87</f>
        <v>66.554621848739501</v>
      </c>
      <c r="E17" s="973">
        <f>'SEAP template'!E87</f>
        <v>0</v>
      </c>
      <c r="F17" s="973">
        <f>'SEAP template'!F87</f>
        <v>0</v>
      </c>
      <c r="G17" s="973">
        <f>'SEAP template'!G87</f>
        <v>0</v>
      </c>
      <c r="H17" s="973">
        <f>'SEAP template'!H87</f>
        <v>0</v>
      </c>
      <c r="I17" s="973">
        <f>'SEAP template'!I87</f>
        <v>0</v>
      </c>
      <c r="J17" s="973">
        <f>'SEAP template'!J87</f>
        <v>1964.1176470588239</v>
      </c>
      <c r="K17" s="973">
        <f>'SEAP template'!K87</f>
        <v>0</v>
      </c>
      <c r="L17" s="973">
        <f>'SEAP template'!L87</f>
        <v>0</v>
      </c>
      <c r="M17" s="973">
        <f>'SEAP template'!M87</f>
        <v>0</v>
      </c>
      <c r="N17" s="973">
        <f>'SEAP template'!N87</f>
        <v>0</v>
      </c>
      <c r="O17" s="973">
        <f>'SEAP template'!O87</f>
        <v>0</v>
      </c>
      <c r="P17" s="973">
        <f>'SEAP template'!Q87</f>
        <v>13.444033613445381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1669.5000000000002</v>
      </c>
      <c r="C20" s="974">
        <f>SUM(C17:C19)</f>
        <v>56.571428571428562</v>
      </c>
      <c r="D20" s="974">
        <f t="shared" ref="D20:H20" si="2">SUM(D17:D19)</f>
        <v>66.554621848739501</v>
      </c>
      <c r="E20" s="974">
        <f t="shared" si="2"/>
        <v>0</v>
      </c>
      <c r="F20" s="974">
        <f t="shared" si="2"/>
        <v>0</v>
      </c>
      <c r="G20" s="974">
        <f t="shared" si="2"/>
        <v>0</v>
      </c>
      <c r="H20" s="974">
        <f t="shared" si="2"/>
        <v>0</v>
      </c>
      <c r="I20" s="974">
        <f>SUM(I17:I19)</f>
        <v>0</v>
      </c>
      <c r="J20" s="974">
        <f>SUM(J17:J19)</f>
        <v>1964.1176470588239</v>
      </c>
      <c r="K20" s="974">
        <f t="shared" ref="K20:L20" si="3">SUM(K17:K19)</f>
        <v>0</v>
      </c>
      <c r="L20" s="974">
        <f t="shared" si="3"/>
        <v>0</v>
      </c>
      <c r="M20" s="974">
        <f>SUM(M17:M19)</f>
        <v>0</v>
      </c>
      <c r="N20" s="974">
        <f>SUM(N17:N19)</f>
        <v>0</v>
      </c>
      <c r="O20" s="974">
        <f>SUM(O17:O19)</f>
        <v>0</v>
      </c>
      <c r="P20" s="974">
        <f>SUM(P17:P19)</f>
        <v>13.444033613445381</v>
      </c>
    </row>
    <row r="21" spans="1:16">
      <c r="B21" s="841"/>
    </row>
    <row r="22" spans="1:16">
      <c r="A22" s="457" t="s">
        <v>730</v>
      </c>
      <c r="B22" s="737" t="s">
        <v>728</v>
      </c>
      <c r="C22" s="737">
        <f ca="1">'EF ele_warmte'!B22</f>
        <v>7.7888049074378365E-3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0.19405840331588634</v>
      </c>
      <c r="C17" s="493">
        <f ca="1">'EF ele_warmte'!B22</f>
        <v>7.7888049074378365E-3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2022-07-26T10:01:36Z</dcterms:modified>
</cp:coreProperties>
</file>