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B2181DF-8B47-47E6-998A-C13D5CE2E2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<sst xmlns="http://schemas.openxmlformats.org/spreadsheetml/2006/main" count="2387" uniqueCount="864">
  <si>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</si>
  <si>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</si>
  <si>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</si>
  <si>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</si>
  <si>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</si>
  <si>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</si>
  <si>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</si>
  <si>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</si>
  <si>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</si>
  <si>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</si>
  <si>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</si>
  <si>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</si>
  <si>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</si>
  <si>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</si>
  <si>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</si>
  <si>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</si>
  <si>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</si>
  <si>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</si>
  <si>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</si>
  <si>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</si>
  <si>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</si>
  <si>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</si>
  <si>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</si>
  <si>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</si>
  <si>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</si>
  <si>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</si>
  <si>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</si>
  <si>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</si>
  <si>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</si>
  <si>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</si>
  <si>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</si>
  <si>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</si>
  <si>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</si>
  <si>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</si>
  <si>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</si>
  <si>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</si>
  <si>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</si>
  <si>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</si>
  <si>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</si>
  <si>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</si>
  <si>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</si>
  <si>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</si>
  <si>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</si>
  <si>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</si>
  <si>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</si>
  <si>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</si>
  <si>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</si>
  <si>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</si>
  <si>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</si>
  <si>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</si>
  <si>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</si>
  <si>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</si>
  <si>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</si>
  <si>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</si>
  <si>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</si>
  <si>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</si>
  <si>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</si>
  <si>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</si>
  <si>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</si>
  <si>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</si>
  <si>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</si>
  <si>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</si>
  <si>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</si>
  <si>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</si>
  <si>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</si>
  <si>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</si>
  <si>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</si>
  <si>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</si>
  <si>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</si>
  <si>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</si>
  <si>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</si>
  <si>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</si>
  <si>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</si>
  <si>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</si>
  <si>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</si>
  <si>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</si>
  <si>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</si>
  <si>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</si>
  <si>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</si>
  <si>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</si>
  <si>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</si>
  <si>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</si>
  <si>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</si>
  <si>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</si>
  <si>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</si>
  <si>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</si>
  <si>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</si>
  <si>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</si>
  <si>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</si>
  <si>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</si>
  <si>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</si>
  <si>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</si>
  <si>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</si>
  <si>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</si>
  <si>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</si>
  <si>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</si>
  <si>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</si>
  <si>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</si>
  <si>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</si>
  <si>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</si>
  <si>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</si>
  <si>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</si>
  <si>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</si>
  <si>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</si>
  <si>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</si>
  <si>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</si>
  <si>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</si>
  <si>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</si>
  <si>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</si>
  <si>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</si>
  <si>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</si>
  <si>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</si>
  <si>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</si>
  <si>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</si>
  <si>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</si>
  <si>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</si>
  <si>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</si>
  <si>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</si>
  <si>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</si>
  <si>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</si>
  <si>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</si>
  <si>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</si>
  <si>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</si>
  <si>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</si>
  <si>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</si>
  <si>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</si>
  <si>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</si>
  <si>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</si>
  <si>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</si>
  <si>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</si>
  <si>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</si>
  <si>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</si>
  <si>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</si>
  <si>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</si>
  <si>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</si>
  <si>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</si>
  <si>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</si>
  <si>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</si>
  <si>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</si>
  <si>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</si>
  <si>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</si>
  <si>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</si>
  <si>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</si>
  <si>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</si>
  <si>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</si>
  <si>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</si>
  <si>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</si>
  <si>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</si>
  <si>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</si>
  <si>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</si>
  <si>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</si>
  <si>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</si>
  <si>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</si>
  <si>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</si>
  <si>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</si>
  <si>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</si>
  <si>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</si>
  <si>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</si>
  <si>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</si>
  <si>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</si>
  <si>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</si>
  <si>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</si>
  <si>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</si>
  <si>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</si>
  <si>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</si>
  <si>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</si>
  <si>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</si>
  <si>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</si>
  <si>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</si>
  <si>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</si>
  <si>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</si>
  <si>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</si>
  <si>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</si>
  <si>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</si>
  <si>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</si>
  <si>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</si>
  <si>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</si>
  <si>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</si>
  <si>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</si>
  <si>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</si>
  <si>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</si>
  <si>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</si>
  <si>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</si>
  <si>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</si>
  <si>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</si>
  <si>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</si>
  <si>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</si>
  <si>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</si>
  <si>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</si>
  <si>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</si>
  <si>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</si>
  <si>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</si>
  <si>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</si>
  <si>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</si>
  <si>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</si>
  <si>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</si>
  <si>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</si>
  <si>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</si>
  <si>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</si>
  <si>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</si>
  <si>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</si>
  <si>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</si>
  <si>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</si>
  <si>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</si>
  <si>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</si>
  <si>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</si>
  <si>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</si>
  <si>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</si>
  <si>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</si>
  <si>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</si>
  <si>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</si>
  <si>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</si>
  <si>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</si>
  <si>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</si>
  <si>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</si>
  <si>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</si>
  <si>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</si>
  <si>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</si>
  <si>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</si>
  <si>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</si>
  <si>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</si>
  <si>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</si>
  <si>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</si>
  <si>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</si>
  <si>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</si>
  <si>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</si>
  <si>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</si>
  <si>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</si>
  <si>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</si>
  <si>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</si>
  <si>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</si>
  <si>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</si>
  <si>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</si>
  <si>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</si>
  <si>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</si>
  <si>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</si>
  <si>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</si>
  <si>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</si>
  <si>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</si>
  <si>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</si>
  <si>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</si>
  <si>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</si>
  <si>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</si>
  <si>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</si>
  <si>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</si>
  <si>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</si>
  <si>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</si>
  <si>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</si>
  <si>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</si>
  <si>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</si>
  <si>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</si>
  <si>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</si>
  <si>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</si>
  <si>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</si>
  <si>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</si>
  <si>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</si>
  <si>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</si>
  <si>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</si>
  <si>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</si>
  <si>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</si>
  <si>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</si>
  <si>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</si>
  <si>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</si>
  <si>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</si>
  <si>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</si>
  <si>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</si>
  <si>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</si>
  <si>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</si>
  <si>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</si>
  <si>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</si>
  <si>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</si>
  <si>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</si>
  <si>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</si>
  <si>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</si>
  <si>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</si>
  <si>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</si>
  <si>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</si>
  <si>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</si>
  <si>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</si>
  <si>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</si>
  <si>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</si>
  <si>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</si>
  <si>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</si>
  <si>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</si>
  <si>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</si>
  <si>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</si>
  <si>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</si>
  <si>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</si>
  <si>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</si>
  <si>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</si>
  <si>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</si>
  <si>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</si>
  <si>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</si>
  <si>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</si>
  <si>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</si>
  <si>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</si>
  <si>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</si>
  <si>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</si>
  <si>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</si>
  <si>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</si>
  <si>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</si>
  <si>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</si>
  <si>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</si>
  <si>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</si>
  <si>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</si>
  <si>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</si>
  <si>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</si>
  <si>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</si>
  <si>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</si>
  <si>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</si>
  <si>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</si>
  <si>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</si>
  <si>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</si>
  <si>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</si>
  <si>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</si>
  <si>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</si>
  <si>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</si>
  <si>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</si>
  <si>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</si>
  <si>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</si>
  <si>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</si>
  <si>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</si>
  <si>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</si>
  <si>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</si>
  <si>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</si>
  <si>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</si>
  <si>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</si>
  <si>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</si>
  <si>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</si>
  <si>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</si>
  <si>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</si>
  <si>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</si>
  <si>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</si>
  <si>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</si>
  <si>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</si>
  <si>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</si>
  <si>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</si>
  <si>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</si>
  <si>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</si>
  <si>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</si>
  <si>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</si>
  <si>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</si>
  <si>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</si>
  <si>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</si>
  <si>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</si>
  <si>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</si>
  <si>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</si>
  <si>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</si>
  <si>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</si>
  <si>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</si>
  <si>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</si>
  <si>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</si>
  <si>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</si>
  <si>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</si>
  <si>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</si>
  <si>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</si>
  <si>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</si>
  <si>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</si>
  <si>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</si>
  <si>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</si>
  <si>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</si>
  <si>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</si>
  <si>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</si>
  <si>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</si>
  <si>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</si>
  <si>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</si>
  <si>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</si>
  <si>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</si>
  <si>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</si>
  <si>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</si>
  <si>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</si>
  <si>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</si>
  <si>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</si>
  <si>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</si>
  <si>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</si>
  <si>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</si>
  <si>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</si>
  <si>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</si>
  <si>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</si>
  <si>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</si>
  <si>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</si>
  <si>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</si>
  <si>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</si>
  <si>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</si>
  <si>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</si>
  <si>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</si>
  <si>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</si>
  <si>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</si>
  <si>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</si>
  <si>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</si>
  <si>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</si>
  <si>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</si>
  <si>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</si>
  <si>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</si>
  <si>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</si>
  <si>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</si>
  <si>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</si>
  <si>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</si>
  <si>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</si>
  <si>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</si>
  <si>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</si>
  <si>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</si>
  <si>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</si>
  <si>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</si>
  <si>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</si>
  <si>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</si>
  <si>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</si>
  <si>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</si>
  <si>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</si>
  <si>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</si>
  <si>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</si>
  <si>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</si>
  <si>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</si>
  <si>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</si>
  <si>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</si>
  <si>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</si>
  <si>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</si>
  <si>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</si>
  <si>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</si>
  <si>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</si>
  <si>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</si>
  <si>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</si>
  <si>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</si>
  <si>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</si>
  <si>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</si>
  <si>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</si>
  <si>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</si>
  <si>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</si>
  <si>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</si>
  <si>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</si>
  <si>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</si>
  <si>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</si>
  <si>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</si>
  <si>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</si>
  <si>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</si>
  <si>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</si>
  <si>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</si>
  <si>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</si>
  <si>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</si>
  <si>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</si>
  <si>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</si>
  <si>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</si>
  <si>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</si>
  <si>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</si>
  <si>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</si>
  <si>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</si>
  <si>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</si>
  <si>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</si>
  <si>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</si>
  <si>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</si>
  <si>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</si>
  <si>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</si>
  <si>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</si>
  <si>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</si>
  <si>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</si>
  <si>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</si>
  <si>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</si>
  <si>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</si>
  <si>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</si>
  <si>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</si>
  <si>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</si>
  <si>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</si>
  <si>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</si>
  <si>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</si>
  <si>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</si>
  <si>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</si>
  <si>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</si>
  <si>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</si>
  <si>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</si>
  <si>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</si>
  <si>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</si>
  <si>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</si>
  <si>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</si>
  <si>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</si>
  <si>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</si>
  <si>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</si>
  <si>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</si>
  <si>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</si>
  <si>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</si>
  <si>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</si>
  <si>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</si>
  <si>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</si>
  <si>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</si>
  <si>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</si>
  <si>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</si>
  <si>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</si>
  <si>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</si>
  <si>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</si>
  <si>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</si>
  <si>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</si>
  <si>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</si>
  <si>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</si>
  <si>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</si>
  <si>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</si>
  <si>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</si>
  <si>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</si>
  <si>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</si>
  <si>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</si>
  <si>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</si>
  <si>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</si>
  <si>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</si>
  <si>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</si>
  <si>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</si>
  <si>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</si>
  <si>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</si>
  <si>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</si>
  <si>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</si>
  <si>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</si>
  <si>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</si>
  <si>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</si>
  <si>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</si>
  <si>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</si>
  <si>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</si>
  <si>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</si>
  <si>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</si>
  <si>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</si>
  <si>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</si>
  <si>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</si>
  <si>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</si>
  <si>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</si>
  <si>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</si>
  <si>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</si>
  <si>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</si>
  <si>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</si>
  <si>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</si>
  <si>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</si>
  <si>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</si>
  <si>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</si>
  <si>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</si>
  <si>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</si>
  <si>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</si>
  <si>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</si>
  <si>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</si>
  <si>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</si>
  <si>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</si>
  <si>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</si>
  <si>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</si>
  <si>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</si>
  <si>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</si>
  <si>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</si>
  <si>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</si>
  <si>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</si>
  <si>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</si>
  <si>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</si>
  <si>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</si>
  <si>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</si>
  <si>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</si>
  <si>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</si>
  <si>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</si>
  <si>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</si>
  <si>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</si>
  <si>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</si>
  <si>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</si>
  <si>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</si>
  <si>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</si>
  <si>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</si>
  <si>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</si>
  <si>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</si>
  <si>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</si>
  <si>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</si>
  <si>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</si>
  <si>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</si>
  <si>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</si>
  <si>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</si>
  <si>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</si>
  <si>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</si>
  <si>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</si>
  <si>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</si>
  <si>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</si>
  <si>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</si>
  <si>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</si>
  <si>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</si>
  <si>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</si>
  <si>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</si>
  <si>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</si>
  <si>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</si>
  <si>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</si>
  <si>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</si>
  <si>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</si>
  <si>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</si>
  <si>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</si>
  <si>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</si>
  <si>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</si>
  <si>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</si>
  <si>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</si>
  <si>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</si>
  <si>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</si>
  <si>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</si>
  <si>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</si>
  <si>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</si>
  <si>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</si>
  <si>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</si>
  <si>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</si>
  <si>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</si>
  <si>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</si>
  <si>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</si>
  <si>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</si>
  <si>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</si>
  <si>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</si>
  <si>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</si>
  <si>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</si>
  <si>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</si>
  <si>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</si>
  <si>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</si>
  <si>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</si>
  <si>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</si>
  <si>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</si>
  <si>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</si>
  <si>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</si>
  <si>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</si>
  <si>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</si>
  <si>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</si>
  <si>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</si>
  <si>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</si>
  <si>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</si>
  <si>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</si>
  <si>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</si>
  <si>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</si>
  <si>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</si>
  <si>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</si>
  <si>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</si>
  <si>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</si>
  <si>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</si>
  <si>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</si>
  <si>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</si>
  <si>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</si>
  <si>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</si>
  <si>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</si>
  <si>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</si>
  <si>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</si>
  <si>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</si>
  <si>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</si>
  <si>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</si>
  <si>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</si>
  <si>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</si>
  <si>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</si>
  <si>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</si>
  <si>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</si>
  <si>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</si>
  <si>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</si>
  <si>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</si>
  <si>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</si>
  <si>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</si>
  <si>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</si>
  <si>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</si>
  <si>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</si>
  <si>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</si>
  <si>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</si>
  <si>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</si>
  <si>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</si>
  <si>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</si>
  <si>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</si>
  <si>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</si>
  <si>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</si>
  <si>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</si>
  <si>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</si>
  <si>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</si>
  <si>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</si>
  <si>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</si>
  <si>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</si>
  <si>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</si>
  <si>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</si>
  <si>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</si>
  <si>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</si>
  <si>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</si>
  <si>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</si>
  <si>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</si>
  <si>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</si>
  <si>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</si>
  <si>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</si>
  <si>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</si>
  <si>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</si>
  <si>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</si>
  <si>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</si>
  <si>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</si>
  <si>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</si>
  <si>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</si>
  <si>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</si>
  <si>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</si>
  <si>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</si>
  <si>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</si>
  <si>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</si>
  <si>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</si>
  <si>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</si>
  <si>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</si>
  <si>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</si>
  <si>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</si>
  <si>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</si>
  <si>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</si>
  <si>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</si>
  <si>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</si>
  <si>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</si>
  <si>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</si>
  <si>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</si>
  <si>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</si>
  <si>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</si>
  <si>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</si>
  <si>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</si>
  <si>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</si>
  <si>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</si>
  <si>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</si>
  <si>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</si>
  <si>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</si>
  <si>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</si>
  <si>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</si>
  <si>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</si>
  <si>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</si>
  <si>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</si>
  <si>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</si>
  <si>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</si>
  <si>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</si>
  <si>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</si>
  <si>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</si>
  <si>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</si>
  <si>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</si>
  <si>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</si>
  <si>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</si>
  <si>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</si>
  <si>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</si>
  <si>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</si>
  <si>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</si>
  <si>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</si>
  <si>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</si>
  <si>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</si>
  <si>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</si>
  <si>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</si>
  <si>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</si>
  <si>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</si>
  <si>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</si>
  <si>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</si>
  <si>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</si>
  <si>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</si>
  <si>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</si>
  <si>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</si>
  <si>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</si>
  <si>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</si>
  <si>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</si>
  <si>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</si>
  <si>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</si>
  <si>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</si>
  <si>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</si>
  <si>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</si>
  <si>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</si>
  <si>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</si>
  <si>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</si>
  <si>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</si>
  <si>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</si>
  <si>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</si>
  <si>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</si>
  <si>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</si>
  <si>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</si>
  <si>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</si>
  <si>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</si>
  <si>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</si>
  <si>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</si>
  <si>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</si>
  <si>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</si>
  <si>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</si>
  <si>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</si>
  <si>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</si>
  <si>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</si>
  <si>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</si>
  <si>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</si>
  <si>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</si>
  <si>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</si>
  <si>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</si>
  <si>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</si>
  <si>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</si>
  <si>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</si>
  <si>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</si>
  <si>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</si>
  <si>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</si>
  <si>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</si>
  <si>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</si>
  <si>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</si>
  <si>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</si>
  <si>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</si>
  <si>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</si>
  <si>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</si>
  <si>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</si>
  <si>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</si>
  <si>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</si>
  <si>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</si>
  <si>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</si>
  <si>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</si>
  <si>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</si>
  <si>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</si>
  <si>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</si>
  <si>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</si>
  <si>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</si>
  <si>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</si>
  <si>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</si>
  <si>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</si>
  <si>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</si>
  <si>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</si>
  <si>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</si>
  <si>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</si>
  <si>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</si>
  <si>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</si>
  <si>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</si>
  <si>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</si>
  <si>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</si>
  <si>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</si>
  <si>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</si>
  <si>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</si>
  <si>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</si>
  <si>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</si>
  <si>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</si>
  <si>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</si>
  <si>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</si>
  <si>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</si>
  <si>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</si>
  <si>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</si>
  <si>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</si>
  <si>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</si>
  <si>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</si>
  <si>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</si>
  <si>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</si>
  <si>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</si>
  <si>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</si>
  <si>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</si>
  <si>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</si>
  <si>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</si>
  <si>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</si>
  <si>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</si>
  <si>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</si>
  <si>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</si>
  <si>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</si>
  <si>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</si>
  <si>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</si>
  <si>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</si>
  <si>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</si>
  <si>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</si>
  <si>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</si>
  <si>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</si>
  <si>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</si>
  <si>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</si>
  <si>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</si>
  <si>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</si>
  <si>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</si>
  <si>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</si>
  <si>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</si>
  <si>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</si>
  <si>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</si>
  <si>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</si>
  <si>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</si>
  <si>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</si>
  <si>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</si>
  <si>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</si>
  <si>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</si>
  <si>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</si>
  <si>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</si>
  <si>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</si>
  <si>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</si>
  <si>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</si>
  <si>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</si>
  <si>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</si>
  <si>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72003</t>
  </si>
  <si>
    <t>BOCHOLT</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</si>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</sst>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425D62E-C62D-40AD-B4F7-7933B392C99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105914.0480022377</c:v>
                </c:pt>
                <c:pt idx="1">
                  <c:v>67525.970544077354</c:v>
                </c:pt>
                <c:pt idx="2">
                  <c:v>953.41050699999994</c:v>
                </c:pt>
                <c:pt idx="3">
                  <c:v>16487.662168850944</c:v>
                </c:pt>
                <c:pt idx="4">
                  <c:v>117753.81703516697</c:v>
                </c:pt>
                <c:pt idx="5">
                  <c:v>61581.969606416547</c:v>
                </c:pt>
                <c:pt idx="6">
                  <c:v>973.6529661666558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105914.0480022377</c:v>
                </c:pt>
                <c:pt idx="1">
                  <c:v>67525.970544077354</c:v>
                </c:pt>
                <c:pt idx="2">
                  <c:v>953.41050699999994</c:v>
                </c:pt>
                <c:pt idx="3">
                  <c:v>16487.662168850944</c:v>
                </c:pt>
                <c:pt idx="4">
                  <c:v>117753.81703516697</c:v>
                </c:pt>
                <c:pt idx="5">
                  <c:v>61581.969606416547</c:v>
                </c:pt>
                <c:pt idx="6">
                  <c:v>973.6529661666558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21230.577254986762</c:v>
                </c:pt>
                <c:pt idx="1">
                  <c:v>9160.9108464564488</c:v>
                </c:pt>
                <c:pt idx="2">
                  <c:v>164.56098235537982</c:v>
                </c:pt>
                <c:pt idx="3">
                  <c:v>4095.6290524591127</c:v>
                </c:pt>
                <c:pt idx="4">
                  <c:v>22035.861865161227</c:v>
                </c:pt>
                <c:pt idx="5">
                  <c:v>15281.590748191755</c:v>
                </c:pt>
                <c:pt idx="6">
                  <c:v>245.33556398182043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21230.577254986762</c:v>
                </c:pt>
                <c:pt idx="1">
                  <c:v>9160.9108464564488</c:v>
                </c:pt>
                <c:pt idx="2">
                  <c:v>164.56098235537982</c:v>
                </c:pt>
                <c:pt idx="3">
                  <c:v>4095.6290524591127</c:v>
                </c:pt>
                <c:pt idx="4">
                  <c:v>22035.861865161227</c:v>
                </c:pt>
                <c:pt idx="5">
                  <c:v>15281.590748191755</c:v>
                </c:pt>
                <c:pt idx="6">
                  <c:v>245.33556398182043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72003</v>
      </c>
      <c r="B6" s="382"/>
      <c r="C6" s="383"/>
    </row>
    <row r="7" spans="1:7" s="380" customFormat="1" ht="15.75" customHeight="1">
      <c r="A7" s="384" t="str">
        <f>txtMunicipality</f>
        <v>BOCHOLT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0.17260244264895627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0.17260244264895627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5435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3133.37</v>
      </c>
      <c r="C14" s="324"/>
      <c r="D14" s="324"/>
      <c r="E14" s="324"/>
      <c r="F14" s="324"/>
    </row>
    <row r="15" spans="1:6">
      <c r="A15" s="1264" t="s">
        <v>177</v>
      </c>
      <c r="B15" s="1265">
        <v>77</v>
      </c>
      <c r="C15" s="324"/>
      <c r="D15" s="324"/>
      <c r="E15" s="324"/>
      <c r="F15" s="324"/>
    </row>
    <row r="16" spans="1:6">
      <c r="A16" s="1264" t="s">
        <v>6</v>
      </c>
      <c r="B16" s="1265">
        <v>3645</v>
      </c>
      <c r="C16" s="324"/>
      <c r="D16" s="324"/>
      <c r="E16" s="324"/>
      <c r="F16" s="324"/>
    </row>
    <row r="17" spans="1:6">
      <c r="A17" s="1264" t="s">
        <v>7</v>
      </c>
      <c r="B17" s="1265">
        <v>332</v>
      </c>
      <c r="C17" s="324"/>
      <c r="D17" s="324"/>
      <c r="E17" s="324"/>
      <c r="F17" s="324"/>
    </row>
    <row r="18" spans="1:6">
      <c r="A18" s="1264" t="s">
        <v>8</v>
      </c>
      <c r="B18" s="1265">
        <v>1863</v>
      </c>
      <c r="C18" s="324"/>
      <c r="D18" s="324"/>
      <c r="E18" s="324"/>
      <c r="F18" s="324"/>
    </row>
    <row r="19" spans="1:6">
      <c r="A19" s="1264" t="s">
        <v>9</v>
      </c>
      <c r="B19" s="1265">
        <v>2098</v>
      </c>
      <c r="C19" s="324"/>
      <c r="D19" s="324"/>
      <c r="E19" s="324"/>
      <c r="F19" s="324"/>
    </row>
    <row r="20" spans="1:6">
      <c r="A20" s="1264" t="s">
        <v>10</v>
      </c>
      <c r="B20" s="1265">
        <v>909</v>
      </c>
      <c r="C20" s="324"/>
      <c r="D20" s="324"/>
      <c r="E20" s="324"/>
      <c r="F20" s="324"/>
    </row>
    <row r="21" spans="1:6">
      <c r="A21" s="1264" t="s">
        <v>11</v>
      </c>
      <c r="B21" s="1265">
        <v>9659</v>
      </c>
      <c r="C21" s="324"/>
      <c r="D21" s="324"/>
      <c r="E21" s="324"/>
      <c r="F21" s="324"/>
    </row>
    <row r="22" spans="1:6">
      <c r="A22" s="1264" t="s">
        <v>12</v>
      </c>
      <c r="B22" s="1265">
        <v>21663</v>
      </c>
      <c r="C22" s="324"/>
      <c r="D22" s="324"/>
      <c r="E22" s="324"/>
      <c r="F22" s="324"/>
    </row>
    <row r="23" spans="1:6">
      <c r="A23" s="1264" t="s">
        <v>13</v>
      </c>
      <c r="B23" s="1265">
        <v>395</v>
      </c>
      <c r="C23" s="324"/>
      <c r="D23" s="324"/>
      <c r="E23" s="324"/>
      <c r="F23" s="324"/>
    </row>
    <row r="24" spans="1:6">
      <c r="A24" s="1264" t="s">
        <v>14</v>
      </c>
      <c r="B24" s="1265">
        <v>112</v>
      </c>
      <c r="C24" s="324"/>
      <c r="D24" s="324"/>
      <c r="E24" s="324"/>
      <c r="F24" s="324"/>
    </row>
    <row r="25" spans="1:6">
      <c r="A25" s="1264" t="s">
        <v>15</v>
      </c>
      <c r="B25" s="1265">
        <v>2493</v>
      </c>
      <c r="C25" s="324"/>
      <c r="D25" s="324"/>
      <c r="E25" s="324"/>
      <c r="F25" s="324"/>
    </row>
    <row r="26" spans="1:6">
      <c r="A26" s="1264" t="s">
        <v>16</v>
      </c>
      <c r="B26" s="1265">
        <v>32</v>
      </c>
      <c r="C26" s="324"/>
      <c r="D26" s="324"/>
      <c r="E26" s="324"/>
      <c r="F26" s="324"/>
    </row>
    <row r="27" spans="1:6">
      <c r="A27" s="1264" t="s">
        <v>17</v>
      </c>
      <c r="B27" s="1265">
        <v>33</v>
      </c>
      <c r="C27" s="324"/>
      <c r="D27" s="324"/>
      <c r="E27" s="324"/>
      <c r="F27" s="324"/>
    </row>
    <row r="28" spans="1:6">
      <c r="A28" s="1264" t="s">
        <v>18</v>
      </c>
      <c r="B28" s="1266">
        <v>241140</v>
      </c>
      <c r="C28" s="324"/>
      <c r="D28" s="324"/>
      <c r="E28" s="324"/>
      <c r="F28" s="324"/>
    </row>
    <row r="29" spans="1:6">
      <c r="A29" s="1264" t="s">
        <v>657</v>
      </c>
      <c r="B29" s="1266">
        <v>360</v>
      </c>
      <c r="C29" s="324"/>
      <c r="D29" s="324"/>
      <c r="E29" s="324"/>
      <c r="F29" s="324"/>
    </row>
    <row r="30" spans="1:6">
      <c r="A30" s="1259" t="s">
        <v>658</v>
      </c>
      <c r="B30" s="1267">
        <v>103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4010</v>
      </c>
    </row>
    <row r="39" spans="1:6">
      <c r="A39" s="1264" t="s">
        <v>29</v>
      </c>
      <c r="B39" s="1264" t="s">
        <v>30</v>
      </c>
      <c r="C39" s="1265">
        <v>2743</v>
      </c>
      <c r="D39" s="1265">
        <v>38842463.538999997</v>
      </c>
      <c r="E39" s="1265">
        <v>5353</v>
      </c>
      <c r="F39" s="1265">
        <v>17177196.726</v>
      </c>
    </row>
    <row r="40" spans="1:6">
      <c r="A40" s="1264" t="s">
        <v>29</v>
      </c>
      <c r="B40" s="1264" t="s">
        <v>28</v>
      </c>
      <c r="C40" s="1265">
        <v>0</v>
      </c>
      <c r="D40" s="1265">
        <v>0</v>
      </c>
      <c r="E40" s="1265">
        <v>0</v>
      </c>
      <c r="F40" s="1265">
        <v>0</v>
      </c>
    </row>
    <row r="41" spans="1:6">
      <c r="A41" s="1264" t="s">
        <v>31</v>
      </c>
      <c r="B41" s="1264" t="s">
        <v>32</v>
      </c>
      <c r="C41" s="1265">
        <v>46</v>
      </c>
      <c r="D41" s="1265">
        <v>1101065.362</v>
      </c>
      <c r="E41" s="1265">
        <v>112</v>
      </c>
      <c r="F41" s="1265">
        <v>4721884.5920000002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4038337.807</v>
      </c>
      <c r="E44" s="1265">
        <v>25</v>
      </c>
      <c r="F44" s="1265">
        <v>3541727.28</v>
      </c>
    </row>
    <row r="45" spans="1:6">
      <c r="A45" s="1264" t="s">
        <v>31</v>
      </c>
      <c r="B45" s="1264" t="s">
        <v>36</v>
      </c>
      <c r="C45" s="1265">
        <v>0</v>
      </c>
      <c r="D45" s="1265">
        <v>0</v>
      </c>
      <c r="E45" s="1265">
        <v>3</v>
      </c>
      <c r="F45" s="1265">
        <v>61636.082999999999</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6</v>
      </c>
      <c r="D48" s="1265">
        <v>211552.92600000001</v>
      </c>
      <c r="E48" s="1265">
        <v>2</v>
      </c>
      <c r="F48" s="1265">
        <v>12537.174000000001</v>
      </c>
    </row>
    <row r="49" spans="1:6">
      <c r="A49" s="1264" t="s">
        <v>31</v>
      </c>
      <c r="B49" s="1264" t="s">
        <v>39</v>
      </c>
      <c r="C49" s="1265">
        <v>0</v>
      </c>
      <c r="D49" s="1265">
        <v>0</v>
      </c>
      <c r="E49" s="1265">
        <v>5</v>
      </c>
      <c r="F49" s="1265">
        <v>91064.221999999994</v>
      </c>
    </row>
    <row r="50" spans="1:6">
      <c r="A50" s="1264" t="s">
        <v>31</v>
      </c>
      <c r="B50" s="1264" t="s">
        <v>40</v>
      </c>
      <c r="C50" s="1265">
        <v>7</v>
      </c>
      <c r="D50" s="1265">
        <v>57371483.983000003</v>
      </c>
      <c r="E50" s="1265">
        <v>11</v>
      </c>
      <c r="F50" s="1265">
        <v>46166363.289999999</v>
      </c>
    </row>
    <row r="51" spans="1:6">
      <c r="A51" s="1264" t="s">
        <v>41</v>
      </c>
      <c r="B51" s="1264" t="s">
        <v>42</v>
      </c>
      <c r="C51" s="1265">
        <v>4</v>
      </c>
      <c r="D51" s="1265">
        <v>71313.463000000003</v>
      </c>
      <c r="E51" s="1265">
        <v>135</v>
      </c>
      <c r="F51" s="1265">
        <v>3654357.5359999998</v>
      </c>
    </row>
    <row r="52" spans="1:6">
      <c r="A52" s="1264" t="s">
        <v>41</v>
      </c>
      <c r="B52" s="1264" t="s">
        <v>28</v>
      </c>
      <c r="C52" s="1265">
        <v>0</v>
      </c>
      <c r="D52" s="1265">
        <v>0</v>
      </c>
      <c r="E52" s="1265">
        <v>0</v>
      </c>
      <c r="F52" s="1265">
        <v>0</v>
      </c>
    </row>
    <row r="53" spans="1:6">
      <c r="A53" s="1264" t="s">
        <v>43</v>
      </c>
      <c r="B53" s="1264" t="s">
        <v>44</v>
      </c>
      <c r="C53" s="1265">
        <v>35</v>
      </c>
      <c r="D53" s="1265">
        <v>637123.821</v>
      </c>
      <c r="E53" s="1265">
        <v>94</v>
      </c>
      <c r="F53" s="1265">
        <v>355847.647</v>
      </c>
    </row>
    <row r="54" spans="1:6">
      <c r="A54" s="1264" t="s">
        <v>45</v>
      </c>
      <c r="B54" s="1264" t="s">
        <v>46</v>
      </c>
      <c r="C54" s="1265">
        <v>0</v>
      </c>
      <c r="D54" s="1265">
        <v>0</v>
      </c>
      <c r="E54" s="1265">
        <v>3</v>
      </c>
      <c r="F54" s="1265">
        <v>953410.50699999998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30</v>
      </c>
      <c r="D57" s="1265">
        <v>1519069.9169999999</v>
      </c>
      <c r="E57" s="1265">
        <v>90</v>
      </c>
      <c r="F57" s="1265">
        <v>1901928.7620000001</v>
      </c>
    </row>
    <row r="58" spans="1:6">
      <c r="A58" s="1264" t="s">
        <v>48</v>
      </c>
      <c r="B58" s="1264" t="s">
        <v>50</v>
      </c>
      <c r="C58" s="1265">
        <v>15</v>
      </c>
      <c r="D58" s="1265">
        <v>1541381.62</v>
      </c>
      <c r="E58" s="1265">
        <v>25</v>
      </c>
      <c r="F58" s="1265">
        <v>607471.44999999995</v>
      </c>
    </row>
    <row r="59" spans="1:6">
      <c r="A59" s="1264" t="s">
        <v>48</v>
      </c>
      <c r="B59" s="1264" t="s">
        <v>51</v>
      </c>
      <c r="C59" s="1265">
        <v>47</v>
      </c>
      <c r="D59" s="1265">
        <v>15406328.812999999</v>
      </c>
      <c r="E59" s="1265">
        <v>113</v>
      </c>
      <c r="F59" s="1265">
        <v>3341919.0010000002</v>
      </c>
    </row>
    <row r="60" spans="1:6">
      <c r="A60" s="1264" t="s">
        <v>48</v>
      </c>
      <c r="B60" s="1264" t="s">
        <v>52</v>
      </c>
      <c r="C60" s="1265">
        <v>28</v>
      </c>
      <c r="D60" s="1265">
        <v>931941.64800000004</v>
      </c>
      <c r="E60" s="1265">
        <v>65</v>
      </c>
      <c r="F60" s="1265">
        <v>1766560.9939999999</v>
      </c>
    </row>
    <row r="61" spans="1:6">
      <c r="A61" s="1264" t="s">
        <v>48</v>
      </c>
      <c r="B61" s="1264" t="s">
        <v>53</v>
      </c>
      <c r="C61" s="1265">
        <v>76</v>
      </c>
      <c r="D61" s="1265">
        <v>1354585.6529999999</v>
      </c>
      <c r="E61" s="1265">
        <v>182</v>
      </c>
      <c r="F61" s="1265">
        <v>4933306.9060000004</v>
      </c>
    </row>
    <row r="62" spans="1:6">
      <c r="A62" s="1264" t="s">
        <v>48</v>
      </c>
      <c r="B62" s="1264" t="s">
        <v>54</v>
      </c>
      <c r="C62" s="1265">
        <v>10</v>
      </c>
      <c r="D62" s="1265">
        <v>664022.31599999999</v>
      </c>
      <c r="E62" s="1265">
        <v>11</v>
      </c>
      <c r="F62" s="1265">
        <v>210079.69200000001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5</v>
      </c>
      <c r="F66" s="1265">
        <v>88746.452999999994</v>
      </c>
    </row>
    <row r="67" spans="1:6">
      <c r="A67" s="1264" t="s">
        <v>55</v>
      </c>
      <c r="B67" s="1264" t="s">
        <v>58</v>
      </c>
      <c r="C67" s="1265">
        <v>0</v>
      </c>
      <c r="D67" s="1265">
        <v>0</v>
      </c>
      <c r="E67" s="1265">
        <v>0</v>
      </c>
      <c r="F67" s="1265">
        <v>0</v>
      </c>
    </row>
    <row r="68" spans="1:6">
      <c r="A68" s="1259" t="s">
        <v>55</v>
      </c>
      <c r="B68" s="1259" t="s">
        <v>59</v>
      </c>
      <c r="C68" s="1267">
        <v>0</v>
      </c>
      <c r="D68" s="1267">
        <v>0</v>
      </c>
      <c r="E68" s="1267">
        <v>6</v>
      </c>
      <c r="F68" s="1267">
        <v>74542.630999999994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43619713</v>
      </c>
      <c r="E73" s="443"/>
      <c r="F73" s="324"/>
    </row>
    <row r="74" spans="1:6">
      <c r="A74" s="1264" t="s">
        <v>63</v>
      </c>
      <c r="B74" s="1264" t="s">
        <v>608</v>
      </c>
      <c r="C74" s="1277" t="s">
        <v>610</v>
      </c>
      <c r="D74" s="1265">
        <v>5366261.0488417121</v>
      </c>
      <c r="E74" s="443"/>
      <c r="F74" s="324"/>
    </row>
    <row r="75" spans="1:6">
      <c r="A75" s="1264" t="s">
        <v>64</v>
      </c>
      <c r="B75" s="1264" t="s">
        <v>607</v>
      </c>
      <c r="C75" s="1277" t="s">
        <v>611</v>
      </c>
      <c r="D75" s="1265">
        <v>20289318</v>
      </c>
      <c r="E75" s="443"/>
      <c r="F75" s="324"/>
    </row>
    <row r="76" spans="1:6">
      <c r="A76" s="1264" t="s">
        <v>64</v>
      </c>
      <c r="B76" s="1264" t="s">
        <v>608</v>
      </c>
      <c r="C76" s="1277" t="s">
        <v>612</v>
      </c>
      <c r="D76" s="1265">
        <v>233006.0488417125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269655.902316575</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265.0674344314848</v>
      </c>
      <c r="C89" s="324"/>
      <c r="D89" s="324"/>
      <c r="E89" s="324"/>
      <c r="F89" s="324"/>
    </row>
    <row r="90" spans="1:6">
      <c r="A90" s="1264" t="s">
        <v>524</v>
      </c>
      <c r="B90" s="1265">
        <v>0</v>
      </c>
      <c r="C90" s="324"/>
      <c r="D90" s="324"/>
      <c r="E90" s="324"/>
      <c r="F90" s="324"/>
    </row>
    <row r="91" spans="1:6">
      <c r="A91" s="1264" t="s">
        <v>67</v>
      </c>
      <c r="B91" s="1265">
        <v>6724.5118797252499</v>
      </c>
      <c r="C91" s="324"/>
      <c r="D91" s="324"/>
      <c r="E91" s="324"/>
      <c r="F91" s="324"/>
    </row>
    <row r="92" spans="1:6">
      <c r="A92" s="1259" t="s">
        <v>68</v>
      </c>
      <c r="B92" s="1260">
        <v>3567.1339506012441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538</v>
      </c>
      <c r="C97" s="324"/>
      <c r="D97" s="324"/>
      <c r="E97" s="324"/>
      <c r="F97" s="324"/>
    </row>
    <row r="98" spans="1:6">
      <c r="A98" s="1264" t="s">
        <v>71</v>
      </c>
      <c r="B98" s="1265">
        <v>6</v>
      </c>
      <c r="C98" s="324"/>
      <c r="D98" s="324"/>
      <c r="E98" s="324"/>
      <c r="F98" s="324"/>
    </row>
    <row r="99" spans="1:6">
      <c r="A99" s="1264" t="s">
        <v>72</v>
      </c>
      <c r="B99" s="1265">
        <v>56</v>
      </c>
      <c r="C99" s="324"/>
      <c r="D99" s="324"/>
      <c r="E99" s="324"/>
      <c r="F99" s="324"/>
    </row>
    <row r="100" spans="1:6">
      <c r="A100" s="1264" t="s">
        <v>73</v>
      </c>
      <c r="B100" s="1265">
        <v>172</v>
      </c>
      <c r="C100" s="324"/>
      <c r="D100" s="324"/>
      <c r="E100" s="324"/>
      <c r="F100" s="324"/>
    </row>
    <row r="101" spans="1:6">
      <c r="A101" s="1264" t="s">
        <v>74</v>
      </c>
      <c r="B101" s="1265">
        <v>69</v>
      </c>
      <c r="C101" s="324"/>
      <c r="D101" s="324"/>
      <c r="E101" s="324"/>
      <c r="F101" s="324"/>
    </row>
    <row r="102" spans="1:6">
      <c r="A102" s="1264" t="s">
        <v>75</v>
      </c>
      <c r="B102" s="1265">
        <v>50</v>
      </c>
      <c r="C102" s="324"/>
      <c r="D102" s="324"/>
      <c r="E102" s="324"/>
      <c r="F102" s="324"/>
    </row>
    <row r="103" spans="1:6">
      <c r="A103" s="1264" t="s">
        <v>76</v>
      </c>
      <c r="B103" s="1265">
        <v>73</v>
      </c>
      <c r="C103" s="324"/>
      <c r="D103" s="324"/>
      <c r="E103" s="324"/>
      <c r="F103" s="324"/>
    </row>
    <row r="104" spans="1:6">
      <c r="A104" s="1264" t="s">
        <v>77</v>
      </c>
      <c r="B104" s="1265">
        <v>3316</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21</v>
      </c>
      <c r="C123" s="1265">
        <v>31</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214</v>
      </c>
      <c r="C129" s="324"/>
      <c r="D129" s="324"/>
      <c r="E129" s="324"/>
      <c r="F129" s="324"/>
    </row>
    <row r="130" spans="1:6">
      <c r="A130" s="1264" t="s">
        <v>284</v>
      </c>
      <c r="B130" s="1265">
        <v>7</v>
      </c>
      <c r="C130" s="324"/>
      <c r="D130" s="324"/>
      <c r="E130" s="324"/>
      <c r="F130" s="324"/>
    </row>
    <row r="131" spans="1:6">
      <c r="A131" s="1264" t="s">
        <v>285</v>
      </c>
      <c r="B131" s="1265">
        <v>2</v>
      </c>
      <c r="C131" s="324"/>
      <c r="D131" s="324"/>
      <c r="E131" s="324"/>
      <c r="F131" s="324"/>
    </row>
    <row r="132" spans="1:6">
      <c r="A132" s="1259" t="s">
        <v>286</v>
      </c>
      <c r="B132" s="1260">
        <v>41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109715.6596767171</v>
      </c>
      <c r="C3" s="43" t="s">
        <v>163</v>
      </c>
      <c r="D3" s="43"/>
      <c r="E3" s="153"/>
      <c r="F3" s="43"/>
      <c r="G3" s="43"/>
      <c r="H3" s="43"/>
      <c r="I3" s="43"/>
      <c r="J3" s="43"/>
      <c r="K3" s="96"/>
    </row>
    <row r="4" spans="1:11">
      <c r="A4" s="350" t="s">
        <v>164</v>
      </c>
      <c r="B4" s="49">
        <f>IF(ISERROR('SEAP template'!B78+'SEAP template'!C78),0,'SEAP template'!B78+'SEAP template'!C78)</f>
        <v>24027.013264757978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0.17260244264895627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19243.285714285714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953.41050699999994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953.41050699999994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0.17260244264895627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164.56098235537982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17177.196725999998</v>
      </c>
      <c r="C5" s="17">
        <f>IF(ISERROR('Eigen informatie GS &amp; warmtenet'!B59),0,'Eigen informatie GS &amp; warmtenet'!B59)</f>
        <v>0</v>
      </c>
      <c r="D5" s="30">
        <f>(SUM(HH_hh_gas_kWh,HH_rest_gas_kWh)/1000)*0.903</f>
        <v>35074.744575716999</v>
      </c>
      <c r="E5" s="17">
        <f>B32*B41</f>
        <v>2162.0279477480967</v>
      </c>
      <c r="F5" s="17">
        <f>B36*B45</f>
        <v>35430.626312693137</v>
      </c>
      <c r="G5" s="18"/>
      <c r="H5" s="17"/>
      <c r="I5" s="17"/>
      <c r="J5" s="17">
        <f>B35*B44+C35*C44</f>
        <v>195.55930009120263</v>
      </c>
      <c r="K5" s="17"/>
      <c r="L5" s="17"/>
      <c r="M5" s="17"/>
      <c r="N5" s="17">
        <f>B34*B43+C34*C43</f>
        <v>7985.1701843825667</v>
      </c>
      <c r="O5" s="17">
        <f>B52*B53*B54</f>
        <v>490.03768018859688</v>
      </c>
      <c r="P5" s="17">
        <f>B60*B61*B62/1000-B60*B61*B62/1000/B63</f>
        <v>674.17339569184151</v>
      </c>
    </row>
    <row r="6" spans="1:16">
      <c r="A6" s="16" t="s">
        <v>573</v>
      </c>
      <c r="B6" s="739">
        <f>kWh_PV_kleiner_dan_10kW</f>
        <v>6724.5118797252499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23901.708605725249</v>
      </c>
      <c r="C8" s="21">
        <f>C5</f>
        <v>0</v>
      </c>
      <c r="D8" s="21">
        <f>D5</f>
        <v>35074.744575716999</v>
      </c>
      <c r="E8" s="21">
        <f>E5</f>
        <v>2162.0279477480967</v>
      </c>
      <c r="F8" s="21">
        <f>F5</f>
        <v>35430.626312693137</v>
      </c>
      <c r="G8" s="21"/>
      <c r="H8" s="21"/>
      <c r="I8" s="21"/>
      <c r="J8" s="21">
        <f>J5</f>
        <v>195.55930009120263</v>
      </c>
      <c r="K8" s="21"/>
      <c r="L8" s="21">
        <f>L5</f>
        <v>0</v>
      </c>
      <c r="M8" s="21">
        <f>M5</f>
        <v>0</v>
      </c>
      <c r="N8" s="21">
        <f>N5</f>
        <v>7985.1701843825667</v>
      </c>
      <c r="O8" s="21">
        <f>O5</f>
        <v>490.03768018859688</v>
      </c>
      <c r="P8" s="21">
        <f>P5</f>
        <v>674.17339569184151</v>
      </c>
    </row>
    <row r="9" spans="1:16">
      <c r="B9" s="19"/>
      <c r="C9" s="19"/>
      <c r="D9" s="253"/>
      <c r="E9" s="19"/>
      <c r="F9" s="19"/>
      <c r="G9" s="19"/>
      <c r="H9" s="19"/>
      <c r="I9" s="19"/>
      <c r="J9" s="19"/>
      <c r="K9" s="19"/>
      <c r="L9" s="19"/>
      <c r="M9" s="19"/>
      <c r="N9" s="19"/>
      <c r="O9" s="19"/>
      <c r="P9" s="19"/>
    </row>
    <row r="10" spans="1:16">
      <c r="A10" s="24" t="s">
        <v>207</v>
      </c>
      <c r="B10" s="25">
        <f ca="1">'EF ele_warmte'!B12</f>
        <v>0.17260244264895627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4125.4932888317571</v>
      </c>
      <c r="C12" s="23">
        <f ca="1">C10*C8</f>
        <v>0</v>
      </c>
      <c r="D12" s="23">
        <f>D8*D10</f>
        <v>7085.0984042948339</v>
      </c>
      <c r="E12" s="23">
        <f>E10*E8</f>
        <v>490.78034413881795</v>
      </c>
      <c r="F12" s="23">
        <f>F10*F8</f>
        <v>9459.9772254890686</v>
      </c>
      <c r="G12" s="23"/>
      <c r="H12" s="23"/>
      <c r="I12" s="23"/>
      <c r="J12" s="23">
        <f>J10*J8</f>
        <v>69.227992232285729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5435</v>
      </c>
      <c r="C26" s="36"/>
      <c r="D26" s="224"/>
    </row>
    <row r="27" spans="1:5" s="15" customFormat="1">
      <c r="A27" s="226" t="s">
        <v>784</v>
      </c>
      <c r="B27" s="37">
        <f>SUM(HH_hh_gas_aantal,HH_rest_gas_aantal)</f>
        <v>2743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2605.85</v>
      </c>
      <c r="C31" s="34" t="s">
        <v>104</v>
      </c>
      <c r="D31" s="170"/>
    </row>
    <row r="32" spans="1:5">
      <c r="A32" s="167" t="s">
        <v>72</v>
      </c>
      <c r="B32" s="33">
        <f>IF((B21*($B$26-($B$27-0.05*$B$27)-$B$60))&lt;0,0,B21*($B$26-($B$27-0.05*$B$27)-$B$60))</f>
        <v>42.652334187804591</v>
      </c>
      <c r="C32" s="34" t="s">
        <v>104</v>
      </c>
      <c r="D32" s="170"/>
    </row>
    <row r="33" spans="1:6">
      <c r="A33" s="167" t="s">
        <v>73</v>
      </c>
      <c r="B33" s="33">
        <f>IF((B22*($B$26-($B$27-0.05*$B$27)-$B$60))&lt;0,0,B22*($B$26-($B$27-0.05*$B$27)-$B$60))</f>
        <v>692.58943333491186</v>
      </c>
      <c r="C33" s="34" t="s">
        <v>104</v>
      </c>
      <c r="D33" s="170"/>
    </row>
    <row r="34" spans="1:6">
      <c r="A34" s="167" t="s">
        <v>74</v>
      </c>
      <c r="B34" s="33">
        <f>IF((B24*($B$26-($B$27-0.05*$B$27)-$B$60))&lt;0,0,B24*($B$26-($B$27-0.05*$B$27)-$B$60))</f>
        <v>302.8411510809334</v>
      </c>
      <c r="C34" s="33">
        <f>B26*C24</f>
        <v>913.07962940141749</v>
      </c>
      <c r="D34" s="229"/>
    </row>
    <row r="35" spans="1:6">
      <c r="A35" s="167" t="s">
        <v>76</v>
      </c>
      <c r="B35" s="33">
        <f>IF((B19*($B$26-($B$27-0.05*$B$27)-$B$60))&lt;0,0,B19*($B$26-($B$27-0.05*$B$27)-$B$60))</f>
        <v>18.540867985490671</v>
      </c>
      <c r="C35" s="33">
        <f>B35/2</f>
        <v>9.2704339927453354</v>
      </c>
      <c r="D35" s="229"/>
    </row>
    <row r="36" spans="1:6">
      <c r="A36" s="167" t="s">
        <v>77</v>
      </c>
      <c r="B36" s="33">
        <f>IF((B18*($B$26-($B$27-0.05*$B$27)-$B$60))&lt;0,0,B18*($B$26-($B$27-0.05*$B$27)-$B$60))</f>
        <v>1708.5262134108586</v>
      </c>
      <c r="C36" s="34" t="s">
        <v>104</v>
      </c>
      <c r="D36" s="170"/>
    </row>
    <row r="37" spans="1:6">
      <c r="A37" s="167" t="s">
        <v>78</v>
      </c>
      <c r="B37" s="33">
        <f>B60</f>
        <v>64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247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12761.266804999999</v>
      </c>
      <c r="C5" s="17">
        <f>IF(ISERROR('Eigen informatie GS &amp; warmtenet'!B60),0,'Eigen informatie GS &amp; warmtenet'!B60)</f>
        <v>0</v>
      </c>
      <c r="D5" s="30">
        <f>SUM(D6:D12)</f>
        <v>19339.848960200998</v>
      </c>
      <c r="E5" s="17">
        <f>SUM(E6:E12)</f>
        <v>40.309093695532646</v>
      </c>
      <c r="F5" s="17">
        <f>SUM(F6:F12)</f>
        <v>2743.5963715292305</v>
      </c>
      <c r="G5" s="18"/>
      <c r="H5" s="17"/>
      <c r="I5" s="17"/>
      <c r="J5" s="17">
        <f>SUM(J6:J12)</f>
        <v>1.8783106310049091E-2</v>
      </c>
      <c r="K5" s="17"/>
      <c r="L5" s="17"/>
      <c r="M5" s="17"/>
      <c r="N5" s="17">
        <f>SUM(N6:N12)</f>
        <v>660.28327495072131</v>
      </c>
      <c r="O5" s="17">
        <f>B38*B39*B40</f>
        <v>34.280825360888088</v>
      </c>
      <c r="P5" s="17">
        <f>B46*B47*B48/1000-B46*B47*B48/1000/B49</f>
        <v>105.07827661299004</v>
      </c>
      <c r="R5" s="32"/>
    </row>
    <row r="6" spans="1:18">
      <c r="A6" s="32" t="s">
        <v>53</v>
      </c>
      <c r="B6" s="37">
        <f>B26</f>
        <v>4933.3069060000007</v>
      </c>
      <c r="C6" s="33"/>
      <c r="D6" s="37">
        <f>IF(ISERROR(TER_kantoor_gas_kWh/1000),0,TER_kantoor_gas_kWh/1000)*0.903</f>
        <v>1223.1908446589998</v>
      </c>
      <c r="E6" s="33">
        <f>$C$26*'E Balans VL '!I12/100/3.6*1000000</f>
        <v>1.1998151552393526</v>
      </c>
      <c r="F6" s="33">
        <f>$C$26*('E Balans VL '!L12+'E Balans VL '!N12)/100/3.6*1000000</f>
        <v>472.39537462665839</v>
      </c>
      <c r="G6" s="34"/>
      <c r="H6" s="33"/>
      <c r="I6" s="33"/>
      <c r="J6" s="33">
        <f>$C$26*('E Balans VL '!D12+'E Balans VL '!E12)/100/3.6*1000000</f>
        <v>0</v>
      </c>
      <c r="K6" s="33"/>
      <c r="L6" s="33"/>
      <c r="M6" s="33"/>
      <c r="N6" s="33">
        <f>$C$26*'E Balans VL '!Y12/100/3.6*1000000</f>
        <v>2.5045117237424273</v>
      </c>
      <c r="O6" s="33"/>
      <c r="P6" s="33"/>
      <c r="R6" s="32"/>
    </row>
    <row r="7" spans="1:18">
      <c r="A7" s="32" t="s">
        <v>52</v>
      </c>
      <c r="B7" s="37">
        <f t="shared" ref="B7:B12" si="0">B27</f>
        <v>1766.5609939999999</v>
      </c>
      <c r="C7" s="33"/>
      <c r="D7" s="37">
        <f>IF(ISERROR(TER_horeca_gas_kWh/1000),0,TER_horeca_gas_kWh/1000)*0.903</f>
        <v>841.54330814400009</v>
      </c>
      <c r="E7" s="33">
        <f>$C$27*'E Balans VL '!I9/100/3.6*1000000</f>
        <v>0</v>
      </c>
      <c r="F7" s="33">
        <f>$C$27*('E Balans VL '!L9+'E Balans VL '!N9)/100/3.6*1000000</f>
        <v>144.89172347330583</v>
      </c>
      <c r="G7" s="34"/>
      <c r="H7" s="33"/>
      <c r="I7" s="33"/>
      <c r="J7" s="33">
        <f>$C$27*('E Balans VL '!D9+'E Balans VL '!E9)/100/3.6*1000000</f>
        <v>0</v>
      </c>
      <c r="K7" s="33"/>
      <c r="L7" s="33"/>
      <c r="M7" s="33"/>
      <c r="N7" s="33">
        <f>$C$27*'E Balans VL '!Y9/100/3.6*1000000</f>
        <v>11.60242257100151</v>
      </c>
      <c r="O7" s="33"/>
      <c r="P7" s="33"/>
      <c r="R7" s="32"/>
    </row>
    <row r="8" spans="1:18">
      <c r="A8" s="6" t="s">
        <v>51</v>
      </c>
      <c r="B8" s="37">
        <f t="shared" si="0"/>
        <v>3341.9190010000002</v>
      </c>
      <c r="C8" s="33"/>
      <c r="D8" s="37">
        <f>IF(ISERROR(TER_handel_gas_kWh/1000),0,TER_handel_gas_kWh/1000)*0.903</f>
        <v>13911.914918138998</v>
      </c>
      <c r="E8" s="33">
        <f>$C$28*'E Balans VL '!I13/100/3.6*1000000</f>
        <v>11.813856797603817</v>
      </c>
      <c r="F8" s="33">
        <f>$C$28*('E Balans VL '!L13+'E Balans VL '!N13)/100/3.6*1000000</f>
        <v>307.7192511822978</v>
      </c>
      <c r="G8" s="34"/>
      <c r="H8" s="33"/>
      <c r="I8" s="33"/>
      <c r="J8" s="33">
        <f>$C$28*('E Balans VL '!D13+'E Balans VL '!E13)/100/3.6*1000000</f>
        <v>0</v>
      </c>
      <c r="K8" s="33"/>
      <c r="L8" s="33"/>
      <c r="M8" s="33"/>
      <c r="N8" s="33">
        <f>$C$28*'E Balans VL '!Y13/100/3.6*1000000</f>
        <v>1.2102991871647375</v>
      </c>
      <c r="O8" s="33"/>
      <c r="P8" s="33"/>
      <c r="R8" s="32"/>
    </row>
    <row r="9" spans="1:18">
      <c r="A9" s="32" t="s">
        <v>50</v>
      </c>
      <c r="B9" s="37">
        <f t="shared" si="0"/>
        <v>607.47145</v>
      </c>
      <c r="C9" s="33"/>
      <c r="D9" s="37">
        <f>IF(ISERROR(TER_gezond_gas_kWh/1000),0,TER_gezond_gas_kWh/1000)*0.903</f>
        <v>1391.86760286</v>
      </c>
      <c r="E9" s="33">
        <f>$C$29*'E Balans VL '!I10/100/3.6*1000000</f>
        <v>0</v>
      </c>
      <c r="F9" s="33">
        <f>$C$29*('E Balans VL '!L10+'E Balans VL '!N10)/100/3.6*1000000</f>
        <v>74.625387544981578</v>
      </c>
      <c r="G9" s="34"/>
      <c r="H9" s="33"/>
      <c r="I9" s="33"/>
      <c r="J9" s="33">
        <f>$C$29*('E Balans VL '!D10+'E Balans VL '!E10)/100/3.6*1000000</f>
        <v>0</v>
      </c>
      <c r="K9" s="33"/>
      <c r="L9" s="33"/>
      <c r="M9" s="33"/>
      <c r="N9" s="33">
        <f>$C$29*'E Balans VL '!Y10/100/3.6*1000000</f>
        <v>4.4796786243327444</v>
      </c>
      <c r="O9" s="33"/>
      <c r="P9" s="33"/>
      <c r="R9" s="32"/>
    </row>
    <row r="10" spans="1:18">
      <c r="A10" s="32" t="s">
        <v>49</v>
      </c>
      <c r="B10" s="37">
        <f t="shared" si="0"/>
        <v>1901.928762</v>
      </c>
      <c r="C10" s="33"/>
      <c r="D10" s="37">
        <f>IF(ISERROR(TER_ander_gas_kWh/1000),0,TER_ander_gas_kWh/1000)*0.903</f>
        <v>1371.7201350509999</v>
      </c>
      <c r="E10" s="33">
        <f>$C$30*'E Balans VL '!I14/100/3.6*1000000</f>
        <v>27.295421742689477</v>
      </c>
      <c r="F10" s="33">
        <f>$C$30*('E Balans VL '!L14+'E Balans VL '!N14)/100/3.6*1000000</f>
        <v>1719.4038169914959</v>
      </c>
      <c r="G10" s="34"/>
      <c r="H10" s="33"/>
      <c r="I10" s="33"/>
      <c r="J10" s="33">
        <f>$C$30*('E Balans VL '!D14+'E Balans VL '!E14)/100/3.6*1000000</f>
        <v>1.8783106310049091E-2</v>
      </c>
      <c r="K10" s="33"/>
      <c r="L10" s="33"/>
      <c r="M10" s="33"/>
      <c r="N10" s="33">
        <f>$C$30*'E Balans VL '!Y14/100/3.6*1000000</f>
        <v>639.89480255551473</v>
      </c>
      <c r="O10" s="33"/>
      <c r="P10" s="33"/>
      <c r="R10" s="32"/>
    </row>
    <row r="11" spans="1:18">
      <c r="A11" s="32" t="s">
        <v>54</v>
      </c>
      <c r="B11" s="37">
        <f t="shared" si="0"/>
        <v>210.07969200000002</v>
      </c>
      <c r="C11" s="33"/>
      <c r="D11" s="37">
        <f>IF(ISERROR(TER_onderwijs_gas_kWh/1000),0,TER_onderwijs_gas_kWh/1000)*0.903</f>
        <v>599.61215134800011</v>
      </c>
      <c r="E11" s="33">
        <f>$C$31*'E Balans VL '!I11/100/3.6*1000000</f>
        <v>0</v>
      </c>
      <c r="F11" s="33">
        <f>$C$31*('E Balans VL '!L11+'E Balans VL '!N11)/100/3.6*1000000</f>
        <v>24.560817710490785</v>
      </c>
      <c r="G11" s="34"/>
      <c r="H11" s="33"/>
      <c r="I11" s="33"/>
      <c r="J11" s="33">
        <f>$C$31*('E Balans VL '!D11+'E Balans VL '!E11)/100/3.6*1000000</f>
        <v>0</v>
      </c>
      <c r="K11" s="33"/>
      <c r="L11" s="33"/>
      <c r="M11" s="33"/>
      <c r="N11" s="33">
        <f>$C$31*'E Balans VL '!Y11/100/3.6*1000000</f>
        <v>0.59156028896523971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13383</v>
      </c>
      <c r="C13" s="242">
        <f ca="1">'lokale energieproductie'!O40+'lokale energieproductie'!O33</f>
        <v>19118.571428571428</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-38237.142857142862</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26144.266804999999</v>
      </c>
      <c r="C16" s="21">
        <f t="shared" ca="1" si="1"/>
        <v>19118.571428571428</v>
      </c>
      <c r="D16" s="21">
        <f t="shared" ca="1" si="1"/>
        <v>19339.848960200998</v>
      </c>
      <c r="E16" s="21">
        <f t="shared" si="1"/>
        <v>40.309093695532646</v>
      </c>
      <c r="F16" s="21">
        <f t="shared" ca="1" si="1"/>
        <v>2743.5963715292305</v>
      </c>
      <c r="G16" s="21">
        <f t="shared" si="1"/>
        <v>0</v>
      </c>
      <c r="H16" s="21">
        <f t="shared" si="1"/>
        <v>0</v>
      </c>
      <c r="I16" s="21">
        <f t="shared" si="1"/>
        <v>0</v>
      </c>
      <c r="J16" s="21">
        <f t="shared" si="1"/>
        <v>1.8783106310049091E-2</v>
      </c>
      <c r="K16" s="21">
        <f t="shared" si="1"/>
        <v>0</v>
      </c>
      <c r="L16" s="21">
        <f t="shared" ca="1" si="1"/>
        <v>0</v>
      </c>
      <c r="M16" s="21">
        <f t="shared" si="1"/>
        <v>0</v>
      </c>
      <c r="N16" s="21">
        <f t="shared" ca="1" si="1"/>
        <v>0</v>
      </c>
      <c r="O16" s="21">
        <f>O5</f>
        <v>34.280825360888088</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0.17260244264895627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4512.5643118090238</v>
      </c>
      <c r="C20" s="23">
        <f t="shared" ref="C20:P20" ca="1" si="2">C16*C18</f>
        <v>0</v>
      </c>
      <c r="D20" s="23">
        <f t="shared" ca="1" si="2"/>
        <v>3906.6494899606018</v>
      </c>
      <c r="E20" s="23">
        <f t="shared" si="2"/>
        <v>9.1501642688859111</v>
      </c>
      <c r="F20" s="23">
        <f t="shared" ca="1" si="2"/>
        <v>732.54023119830458</v>
      </c>
      <c r="G20" s="23">
        <f t="shared" si="2"/>
        <v>0</v>
      </c>
      <c r="H20" s="23">
        <f t="shared" si="2"/>
        <v>0</v>
      </c>
      <c r="I20" s="23">
        <f t="shared" si="2"/>
        <v>0</v>
      </c>
      <c r="J20" s="23">
        <f t="shared" si="2"/>
        <v>6.6492196337573778E-3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4933.3069060000007</v>
      </c>
      <c r="C26" s="39">
        <f>IF(ISERROR(B26*3.6/1000000/'E Balans VL '!Z12*100),0,B26*3.6/1000000/'E Balans VL '!Z12*100)</f>
        <v>0.13905719575683118</v>
      </c>
      <c r="D26" s="232" t="s">
        <v>660</v>
      </c>
      <c r="F26" s="6"/>
    </row>
    <row r="27" spans="1:18">
      <c r="A27" s="227" t="s">
        <v>52</v>
      </c>
      <c r="B27" s="33">
        <f>IF(ISERROR(TER_horeca_ele_kWh/1000),0,TER_horeca_ele_kWh/1000)</f>
        <v>1766.5609939999999</v>
      </c>
      <c r="C27" s="39">
        <f>IF(ISERROR(B27*3.6/1000000/'E Balans VL '!Z9*100),0,B27*3.6/1000000/'E Balans VL '!Z9*100)</f>
        <v>0.13096879607348105</v>
      </c>
      <c r="D27" s="232" t="s">
        <v>660</v>
      </c>
      <c r="F27" s="6"/>
    </row>
    <row r="28" spans="1:18">
      <c r="A28" s="167" t="s">
        <v>51</v>
      </c>
      <c r="B28" s="33">
        <f>IF(ISERROR(TER_handel_ele_kWh/1000),0,TER_handel_ele_kWh/1000)</f>
        <v>3341.9190010000002</v>
      </c>
      <c r="C28" s="39">
        <f>IF(ISERROR(B28*3.6/1000000/'E Balans VL '!Z13*100),0,B28*3.6/1000000/'E Balans VL '!Z13*100)</f>
        <v>0.10011594756087572</v>
      </c>
      <c r="D28" s="232" t="s">
        <v>660</v>
      </c>
      <c r="F28" s="6"/>
    </row>
    <row r="29" spans="1:18">
      <c r="A29" s="227" t="s">
        <v>50</v>
      </c>
      <c r="B29" s="33">
        <f>IF(ISERROR(TER_gezond_ele_kWh/1000),0,TER_gezond_ele_kWh/1000)</f>
        <v>607.47145</v>
      </c>
      <c r="C29" s="39">
        <f>IF(ISERROR(B29*3.6/1000000/'E Balans VL '!Z10*100),0,B29*3.6/1000000/'E Balans VL '!Z10*100)</f>
        <v>6.0067015073287863E-2</v>
      </c>
      <c r="D29" s="232" t="s">
        <v>660</v>
      </c>
      <c r="F29" s="6"/>
    </row>
    <row r="30" spans="1:18">
      <c r="A30" s="227" t="s">
        <v>49</v>
      </c>
      <c r="B30" s="33">
        <f>IF(ISERROR(TER_ander_ele_kWh/1000),0,TER_ander_ele_kWh/1000)</f>
        <v>1901.928762</v>
      </c>
      <c r="C30" s="39">
        <f>IF(ISERROR(B30*3.6/1000000/'E Balans VL '!Z14*100),0,B30*3.6/1000000/'E Balans VL '!Z14*100)</f>
        <v>7.6927397856856344E-2</v>
      </c>
      <c r="D30" s="232" t="s">
        <v>660</v>
      </c>
      <c r="F30" s="6"/>
    </row>
    <row r="31" spans="1:18">
      <c r="A31" s="227" t="s">
        <v>54</v>
      </c>
      <c r="B31" s="33">
        <f>IF(ISERROR(TER_onderwijs_ele_kWh/1000),0,TER_onderwijs_ele_kWh/1000)</f>
        <v>210.07969200000002</v>
      </c>
      <c r="C31" s="39">
        <f>IF(ISERROR(B31*3.6/1000000/'E Balans VL '!Z11*100),0,B31*3.6/1000000/'E Balans VL '!Z11*100)</f>
        <v>5.7718079151268691E-2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54595.212640999998</v>
      </c>
      <c r="C5" s="17">
        <f>IF(ISERROR('Eigen informatie GS &amp; warmtenet'!B61),0,'Eigen informatie GS &amp; warmtenet'!B61)</f>
        <v>0</v>
      </c>
      <c r="D5" s="30">
        <f>SUM(D6:D15)</f>
        <v>56638.363390434002</v>
      </c>
      <c r="E5" s="17">
        <f>SUM(E6:E15)</f>
        <v>130.12680563062818</v>
      </c>
      <c r="F5" s="17">
        <f>SUM(F6:F15)</f>
        <v>4272.8002794465137</v>
      </c>
      <c r="G5" s="18"/>
      <c r="H5" s="17"/>
      <c r="I5" s="17"/>
      <c r="J5" s="17">
        <f>SUM(J6:J15)</f>
        <v>3.5845819983241167</v>
      </c>
      <c r="K5" s="17"/>
      <c r="L5" s="17"/>
      <c r="M5" s="17"/>
      <c r="N5" s="17">
        <f>SUM(N6:N15)</f>
        <v>2113.72933665751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3541.7272799999996</v>
      </c>
      <c r="C8" s="33"/>
      <c r="D8" s="37">
        <f>IF( ISERROR(IND_metaal_Gas_kWH/1000),0,IND_metaal_Gas_kWH/1000)*0.903</f>
        <v>3646.6190397209998</v>
      </c>
      <c r="E8" s="33">
        <f>C30*'E Balans VL '!I18/100/3.6*1000000</f>
        <v>19.357077960261609</v>
      </c>
      <c r="F8" s="33">
        <f>C30*'E Balans VL '!L18/100/3.6*1000000+C30*'E Balans VL '!N18/100/3.6*1000000</f>
        <v>242.42595799577705</v>
      </c>
      <c r="G8" s="34"/>
      <c r="H8" s="33"/>
      <c r="I8" s="33"/>
      <c r="J8" s="40">
        <f>C30*'E Balans VL '!D18/100/3.6*1000000+C30*'E Balans VL '!E18/100/3.6*1000000</f>
        <v>3.5295699963570502</v>
      </c>
      <c r="K8" s="33"/>
      <c r="L8" s="33"/>
      <c r="M8" s="33"/>
      <c r="N8" s="33">
        <f>C30*'E Balans VL '!Y18/100/3.6*1000000</f>
        <v>52.383851923731733</v>
      </c>
      <c r="O8" s="33"/>
      <c r="P8" s="33"/>
      <c r="R8" s="32"/>
    </row>
    <row r="9" spans="1:18">
      <c r="A9" s="6" t="s">
        <v>32</v>
      </c>
      <c r="B9" s="37">
        <f t="shared" si="0"/>
        <v>4721.8845920000003</v>
      </c>
      <c r="C9" s="33"/>
      <c r="D9" s="37">
        <f>IF( ISERROR(IND_andere_gas_kWh/1000),0,IND_andere_gas_kWh/1000)*0.903</f>
        <v>994.26202188600007</v>
      </c>
      <c r="E9" s="33">
        <f>C31*'E Balans VL '!I19/100/3.6*1000000</f>
        <v>17.769700390936908</v>
      </c>
      <c r="F9" s="33">
        <f>C31*'E Balans VL '!L19/100/3.6*1000000+C31*'E Balans VL '!N19/100/3.6*1000000</f>
        <v>3039.1326148298876</v>
      </c>
      <c r="G9" s="34"/>
      <c r="H9" s="33"/>
      <c r="I9" s="33"/>
      <c r="J9" s="40">
        <f>C31*'E Balans VL '!D19/100/3.6*1000000+C31*'E Balans VL '!E19/100/3.6*1000000</f>
        <v>0</v>
      </c>
      <c r="K9" s="33"/>
      <c r="L9" s="33"/>
      <c r="M9" s="33"/>
      <c r="N9" s="33">
        <f>C31*'E Balans VL '!Y19/100/3.6*1000000</f>
        <v>170.581240486524</v>
      </c>
      <c r="O9" s="33"/>
      <c r="P9" s="33"/>
      <c r="R9" s="32"/>
    </row>
    <row r="10" spans="1:18">
      <c r="A10" s="6" t="s">
        <v>40</v>
      </c>
      <c r="B10" s="37">
        <f t="shared" si="0"/>
        <v>46166.363290000001</v>
      </c>
      <c r="C10" s="33"/>
      <c r="D10" s="37">
        <f>IF( ISERROR(IND_voed_gas_kWh/1000),0,IND_voed_gas_kWh/1000)*0.903</f>
        <v>51806.450036649003</v>
      </c>
      <c r="E10" s="33">
        <f>C32*'E Balans VL '!I20/100/3.6*1000000</f>
        <v>91.389774012777153</v>
      </c>
      <c r="F10" s="33">
        <f>C32*'E Balans VL '!L20/100/3.6*1000000+C32*'E Balans VL '!N20/100/3.6*1000000</f>
        <v>980.51693824923746</v>
      </c>
      <c r="G10" s="34"/>
      <c r="H10" s="33"/>
      <c r="I10" s="33"/>
      <c r="J10" s="40">
        <f>C32*'E Balans VL '!D20/100/3.6*1000000+C32*'E Balans VL '!E20/100/3.6*1000000</f>
        <v>0</v>
      </c>
      <c r="K10" s="33"/>
      <c r="L10" s="33"/>
      <c r="M10" s="33"/>
      <c r="N10" s="33">
        <f>C32*'E Balans VL '!Y20/100/3.6*1000000</f>
        <v>1860.6798709274015</v>
      </c>
      <c r="O10" s="33"/>
      <c r="P10" s="33"/>
      <c r="R10" s="32"/>
    </row>
    <row r="11" spans="1:18">
      <c r="A11" s="6" t="s">
        <v>39</v>
      </c>
      <c r="B11" s="37">
        <f t="shared" si="0"/>
        <v>91.064222000000001</v>
      </c>
      <c r="C11" s="33"/>
      <c r="D11" s="37">
        <f>IF( ISERROR(IND_textiel_gas_kWh/1000),0,IND_textiel_gas_kWh/1000)*0.903</f>
        <v>0</v>
      </c>
      <c r="E11" s="33">
        <f>C33*'E Balans VL '!I21/100/3.6*1000000</f>
        <v>0.17732332742822987</v>
      </c>
      <c r="F11" s="33">
        <f>C33*'E Balans VL '!L21/100/3.6*1000000+C33*'E Balans VL '!N21/100/3.6*1000000</f>
        <v>2.1570275729072503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61.636082999999999</v>
      </c>
      <c r="C12" s="33"/>
      <c r="D12" s="37">
        <f>IF( ISERROR(IND_min_gas_kWh/1000),0,IND_min_gas_kWh/1000)*0.903</f>
        <v>0</v>
      </c>
      <c r="E12" s="33">
        <f>C34*'E Balans VL '!I22/100/3.6*1000000</f>
        <v>0.75417565418184429</v>
      </c>
      <c r="F12" s="33">
        <f>C34*'E Balans VL '!L22/100/3.6*1000000+C34*'E Balans VL '!N22/100/3.6*1000000</f>
        <v>6.6543923153708668</v>
      </c>
      <c r="G12" s="34"/>
      <c r="H12" s="33"/>
      <c r="I12" s="33"/>
      <c r="J12" s="40">
        <f>C34*'E Balans VL '!D22/100/3.6*1000000+C34*'E Balans VL '!E22/100/3.6*1000000</f>
        <v>0</v>
      </c>
      <c r="K12" s="33"/>
      <c r="L12" s="33"/>
      <c r="M12" s="33"/>
      <c r="N12" s="33">
        <f>C34*'E Balans VL '!Y22/100/3.6*1000000</f>
        <v>29.728987192034836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12.537174</v>
      </c>
      <c r="C15" s="33"/>
      <c r="D15" s="37">
        <f>IF( ISERROR(IND_rest_gas_kWh/1000),0,IND_rest_gas_kWh/1000)*0.903</f>
        <v>191.03229217800001</v>
      </c>
      <c r="E15" s="33">
        <f>C37*'E Balans VL '!I15/100/3.6*1000000</f>
        <v>0.67875428504243041</v>
      </c>
      <c r="F15" s="33">
        <f>C37*'E Balans VL '!L15/100/3.6*1000000+C37*'E Balans VL '!N15/100/3.6*1000000</f>
        <v>1.91334848333285</v>
      </c>
      <c r="G15" s="34"/>
      <c r="H15" s="33"/>
      <c r="I15" s="33"/>
      <c r="J15" s="40">
        <f>C37*'E Balans VL '!D15/100/3.6*1000000+C37*'E Balans VL '!E15/100/3.6*1000000</f>
        <v>5.501200196706648E-2</v>
      </c>
      <c r="K15" s="33"/>
      <c r="L15" s="33"/>
      <c r="M15" s="33"/>
      <c r="N15" s="33">
        <f>C37*'E Balans VL '!Y15/100/3.6*1000000</f>
        <v>0.35538612781772927</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54595.212640999998</v>
      </c>
      <c r="C18" s="21">
        <f>C5+C16</f>
        <v>0</v>
      </c>
      <c r="D18" s="21">
        <f>MAX((D5+D16),0)</f>
        <v>56638.363390434002</v>
      </c>
      <c r="E18" s="21">
        <f>MAX((E5+E16),0)</f>
        <v>130.12680563062818</v>
      </c>
      <c r="F18" s="21">
        <f>MAX((F5+F16),0)</f>
        <v>4272.8002794465137</v>
      </c>
      <c r="G18" s="21"/>
      <c r="H18" s="21"/>
      <c r="I18" s="21"/>
      <c r="J18" s="21">
        <f>MAX((J5+J16),0)</f>
        <v>3.5845819983241167</v>
      </c>
      <c r="K18" s="21"/>
      <c r="L18" s="21">
        <f>MAX((L5+L16),0)</f>
        <v>0</v>
      </c>
      <c r="M18" s="21"/>
      <c r="N18" s="21">
        <f>MAX((N5+N16),0)</f>
        <v>2113.72933665751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0.17260244264895627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9423.2670587757748</v>
      </c>
      <c r="C22" s="23">
        <f ca="1">C18*C20</f>
        <v>0</v>
      </c>
      <c r="D22" s="23">
        <f>D18*D20</f>
        <v>11440.94940486767</v>
      </c>
      <c r="E22" s="23">
        <f>E18*E20</f>
        <v>29.538784878152597</v>
      </c>
      <c r="F22" s="23">
        <f>F18*F20</f>
        <v>1140.8376746122192</v>
      </c>
      <c r="G22" s="23"/>
      <c r="H22" s="23"/>
      <c r="I22" s="23"/>
      <c r="J22" s="23">
        <f>J18*J20</f>
        <v>1.2689420274067373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3541.7272799999996</v>
      </c>
      <c r="C30" s="39">
        <f>IF(ISERROR(B30*3.6/1000000/'E Balans VL '!Z18*100),0,B30*3.6/1000000/'E Balans VL '!Z18*100)</f>
        <v>0.19761200601687939</v>
      </c>
      <c r="D30" s="232" t="s">
        <v>660</v>
      </c>
    </row>
    <row r="31" spans="1:18">
      <c r="A31" s="6" t="s">
        <v>32</v>
      </c>
      <c r="B31" s="37">
        <f>IF( ISERROR(IND_ander_ele_kWh/1000),0,IND_ander_ele_kWh/1000)</f>
        <v>4721.8845920000003</v>
      </c>
      <c r="C31" s="39">
        <f>IF(ISERROR(B31*3.6/1000000/'E Balans VL '!Z19*100),0,B31*3.6/1000000/'E Balans VL '!Z19*100)</f>
        <v>0.1921952734487121</v>
      </c>
      <c r="D31" s="232" t="s">
        <v>660</v>
      </c>
    </row>
    <row r="32" spans="1:18">
      <c r="A32" s="167" t="s">
        <v>40</v>
      </c>
      <c r="B32" s="37">
        <f>IF( ISERROR(IND_voed_ele_kWh/1000),0,IND_voed_ele_kWh/1000)</f>
        <v>46166.363290000001</v>
      </c>
      <c r="C32" s="39">
        <f>IF(ISERROR(B32*3.6/1000000/'E Balans VL '!Z20*100),0,B32*3.6/1000000/'E Balans VL '!Z20*100)</f>
        <v>1.3427413416497931</v>
      </c>
      <c r="D32" s="232" t="s">
        <v>660</v>
      </c>
    </row>
    <row r="33" spans="1:5">
      <c r="A33" s="167" t="s">
        <v>39</v>
      </c>
      <c r="B33" s="37">
        <f>IF( ISERROR(IND_textiel_ele_kWh/1000),0,IND_textiel_ele_kWh/1000)</f>
        <v>91.064222000000001</v>
      </c>
      <c r="C33" s="39">
        <f>IF(ISERROR(B33*3.6/1000000/'E Balans VL '!Z21*100),0,B33*3.6/1000000/'E Balans VL '!Z21*100)</f>
        <v>1.3413825987426508E-2</v>
      </c>
      <c r="D33" s="232" t="s">
        <v>660</v>
      </c>
    </row>
    <row r="34" spans="1:5">
      <c r="A34" s="167" t="s">
        <v>36</v>
      </c>
      <c r="B34" s="37">
        <f>IF( ISERROR(IND_min_ele_kWh/1000),0,IND_min_ele_kWh/1000)</f>
        <v>61.636082999999999</v>
      </c>
      <c r="C34" s="39">
        <f>IF(ISERROR(B34*3.6/1000000/'E Balans VL '!Z22*100),0,B34*3.6/1000000/'E Balans VL '!Z22*100)</f>
        <v>2.4725855503992172E-2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12.537174</v>
      </c>
      <c r="C37" s="39">
        <f>IF(ISERROR(B37*3.6/1000000/'E Balans VL '!Z15*100),0,B37*3.6/1000000/'E Balans VL '!Z15*100)</f>
        <v>1.009811833930097E-4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3654.357536</v>
      </c>
      <c r="C5" s="17">
        <f>'Eigen informatie GS &amp; warmtenet'!B62</f>
        <v>0</v>
      </c>
      <c r="D5" s="30">
        <f>IF(ISERROR(SUM(LB_lb_gas_kWh,LB_rest_gas_kWh)/1000),0,SUM(LB_lb_gas_kWh,LB_rest_gas_kWh)/1000)*0.903</f>
        <v>64.396057088999996</v>
      </c>
      <c r="E5" s="17">
        <f>B17*'E Balans VL '!I25/3.6*1000000/100</f>
        <v>107.74079150451345</v>
      </c>
      <c r="F5" s="17">
        <f>B17*('E Balans VL '!L25/3.6*1000000+'E Balans VL '!N25/3.6*1000000)/100</f>
        <v>11614.846968446944</v>
      </c>
      <c r="G5" s="18"/>
      <c r="H5" s="17"/>
      <c r="I5" s="17"/>
      <c r="J5" s="17">
        <f>('E Balans VL '!D25+'E Balans VL '!E25)/3.6*1000000*landbouw!B17/100</f>
        <v>921.60653009620069</v>
      </c>
      <c r="K5" s="17"/>
      <c r="L5" s="17">
        <f>L6*(-1)</f>
        <v>0</v>
      </c>
      <c r="M5" s="17"/>
      <c r="N5" s="17">
        <f>N6*(-1)</f>
        <v>249.42857142857139</v>
      </c>
      <c r="O5" s="17"/>
      <c r="P5" s="17"/>
      <c r="R5" s="32"/>
    </row>
    <row r="6" spans="1:18">
      <c r="A6" s="16" t="s">
        <v>466</v>
      </c>
      <c r="B6" s="17" t="s">
        <v>204</v>
      </c>
      <c r="C6" s="17">
        <f>'lokale energieproductie'!O41+'lokale energieproductie'!O34</f>
        <v>124.71428571428569</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3654.357536</v>
      </c>
      <c r="C8" s="21">
        <f>C5+C6</f>
        <v>124.71428571428569</v>
      </c>
      <c r="D8" s="21">
        <f>MAX((D5+D6),0)</f>
        <v>64.396057088999996</v>
      </c>
      <c r="E8" s="21">
        <f>MAX((E5+E6),0)</f>
        <v>107.74079150451345</v>
      </c>
      <c r="F8" s="21">
        <f>MAX((F5+F6),0)</f>
        <v>11614.846968446944</v>
      </c>
      <c r="G8" s="21"/>
      <c r="H8" s="21"/>
      <c r="I8" s="21"/>
      <c r="J8" s="21">
        <f>MAX((J5+J6),0)</f>
        <v>921.60653009620069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0.17260244264895627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630.75103702622118</v>
      </c>
      <c r="C12" s="23">
        <f ca="1">C8*C10</f>
        <v>0</v>
      </c>
      <c r="D12" s="23">
        <f>D8*D10</f>
        <v>13.008003531978</v>
      </c>
      <c r="E12" s="23">
        <f>E8*E10</f>
        <v>24.457159671524554</v>
      </c>
      <c r="F12" s="23">
        <f>F8*F10</f>
        <v>3101.1641405753339</v>
      </c>
      <c r="G12" s="23"/>
      <c r="H12" s="23"/>
      <c r="I12" s="23"/>
      <c r="J12" s="23">
        <f>J8*J10</f>
        <v>326.248711654055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0.50191647145653739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760.99799777926489</v>
      </c>
      <c r="C26" s="242">
        <f>B26*'GWP N2O_CH4'!B5</f>
        <v>15980.957953364563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296.4775290269348</v>
      </c>
      <c r="C27" s="242">
        <f>B27*'GWP N2O_CH4'!B5</f>
        <v>6226.028109565631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9.4860664936173311</v>
      </c>
      <c r="C28" s="242">
        <f>B28*'GWP N2O_CH4'!B4</f>
        <v>2940.6806130213727</v>
      </c>
      <c r="D28" s="50"/>
    </row>
    <row r="29" spans="1:4">
      <c r="A29" s="41" t="s">
        <v>266</v>
      </c>
      <c r="B29" s="242">
        <f>B34*'ha_N2O bodem landbouw'!B4</f>
        <v>20.340866231388922</v>
      </c>
      <c r="C29" s="242">
        <f>B29*'GWP N2O_CH4'!B4</f>
        <v>6305.6685317305655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4.6357415038208909E-3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3.5315409981120515E-4</v>
      </c>
      <c r="C5" s="430" t="s">
        <v>204</v>
      </c>
      <c r="D5" s="415">
        <f>SUM(D6:D11)</f>
        <v>6.8004582713022054E-4</v>
      </c>
      <c r="E5" s="415">
        <f>SUM(E6:E11)</f>
        <v>3.6650324089021772E-4</v>
      </c>
      <c r="F5" s="428" t="s">
        <v>204</v>
      </c>
      <c r="G5" s="415">
        <f>SUM(G6:G11)</f>
        <v>0.16340479339178243</v>
      </c>
      <c r="H5" s="415">
        <f>SUM(H6:H11)</f>
        <v>4.459086789101651E-2</v>
      </c>
      <c r="I5" s="430" t="s">
        <v>204</v>
      </c>
      <c r="J5" s="430" t="s">
        <v>204</v>
      </c>
      <c r="K5" s="430" t="s">
        <v>204</v>
      </c>
      <c r="L5" s="430" t="s">
        <v>204</v>
      </c>
      <c r="M5" s="415">
        <f>SUM(M6:M11)</f>
        <v>1.229972613246896E-2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2.1771663450855156E-4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3.7994738631382343E-4</v>
      </c>
      <c r="E6" s="844">
        <f>vkm_GW_PW*SUMIFS(TableVerdeelsleutelVkm[LPG],TableVerdeelsleutelVkm[Voertuigtype],"Lichte voertuigen")*SUMIFS(TableECFTransport[EnergieConsumptieFactor (PJ per km)],TableECFTransport[Index],CONCATENATE($A6,"_LPG_LPG"))</f>
        <v>2.089067096311699E-4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6.4296120603290485E-2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2.5085699485143918E-2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5.3638508762985371E-3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1.2421927769378046E-6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5.1411185597116445E-2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5.6344105760591246E-7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2.8945318203026636E-3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1.3414133582226063E-4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3.0009844081639711E-4</v>
      </c>
      <c r="E8" s="418">
        <f>vkm_NGW_PW*SUMIFS(TableVerdeelsleutelVkm[LPG],TableVerdeelsleutelVkm[Voertuigtype],"Lichte voertuigen")*SUMIFS(TableECFTransport[EnergieConsumptieFactor (PJ per km)],TableECFTransport[Index],CONCATENATE($A8,"_LPG_LPG"))</f>
        <v>1.5759653125904785E-4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4.4822801790785495E-2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1.9504575435026476E-2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3.8794941960807986E-3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5.3936703455093157E-8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2.8746854005900309E-3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2.9529788510472193E-8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1.6184923978696092E-4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98.09836105866809</v>
      </c>
      <c r="C14" s="21"/>
      <c r="D14" s="21">
        <f t="shared" ref="D14:M14" si="0">((D5)*10^9/3600)+D12</f>
        <v>188.9016186472835</v>
      </c>
      <c r="E14" s="21">
        <f t="shared" si="0"/>
        <v>101.80645580283826</v>
      </c>
      <c r="F14" s="21"/>
      <c r="G14" s="21">
        <f t="shared" si="0"/>
        <v>45390.220386606234</v>
      </c>
      <c r="H14" s="21">
        <f t="shared" si="0"/>
        <v>12386.352191949032</v>
      </c>
      <c r="I14" s="21"/>
      <c r="J14" s="21"/>
      <c r="K14" s="21"/>
      <c r="L14" s="21"/>
      <c r="M14" s="21">
        <f t="shared" si="0"/>
        <v>3416.5905923524888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0.17260244264895627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16.932016738585364</v>
      </c>
      <c r="C18" s="23"/>
      <c r="D18" s="23">
        <f t="shared" ref="D18:M18" si="1">D14*D16</f>
        <v>38.158126966751269</v>
      </c>
      <c r="E18" s="23">
        <f t="shared" si="1"/>
        <v>23.110065467244286</v>
      </c>
      <c r="F18" s="23"/>
      <c r="G18" s="23">
        <f t="shared" si="1"/>
        <v>12119.188843223865</v>
      </c>
      <c r="H18" s="23">
        <f t="shared" si="1"/>
        <v>3084.2016957953092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4.5927266159504575E-5</v>
      </c>
      <c r="C50" s="313">
        <f t="shared" ref="C50:P50" si="2">SUM(C51:C52)</f>
        <v>0</v>
      </c>
      <c r="D50" s="313">
        <f t="shared" si="2"/>
        <v>0</v>
      </c>
      <c r="E50" s="313">
        <f t="shared" si="2"/>
        <v>0</v>
      </c>
      <c r="F50" s="313">
        <f t="shared" si="2"/>
        <v>0</v>
      </c>
      <c r="G50" s="313">
        <f t="shared" si="2"/>
        <v>3.2782055131506901E-3</v>
      </c>
      <c r="H50" s="313">
        <f t="shared" si="2"/>
        <v>0</v>
      </c>
      <c r="I50" s="313">
        <f t="shared" si="2"/>
        <v>0</v>
      </c>
      <c r="J50" s="313">
        <f t="shared" si="2"/>
        <v>0</v>
      </c>
      <c r="K50" s="313">
        <f t="shared" si="2"/>
        <v>0</v>
      </c>
      <c r="L50" s="313">
        <f t="shared" si="2"/>
        <v>0</v>
      </c>
      <c r="M50" s="313">
        <f t="shared" si="2"/>
        <v>1.8101789888976588E-4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4.5927266159504575E-5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3.2782055131506901E-3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1.8101789888976588E-4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12.757573933195715</v>
      </c>
      <c r="C54" s="21">
        <f t="shared" ref="C54:P54" si="3">(C50)*10^9/3600</f>
        <v>0</v>
      </c>
      <c r="D54" s="21">
        <f t="shared" si="3"/>
        <v>0</v>
      </c>
      <c r="E54" s="21">
        <f t="shared" si="3"/>
        <v>0</v>
      </c>
      <c r="F54" s="21">
        <f t="shared" si="3"/>
        <v>0</v>
      </c>
      <c r="G54" s="21">
        <f t="shared" si="3"/>
        <v>910.61264254185835</v>
      </c>
      <c r="H54" s="21">
        <f t="shared" si="3"/>
        <v>0</v>
      </c>
      <c r="I54" s="21">
        <f t="shared" si="3"/>
        <v>0</v>
      </c>
      <c r="J54" s="21">
        <f t="shared" si="3"/>
        <v>0</v>
      </c>
      <c r="K54" s="21">
        <f t="shared" si="3"/>
        <v>0</v>
      </c>
      <c r="L54" s="21">
        <f t="shared" si="3"/>
        <v>0</v>
      </c>
      <c r="M54" s="21">
        <f t="shared" si="3"/>
        <v>50.28274969160163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0.17260244264895627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2.201988423144233</v>
      </c>
      <c r="C58" s="23">
        <f t="shared" ref="C58:P58" ca="1" si="4">C54*C56</f>
        <v>0</v>
      </c>
      <c r="D58" s="23">
        <f t="shared" si="4"/>
        <v>0</v>
      </c>
      <c r="E58" s="23">
        <f t="shared" si="4"/>
        <v>0</v>
      </c>
      <c r="F58" s="23">
        <f t="shared" si="4"/>
        <v>0</v>
      </c>
      <c r="G58" s="23">
        <f t="shared" si="4"/>
        <v>243.1335755586762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265.0674344314848</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10291.645830326494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13470.3</v>
      </c>
      <c r="C8" s="540">
        <f>B50</f>
        <v>0</v>
      </c>
      <c r="D8" s="541"/>
      <c r="E8" s="541">
        <f>E50</f>
        <v>0</v>
      </c>
      <c r="F8" s="542"/>
      <c r="G8" s="543"/>
      <c r="H8" s="541">
        <f>I50</f>
        <v>0</v>
      </c>
      <c r="I8" s="541">
        <f>G50+F50</f>
        <v>0</v>
      </c>
      <c r="J8" s="541">
        <f>H50+D50+C50</f>
        <v>15847.411764705885</v>
      </c>
      <c r="K8" s="541"/>
      <c r="L8" s="541"/>
      <c r="M8" s="541"/>
      <c r="N8" s="544"/>
      <c r="O8" s="545">
        <f>C8*$C$12+D8*$D$12+E8*$E$12+F8*$F$12+G8*$G$12+H8*$H$12+I8*$I$12+J8*$J$12</f>
        <v>0</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24027.013264757978</v>
      </c>
      <c r="C10" s="555">
        <f t="shared" ref="C10:L10" si="0">SUM(C8:C9)</f>
        <v>0</v>
      </c>
      <c r="D10" s="555">
        <f t="shared" si="0"/>
        <v>0</v>
      </c>
      <c r="E10" s="555">
        <f t="shared" si="0"/>
        <v>0</v>
      </c>
      <c r="F10" s="555">
        <f t="shared" si="0"/>
        <v>0</v>
      </c>
      <c r="G10" s="555">
        <f t="shared" si="0"/>
        <v>0</v>
      </c>
      <c r="H10" s="555">
        <f t="shared" si="0"/>
        <v>0</v>
      </c>
      <c r="I10" s="555">
        <f t="shared" si="0"/>
        <v>0</v>
      </c>
      <c r="J10" s="555">
        <f t="shared" si="0"/>
        <v>15847.411764705885</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19243.285714285714</v>
      </c>
      <c r="C17" s="571">
        <f>B51</f>
        <v>0</v>
      </c>
      <c r="D17" s="572"/>
      <c r="E17" s="572">
        <f>E51</f>
        <v>0</v>
      </c>
      <c r="F17" s="573"/>
      <c r="G17" s="574"/>
      <c r="H17" s="571">
        <f>I51</f>
        <v>0</v>
      </c>
      <c r="I17" s="572">
        <f>G51+F51</f>
        <v>0</v>
      </c>
      <c r="J17" s="572">
        <f>H51+D51+C51</f>
        <v>22639.15966386555</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19243.285714285714</v>
      </c>
      <c r="C20" s="554">
        <f>SUM(C17:C19)</f>
        <v>0</v>
      </c>
      <c r="D20" s="554">
        <f t="shared" ref="D20:L20" si="1">SUM(D17:D19)</f>
        <v>0</v>
      </c>
      <c r="E20" s="554">
        <f t="shared" si="1"/>
        <v>0</v>
      </c>
      <c r="F20" s="554">
        <f t="shared" si="1"/>
        <v>0</v>
      </c>
      <c r="G20" s="554">
        <f t="shared" si="1"/>
        <v>0</v>
      </c>
      <c r="H20" s="554">
        <f t="shared" si="1"/>
        <v>0</v>
      </c>
      <c r="I20" s="554">
        <f t="shared" si="1"/>
        <v>0</v>
      </c>
      <c r="J20" s="554">
        <f t="shared" si="1"/>
        <v>22639.15966386555</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72003</v>
      </c>
      <c r="C28" s="746">
        <v>3950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85" customFormat="1" ht="25.5" hidden="1">
      <c r="A29" s="584"/>
      <c r="B29" s="746">
        <v>72003</v>
      </c>
      <c r="C29" s="746">
        <v>3950</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85" customFormat="1" ht="63.75" hidden="1">
      <c r="A30" s="584"/>
      <c r="B30" s="746">
        <v>72003</v>
      </c>
      <c r="C30" s="746">
        <v>3950</v>
      </c>
      <c r="D30" s="632"/>
      <c r="E30" s="631"/>
      <c r="F30" s="631"/>
      <c r="G30" s="631" t="s">
        <v>861</v>
      </c>
      <c r="H30" s="631" t="s">
        <v>862</v>
      </c>
      <c r="I30" s="631"/>
      <c r="J30" s="745"/>
      <c r="K30" s="745"/>
      <c r="L30" s="631" t="s">
        <v>863</v>
      </c>
      <c r="M30" s="631">
        <v>2974</v>
      </c>
      <c r="N30" s="631">
        <v>13383</v>
      </c>
      <c r="O30" s="631">
        <v>19118.571428571428</v>
      </c>
      <c r="P30" s="631">
        <v>0</v>
      </c>
      <c r="Q30" s="631">
        <v>38237.142857142862</v>
      </c>
      <c r="R30" s="631">
        <v>0</v>
      </c>
      <c r="S30" s="631">
        <v>0</v>
      </c>
      <c r="T30" s="631">
        <v>0</v>
      </c>
      <c r="U30" s="631">
        <v>0</v>
      </c>
      <c r="V30" s="631">
        <v>0</v>
      </c>
      <c r="W30" s="631">
        <v>0</v>
      </c>
      <c r="X30" s="631"/>
      <c r="Y30" s="631">
        <v>1600</v>
      </c>
      <c r="Z30" s="631" t="s">
        <v>49</v>
      </c>
      <c r="AA30" s="633" t="s">
        <v>149</v>
      </c>
    </row>
    <row r="31" spans="1:27" s="565" customFormat="1" hidden="1">
      <c r="A31" s="587" t="s">
        <v>269</v>
      </c>
      <c r="B31" s="588"/>
      <c r="C31" s="588"/>
      <c r="D31" s="588"/>
      <c r="E31" s="588"/>
      <c r="F31" s="588"/>
      <c r="G31" s="588"/>
      <c r="H31" s="588"/>
      <c r="I31" s="588"/>
      <c r="J31" s="588"/>
      <c r="K31" s="588"/>
      <c r="L31" s="589"/>
      <c r="M31" s="589">
        <f>SUM(M28:M30)</f>
        <v>2993.4</v>
      </c>
      <c r="N31" s="589">
        <f>SUM(N28:N30)</f>
        <v>13470.3</v>
      </c>
      <c r="O31" s="589">
        <f>SUM(O28:O30)</f>
        <v>19243.285714285714</v>
      </c>
      <c r="P31" s="589">
        <f>SUM(P28:P30)</f>
        <v>0</v>
      </c>
      <c r="Q31" s="589">
        <f>SUM(Q28:Q30)</f>
        <v>38486.571428571435</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2974</v>
      </c>
      <c r="N33" s="589">
        <f ca="1">SUMIF($AA$28:AE30,"tertiair",N28:N30)</f>
        <v>13383</v>
      </c>
      <c r="O33" s="589">
        <f ca="1">SUMIF($AA$28:AF30,"tertiair",O28:O30)</f>
        <v>19118.571428571428</v>
      </c>
      <c r="P33" s="589">
        <f ca="1">SUMIF($AA$28:AG30,"tertiair",P28:P30)</f>
        <v>0</v>
      </c>
      <c r="Q33" s="589">
        <f ca="1">SUMIF($AA$28:AH30,"tertiair",Q28:Q30)</f>
        <v>38237.142857142862</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19.399999999999999</v>
      </c>
      <c r="N34" s="594">
        <f>SUMIF($AA$28:$AA$30,"landbouw",N28:N30)</f>
        <v>87.299999999999983</v>
      </c>
      <c r="O34" s="594">
        <f>SUMIF($AA$28:$AA$30,"landbouw",O28:O30)</f>
        <v>124.71428571428569</v>
      </c>
      <c r="P34" s="594">
        <f>SUMIF($AA$28:$AA$30,"landbouw",P28:P30)</f>
        <v>0</v>
      </c>
      <c r="Q34" s="594">
        <f>SUMIF($AA$28:$AA$30,"landbouw",Q28:Q30)</f>
        <v>249.42857142857139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0</v>
      </c>
      <c r="C50" s="623">
        <f t="shared" si="2"/>
        <v>15847.411764705885</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0</v>
      </c>
      <c r="C51" s="626">
        <f t="shared" si="3"/>
        <v>22639.15966386555</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27097.677312</v>
      </c>
      <c r="D10" s="642">
        <f ca="1">tertiair!C16</f>
        <v>19118.571428571428</v>
      </c>
      <c r="E10" s="642">
        <f ca="1">tertiair!D16</f>
        <v>19339.848960200998</v>
      </c>
      <c r="F10" s="642">
        <f>tertiair!E16</f>
        <v>40.309093695532646</v>
      </c>
      <c r="G10" s="642">
        <f ca="1">tertiair!F16</f>
        <v>2743.5963715292305</v>
      </c>
      <c r="H10" s="642">
        <f>tertiair!G16</f>
        <v>0</v>
      </c>
      <c r="I10" s="642">
        <f>tertiair!H16</f>
        <v>0</v>
      </c>
      <c r="J10" s="642">
        <f>tertiair!I16</f>
        <v>0</v>
      </c>
      <c r="K10" s="642">
        <f>tertiair!J16</f>
        <v>1.8783106310049091E-2</v>
      </c>
      <c r="L10" s="642">
        <f>tertiair!K16</f>
        <v>0</v>
      </c>
      <c r="M10" s="642">
        <f ca="1">tertiair!L16</f>
        <v>0</v>
      </c>
      <c r="N10" s="642">
        <f>tertiair!M16</f>
        <v>0</v>
      </c>
      <c r="O10" s="642">
        <f ca="1">tertiair!N16</f>
        <v>0</v>
      </c>
      <c r="P10" s="642">
        <f>tertiair!O16</f>
        <v>34.280825360888088</v>
      </c>
      <c r="Q10" s="643">
        <f>tertiair!P16</f>
        <v>105.07827661299004</v>
      </c>
      <c r="R10" s="645">
        <f ca="1">SUM(C10:Q10)</f>
        <v>68479.381051077362</v>
      </c>
      <c r="S10" s="67"/>
    </row>
    <row r="11" spans="1:19" s="441" customFormat="1">
      <c r="A11" s="762" t="s">
        <v>214</v>
      </c>
      <c r="B11" s="767"/>
      <c r="C11" s="642">
        <f>huishoudens!B8</f>
        <v>23901.708605725249</v>
      </c>
      <c r="D11" s="642">
        <f>huishoudens!C8</f>
        <v>0</v>
      </c>
      <c r="E11" s="642">
        <f>huishoudens!D8</f>
        <v>35074.744575716999</v>
      </c>
      <c r="F11" s="642">
        <f>huishoudens!E8</f>
        <v>2162.0279477480967</v>
      </c>
      <c r="G11" s="642">
        <f>huishoudens!F8</f>
        <v>35430.626312693137</v>
      </c>
      <c r="H11" s="642">
        <f>huishoudens!G8</f>
        <v>0</v>
      </c>
      <c r="I11" s="642">
        <f>huishoudens!H8</f>
        <v>0</v>
      </c>
      <c r="J11" s="642">
        <f>huishoudens!I8</f>
        <v>0</v>
      </c>
      <c r="K11" s="642">
        <f>huishoudens!J8</f>
        <v>195.55930009120263</v>
      </c>
      <c r="L11" s="642">
        <f>huishoudens!K8</f>
        <v>0</v>
      </c>
      <c r="M11" s="642">
        <f>huishoudens!L8</f>
        <v>0</v>
      </c>
      <c r="N11" s="642">
        <f>huishoudens!M8</f>
        <v>0</v>
      </c>
      <c r="O11" s="642">
        <f>huishoudens!N8</f>
        <v>7985.1701843825667</v>
      </c>
      <c r="P11" s="642">
        <f>huishoudens!O8</f>
        <v>490.03768018859688</v>
      </c>
      <c r="Q11" s="643">
        <f>huishoudens!P8</f>
        <v>674.17339569184151</v>
      </c>
      <c r="R11" s="645">
        <f>SUM(C11:Q11)</f>
        <v>105914.0480022377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54595.212640999998</v>
      </c>
      <c r="D13" s="642">
        <f>industrie!C18</f>
        <v>0</v>
      </c>
      <c r="E13" s="642">
        <f>industrie!D18</f>
        <v>56638.363390434002</v>
      </c>
      <c r="F13" s="642">
        <f>industrie!E18</f>
        <v>130.12680563062818</v>
      </c>
      <c r="G13" s="642">
        <f>industrie!F18</f>
        <v>4272.8002794465137</v>
      </c>
      <c r="H13" s="642">
        <f>industrie!G18</f>
        <v>0</v>
      </c>
      <c r="I13" s="642">
        <f>industrie!H18</f>
        <v>0</v>
      </c>
      <c r="J13" s="642">
        <f>industrie!I18</f>
        <v>0</v>
      </c>
      <c r="K13" s="642">
        <f>industrie!J18</f>
        <v>3.5845819983241167</v>
      </c>
      <c r="L13" s="642">
        <f>industrie!K18</f>
        <v>0</v>
      </c>
      <c r="M13" s="642">
        <f>industrie!L18</f>
        <v>0</v>
      </c>
      <c r="N13" s="642">
        <f>industrie!M18</f>
        <v>0</v>
      </c>
      <c r="O13" s="642">
        <f>industrie!N18</f>
        <v>2113.72933665751</v>
      </c>
      <c r="P13" s="642">
        <f>industrie!O18</f>
        <v>0</v>
      </c>
      <c r="Q13" s="643">
        <f>industrie!P18</f>
        <v>0</v>
      </c>
      <c r="R13" s="645">
        <f>SUM(C13:Q13)</f>
        <v>117753.81703516697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105594.59855872524</v>
      </c>
      <c r="D16" s="678">
        <f t="shared" ref="D16:R16" ca="1" si="0">SUM(D9:D15)</f>
        <v>19118.571428571428</v>
      </c>
      <c r="E16" s="678">
        <f t="shared" ca="1" si="0"/>
        <v>111052.956926352</v>
      </c>
      <c r="F16" s="678">
        <f t="shared" si="0"/>
        <v>2332.4638470742575</v>
      </c>
      <c r="G16" s="678">
        <f t="shared" ca="1" si="0"/>
        <v>42447.022963668882</v>
      </c>
      <c r="H16" s="678">
        <f t="shared" si="0"/>
        <v>0</v>
      </c>
      <c r="I16" s="678">
        <f t="shared" si="0"/>
        <v>0</v>
      </c>
      <c r="J16" s="678">
        <f t="shared" si="0"/>
        <v>0</v>
      </c>
      <c r="K16" s="678">
        <f t="shared" si="0"/>
        <v>199.16266519583681</v>
      </c>
      <c r="L16" s="678">
        <f t="shared" si="0"/>
        <v>0</v>
      </c>
      <c r="M16" s="678">
        <f t="shared" ca="1" si="0"/>
        <v>0</v>
      </c>
      <c r="N16" s="678">
        <f t="shared" si="0"/>
        <v>0</v>
      </c>
      <c r="O16" s="678">
        <f t="shared" ca="1" si="0"/>
        <v>10098.899521040077</v>
      </c>
      <c r="P16" s="678">
        <f t="shared" si="0"/>
        <v>524.31850554948494</v>
      </c>
      <c r="Q16" s="678">
        <f t="shared" si="0"/>
        <v>779.25167230483157</v>
      </c>
      <c r="R16" s="678">
        <f t="shared" ca="1" si="0"/>
        <v>292147.24608848203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12.757573933195715</v>
      </c>
      <c r="D19" s="642">
        <f>transport!C54</f>
        <v>0</v>
      </c>
      <c r="E19" s="642">
        <f>transport!D54</f>
        <v>0</v>
      </c>
      <c r="F19" s="642">
        <f>transport!E54</f>
        <v>0</v>
      </c>
      <c r="G19" s="642">
        <f>transport!F54</f>
        <v>0</v>
      </c>
      <c r="H19" s="642">
        <f>transport!G54</f>
        <v>910.61264254185835</v>
      </c>
      <c r="I19" s="642">
        <f>transport!H54</f>
        <v>0</v>
      </c>
      <c r="J19" s="642">
        <f>transport!I54</f>
        <v>0</v>
      </c>
      <c r="K19" s="642">
        <f>transport!J54</f>
        <v>0</v>
      </c>
      <c r="L19" s="642">
        <f>transport!K54</f>
        <v>0</v>
      </c>
      <c r="M19" s="642">
        <f>transport!L54</f>
        <v>0</v>
      </c>
      <c r="N19" s="642">
        <f>transport!M54</f>
        <v>50.28274969160163</v>
      </c>
      <c r="O19" s="642">
        <f>transport!N54</f>
        <v>0</v>
      </c>
      <c r="P19" s="642">
        <f>transport!O54</f>
        <v>0</v>
      </c>
      <c r="Q19" s="643">
        <f>transport!P54</f>
        <v>0</v>
      </c>
      <c r="R19" s="645">
        <f>SUM(C19:Q19)</f>
        <v>973.6529661666558</v>
      </c>
      <c r="S19" s="67"/>
    </row>
    <row r="20" spans="1:19" s="441" customFormat="1">
      <c r="A20" s="762" t="s">
        <v>296</v>
      </c>
      <c r="B20" s="767"/>
      <c r="C20" s="642">
        <f>transport!B14</f>
        <v>98.09836105866809</v>
      </c>
      <c r="D20" s="642">
        <f>transport!C14</f>
        <v>0</v>
      </c>
      <c r="E20" s="642">
        <f>transport!D14</f>
        <v>188.9016186472835</v>
      </c>
      <c r="F20" s="642">
        <f>transport!E14</f>
        <v>101.80645580283826</v>
      </c>
      <c r="G20" s="642">
        <f>transport!F14</f>
        <v>0</v>
      </c>
      <c r="H20" s="642">
        <f>transport!G14</f>
        <v>45390.220386606234</v>
      </c>
      <c r="I20" s="642">
        <f>transport!H14</f>
        <v>12386.352191949032</v>
      </c>
      <c r="J20" s="642">
        <f>transport!I14</f>
        <v>0</v>
      </c>
      <c r="K20" s="642">
        <f>transport!J14</f>
        <v>0</v>
      </c>
      <c r="L20" s="642">
        <f>transport!K14</f>
        <v>0</v>
      </c>
      <c r="M20" s="642">
        <f>transport!L14</f>
        <v>0</v>
      </c>
      <c r="N20" s="642">
        <f>transport!M14</f>
        <v>3416.5905923524888</v>
      </c>
      <c r="O20" s="642">
        <f>transport!N14</f>
        <v>0</v>
      </c>
      <c r="P20" s="642">
        <f>transport!O14</f>
        <v>0</v>
      </c>
      <c r="Q20" s="643">
        <f>transport!P14</f>
        <v>0</v>
      </c>
      <c r="R20" s="645">
        <f>SUM(C20:Q20)</f>
        <v>61581.969606416547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110.8559349918638</v>
      </c>
      <c r="D22" s="765">
        <f t="shared" ref="D22:R22" si="1">SUM(D18:D21)</f>
        <v>0</v>
      </c>
      <c r="E22" s="765">
        <f t="shared" si="1"/>
        <v>188.9016186472835</v>
      </c>
      <c r="F22" s="765">
        <f t="shared" si="1"/>
        <v>101.80645580283826</v>
      </c>
      <c r="G22" s="765">
        <f t="shared" si="1"/>
        <v>0</v>
      </c>
      <c r="H22" s="765">
        <f t="shared" si="1"/>
        <v>46300.833029148089</v>
      </c>
      <c r="I22" s="765">
        <f t="shared" si="1"/>
        <v>12386.352191949032</v>
      </c>
      <c r="J22" s="765">
        <f t="shared" si="1"/>
        <v>0</v>
      </c>
      <c r="K22" s="765">
        <f t="shared" si="1"/>
        <v>0</v>
      </c>
      <c r="L22" s="765">
        <f t="shared" si="1"/>
        <v>0</v>
      </c>
      <c r="M22" s="765">
        <f t="shared" si="1"/>
        <v>0</v>
      </c>
      <c r="N22" s="765">
        <f t="shared" si="1"/>
        <v>3466.8733420440904</v>
      </c>
      <c r="O22" s="765">
        <f t="shared" si="1"/>
        <v>0</v>
      </c>
      <c r="P22" s="765">
        <f t="shared" si="1"/>
        <v>0</v>
      </c>
      <c r="Q22" s="765">
        <f t="shared" si="1"/>
        <v>0</v>
      </c>
      <c r="R22" s="765">
        <f t="shared" si="1"/>
        <v>62555.622572583205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3654.357536</v>
      </c>
      <c r="D24" s="642">
        <f>+landbouw!C8</f>
        <v>124.71428571428569</v>
      </c>
      <c r="E24" s="642">
        <f>+landbouw!D8</f>
        <v>64.396057088999996</v>
      </c>
      <c r="F24" s="642">
        <f>+landbouw!E8</f>
        <v>107.74079150451345</v>
      </c>
      <c r="G24" s="642">
        <f>+landbouw!F8</f>
        <v>11614.846968446944</v>
      </c>
      <c r="H24" s="642">
        <f>+landbouw!G8</f>
        <v>0</v>
      </c>
      <c r="I24" s="642">
        <f>+landbouw!H8</f>
        <v>0</v>
      </c>
      <c r="J24" s="642">
        <f>+landbouw!I8</f>
        <v>0</v>
      </c>
      <c r="K24" s="642">
        <f>+landbouw!J8</f>
        <v>921.60653009620069</v>
      </c>
      <c r="L24" s="642">
        <f>+landbouw!K8</f>
        <v>0</v>
      </c>
      <c r="M24" s="642">
        <f>+landbouw!L8</f>
        <v>0</v>
      </c>
      <c r="N24" s="642">
        <f>+landbouw!M8</f>
        <v>0</v>
      </c>
      <c r="O24" s="642">
        <f>+landbouw!N8</f>
        <v>0</v>
      </c>
      <c r="P24" s="642">
        <f>+landbouw!O8</f>
        <v>0</v>
      </c>
      <c r="Q24" s="643">
        <f>+landbouw!P8</f>
        <v>0</v>
      </c>
      <c r="R24" s="645">
        <f>SUM(C24:Q24)</f>
        <v>16487.662168850944</v>
      </c>
      <c r="S24" s="67"/>
    </row>
    <row r="25" spans="1:19" s="441" customFormat="1" ht="15" thickBot="1">
      <c r="A25" s="784" t="s">
        <v>672</v>
      </c>
      <c r="B25" s="895"/>
      <c r="C25" s="896">
        <f>IF(Onbekend_ele_kWh="---",0,Onbekend_ele_kWh)/1000+IF(REST_rest_ele_kWh="---",0,REST_rest_ele_kWh)/1000</f>
        <v>355.84764699999999</v>
      </c>
      <c r="D25" s="896"/>
      <c r="E25" s="896">
        <f>IF(onbekend_gas_kWh="---",0,onbekend_gas_kWh)/1000+IF(REST_rest_gas_kWh="---",0,REST_rest_gas_kWh)/1000</f>
        <v>637.12382100000002</v>
      </c>
      <c r="F25" s="896"/>
      <c r="G25" s="896"/>
      <c r="H25" s="896"/>
      <c r="I25" s="896"/>
      <c r="J25" s="896"/>
      <c r="K25" s="896"/>
      <c r="L25" s="896"/>
      <c r="M25" s="896"/>
      <c r="N25" s="896"/>
      <c r="O25" s="896"/>
      <c r="P25" s="896"/>
      <c r="Q25" s="897"/>
      <c r="R25" s="645">
        <f>SUM(C25:Q25)</f>
        <v>992.97146799999996</v>
      </c>
      <c r="S25" s="67"/>
    </row>
    <row r="26" spans="1:19" s="441" customFormat="1" ht="15.75" thickBot="1">
      <c r="A26" s="650" t="s">
        <v>673</v>
      </c>
      <c r="B26" s="770"/>
      <c r="C26" s="765">
        <f>SUM(C24:C25)</f>
        <v>4010.205183</v>
      </c>
      <c r="D26" s="765">
        <f t="shared" ref="D26:R26" si="2">SUM(D24:D25)</f>
        <v>124.71428571428569</v>
      </c>
      <c r="E26" s="765">
        <f t="shared" si="2"/>
        <v>701.51987808900003</v>
      </c>
      <c r="F26" s="765">
        <f t="shared" si="2"/>
        <v>107.74079150451345</v>
      </c>
      <c r="G26" s="765">
        <f t="shared" si="2"/>
        <v>11614.846968446944</v>
      </c>
      <c r="H26" s="765">
        <f t="shared" si="2"/>
        <v>0</v>
      </c>
      <c r="I26" s="765">
        <f t="shared" si="2"/>
        <v>0</v>
      </c>
      <c r="J26" s="765">
        <f t="shared" si="2"/>
        <v>0</v>
      </c>
      <c r="K26" s="765">
        <f t="shared" si="2"/>
        <v>921.60653009620069</v>
      </c>
      <c r="L26" s="765">
        <f t="shared" si="2"/>
        <v>0</v>
      </c>
      <c r="M26" s="765">
        <f t="shared" si="2"/>
        <v>0</v>
      </c>
      <c r="N26" s="765">
        <f t="shared" si="2"/>
        <v>0</v>
      </c>
      <c r="O26" s="765">
        <f t="shared" si="2"/>
        <v>0</v>
      </c>
      <c r="P26" s="765">
        <f t="shared" si="2"/>
        <v>0</v>
      </c>
      <c r="Q26" s="765">
        <f t="shared" si="2"/>
        <v>0</v>
      </c>
      <c r="R26" s="765">
        <f t="shared" si="2"/>
        <v>17480.633636850944</v>
      </c>
      <c r="S26" s="67"/>
    </row>
    <row r="27" spans="1:19" s="441" customFormat="1" ht="17.25" thickTop="1" thickBot="1">
      <c r="A27" s="651" t="s">
        <v>109</v>
      </c>
      <c r="B27" s="757"/>
      <c r="C27" s="652">
        <f ca="1">C22+C16+C26</f>
        <v>109715.6596767171</v>
      </c>
      <c r="D27" s="652">
        <f t="shared" ref="D27:R27" ca="1" si="3">D22+D16+D26</f>
        <v>19243.285714285714</v>
      </c>
      <c r="E27" s="652">
        <f t="shared" ca="1" si="3"/>
        <v>111943.37842308829</v>
      </c>
      <c r="F27" s="652">
        <f t="shared" si="3"/>
        <v>2542.0110943816089</v>
      </c>
      <c r="G27" s="652">
        <f t="shared" ca="1" si="3"/>
        <v>54061.869932115827</v>
      </c>
      <c r="H27" s="652">
        <f t="shared" si="3"/>
        <v>46300.833029148089</v>
      </c>
      <c r="I27" s="652">
        <f t="shared" si="3"/>
        <v>12386.352191949032</v>
      </c>
      <c r="J27" s="652">
        <f t="shared" si="3"/>
        <v>0</v>
      </c>
      <c r="K27" s="652">
        <f t="shared" si="3"/>
        <v>1120.7691952920375</v>
      </c>
      <c r="L27" s="652">
        <f t="shared" si="3"/>
        <v>0</v>
      </c>
      <c r="M27" s="652">
        <f t="shared" ca="1" si="3"/>
        <v>0</v>
      </c>
      <c r="N27" s="652">
        <f t="shared" si="3"/>
        <v>3466.8733420440904</v>
      </c>
      <c r="O27" s="652">
        <f t="shared" ca="1" si="3"/>
        <v>10098.899521040077</v>
      </c>
      <c r="P27" s="652">
        <f t="shared" si="3"/>
        <v>524.31850554948494</v>
      </c>
      <c r="Q27" s="652">
        <f t="shared" si="3"/>
        <v>779.25167230483157</v>
      </c>
      <c r="R27" s="652">
        <f t="shared" ca="1" si="3"/>
        <v>372183.50229791616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4677.1252941644034</v>
      </c>
      <c r="D40" s="642">
        <f ca="1">tertiair!C20</f>
        <v>0</v>
      </c>
      <c r="E40" s="642">
        <f ca="1">tertiair!D20</f>
        <v>3906.6494899606018</v>
      </c>
      <c r="F40" s="642">
        <f>tertiair!E20</f>
        <v>9.1501642688859111</v>
      </c>
      <c r="G40" s="642">
        <f ca="1">tertiair!F20</f>
        <v>732.54023119830458</v>
      </c>
      <c r="H40" s="642">
        <f>tertiair!G20</f>
        <v>0</v>
      </c>
      <c r="I40" s="642">
        <f>tertiair!H20</f>
        <v>0</v>
      </c>
      <c r="J40" s="642">
        <f>tertiair!I20</f>
        <v>0</v>
      </c>
      <c r="K40" s="642">
        <f>tertiair!J20</f>
        <v>6.6492196337573778E-3</v>
      </c>
      <c r="L40" s="642">
        <f>tertiair!K20</f>
        <v>0</v>
      </c>
      <c r="M40" s="642">
        <f ca="1">tertiair!L20</f>
        <v>0</v>
      </c>
      <c r="N40" s="642">
        <f>tertiair!M20</f>
        <v>0</v>
      </c>
      <c r="O40" s="642">
        <f ca="1">tertiair!N20</f>
        <v>0</v>
      </c>
      <c r="P40" s="642">
        <f>tertiair!O20</f>
        <v>0</v>
      </c>
      <c r="Q40" s="725">
        <f>tertiair!P20</f>
        <v>0</v>
      </c>
      <c r="R40" s="803">
        <f t="shared" ca="1" si="4"/>
        <v>9325.4718288118293</v>
      </c>
    </row>
    <row r="41" spans="1:18">
      <c r="A41" s="775" t="s">
        <v>214</v>
      </c>
      <c r="B41" s="782"/>
      <c r="C41" s="642">
        <f ca="1">huishoudens!B12</f>
        <v>4125.4932888317571</v>
      </c>
      <c r="D41" s="642">
        <f ca="1">huishoudens!C12</f>
        <v>0</v>
      </c>
      <c r="E41" s="642">
        <f>huishoudens!D12</f>
        <v>7085.0984042948339</v>
      </c>
      <c r="F41" s="642">
        <f>huishoudens!E12</f>
        <v>490.78034413881795</v>
      </c>
      <c r="G41" s="642">
        <f>huishoudens!F12</f>
        <v>9459.9772254890686</v>
      </c>
      <c r="H41" s="642">
        <f>huishoudens!G12</f>
        <v>0</v>
      </c>
      <c r="I41" s="642">
        <f>huishoudens!H12</f>
        <v>0</v>
      </c>
      <c r="J41" s="642">
        <f>huishoudens!I12</f>
        <v>0</v>
      </c>
      <c r="K41" s="642">
        <f>huishoudens!J12</f>
        <v>69.227992232285729</v>
      </c>
      <c r="L41" s="642">
        <f>huishoudens!K12</f>
        <v>0</v>
      </c>
      <c r="M41" s="642">
        <f>huishoudens!L12</f>
        <v>0</v>
      </c>
      <c r="N41" s="642">
        <f>huishoudens!M12</f>
        <v>0</v>
      </c>
      <c r="O41" s="642">
        <f>huishoudens!N12</f>
        <v>0</v>
      </c>
      <c r="P41" s="642">
        <f>huishoudens!O12</f>
        <v>0</v>
      </c>
      <c r="Q41" s="725">
        <f>huishoudens!P12</f>
        <v>0</v>
      </c>
      <c r="R41" s="803">
        <f t="shared" ca="1" si="4"/>
        <v>21230.577254986762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9423.2670587757748</v>
      </c>
      <c r="D43" s="642">
        <f ca="1">industrie!C22</f>
        <v>0</v>
      </c>
      <c r="E43" s="642">
        <f>industrie!D22</f>
        <v>11440.94940486767</v>
      </c>
      <c r="F43" s="642">
        <f>industrie!E22</f>
        <v>29.538784878152597</v>
      </c>
      <c r="G43" s="642">
        <f>industrie!F22</f>
        <v>1140.8376746122192</v>
      </c>
      <c r="H43" s="642">
        <f>industrie!G22</f>
        <v>0</v>
      </c>
      <c r="I43" s="642">
        <f>industrie!H22</f>
        <v>0</v>
      </c>
      <c r="J43" s="642">
        <f>industrie!I22</f>
        <v>0</v>
      </c>
      <c r="K43" s="642">
        <f>industrie!J22</f>
        <v>1.2689420274067373</v>
      </c>
      <c r="L43" s="642">
        <f>industrie!K22</f>
        <v>0</v>
      </c>
      <c r="M43" s="642">
        <f>industrie!L22</f>
        <v>0</v>
      </c>
      <c r="N43" s="642">
        <f>industrie!M22</f>
        <v>0</v>
      </c>
      <c r="O43" s="642">
        <f>industrie!N22</f>
        <v>0</v>
      </c>
      <c r="P43" s="642">
        <f>industrie!O22</f>
        <v>0</v>
      </c>
      <c r="Q43" s="725">
        <f>industrie!P22</f>
        <v>0</v>
      </c>
      <c r="R43" s="802">
        <f t="shared" ca="1" si="4"/>
        <v>22035.861865161227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18225.885641771936</v>
      </c>
      <c r="D46" s="678">
        <f t="shared" ref="D46:Q46" ca="1" si="5">SUM(D39:D45)</f>
        <v>0</v>
      </c>
      <c r="E46" s="678">
        <f t="shared" ca="1" si="5"/>
        <v>22432.697299123105</v>
      </c>
      <c r="F46" s="678">
        <f t="shared" si="5"/>
        <v>529.46929328585645</v>
      </c>
      <c r="G46" s="678">
        <f t="shared" ca="1" si="5"/>
        <v>11333.355131299593</v>
      </c>
      <c r="H46" s="678">
        <f t="shared" si="5"/>
        <v>0</v>
      </c>
      <c r="I46" s="678">
        <f t="shared" si="5"/>
        <v>0</v>
      </c>
      <c r="J46" s="678">
        <f t="shared" si="5"/>
        <v>0</v>
      </c>
      <c r="K46" s="678">
        <f t="shared" si="5"/>
        <v>70.503583479326224</v>
      </c>
      <c r="L46" s="678">
        <f t="shared" si="5"/>
        <v>0</v>
      </c>
      <c r="M46" s="678">
        <f t="shared" ca="1" si="5"/>
        <v>0</v>
      </c>
      <c r="N46" s="678">
        <f t="shared" si="5"/>
        <v>0</v>
      </c>
      <c r="O46" s="678">
        <f t="shared" ca="1" si="5"/>
        <v>0</v>
      </c>
      <c r="P46" s="678">
        <f t="shared" si="5"/>
        <v>0</v>
      </c>
      <c r="Q46" s="678">
        <f t="shared" si="5"/>
        <v>0</v>
      </c>
      <c r="R46" s="678">
        <f ca="1">SUM(R39:R45)</f>
        <v>52591.91094895982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2.201988423144233</v>
      </c>
      <c r="D49" s="642">
        <f ca="1">transport!C58</f>
        <v>0</v>
      </c>
      <c r="E49" s="642">
        <f>transport!D58</f>
        <v>0</v>
      </c>
      <c r="F49" s="642">
        <f>transport!E58</f>
        <v>0</v>
      </c>
      <c r="G49" s="642">
        <f>transport!F58</f>
        <v>0</v>
      </c>
      <c r="H49" s="642">
        <f>transport!G58</f>
        <v>243.1335755586762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245.33556398182043</v>
      </c>
    </row>
    <row r="50" spans="1:18">
      <c r="A50" s="778" t="s">
        <v>296</v>
      </c>
      <c r="B50" s="788"/>
      <c r="C50" s="648">
        <f ca="1">transport!B18</f>
        <v>16.932016738585364</v>
      </c>
      <c r="D50" s="648">
        <f>transport!C18</f>
        <v>0</v>
      </c>
      <c r="E50" s="648">
        <f>transport!D18</f>
        <v>38.158126966751269</v>
      </c>
      <c r="F50" s="648">
        <f>transport!E18</f>
        <v>23.110065467244286</v>
      </c>
      <c r="G50" s="648">
        <f>transport!F18</f>
        <v>0</v>
      </c>
      <c r="H50" s="648">
        <f>transport!G18</f>
        <v>12119.188843223865</v>
      </c>
      <c r="I50" s="648">
        <f>transport!H18</f>
        <v>3084.2016957953092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15281.590748191755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19.134005161729597</v>
      </c>
      <c r="D52" s="678">
        <f t="shared" ref="D52:Q52" ca="1" si="6">SUM(D48:D51)</f>
        <v>0</v>
      </c>
      <c r="E52" s="678">
        <f t="shared" si="6"/>
        <v>38.158126966751269</v>
      </c>
      <c r="F52" s="678">
        <f t="shared" si="6"/>
        <v>23.110065467244286</v>
      </c>
      <c r="G52" s="678">
        <f t="shared" si="6"/>
        <v>0</v>
      </c>
      <c r="H52" s="678">
        <f t="shared" si="6"/>
        <v>12362.322418782542</v>
      </c>
      <c r="I52" s="678">
        <f t="shared" si="6"/>
        <v>3084.2016957953092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15526.926312173575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630.75103702622118</v>
      </c>
      <c r="D54" s="648">
        <f ca="1">+landbouw!C12</f>
        <v>0</v>
      </c>
      <c r="E54" s="648">
        <f>+landbouw!D12</f>
        <v>13.008003531978</v>
      </c>
      <c r="F54" s="648">
        <f>+landbouw!E12</f>
        <v>24.457159671524554</v>
      </c>
      <c r="G54" s="648">
        <f>+landbouw!F12</f>
        <v>3101.1641405753339</v>
      </c>
      <c r="H54" s="648">
        <f>+landbouw!G12</f>
        <v>0</v>
      </c>
      <c r="I54" s="648">
        <f>+landbouw!H12</f>
        <v>0</v>
      </c>
      <c r="J54" s="648">
        <f>+landbouw!I12</f>
        <v>0</v>
      </c>
      <c r="K54" s="648">
        <f>+landbouw!J12</f>
        <v>326.248711654055</v>
      </c>
      <c r="L54" s="648">
        <f>+landbouw!K12</f>
        <v>0</v>
      </c>
      <c r="M54" s="648">
        <f>+landbouw!L12</f>
        <v>0</v>
      </c>
      <c r="N54" s="648">
        <f>+landbouw!M12</f>
        <v>0</v>
      </c>
      <c r="O54" s="648">
        <f>+landbouw!N12</f>
        <v>0</v>
      </c>
      <c r="P54" s="648">
        <f>+landbouw!O12</f>
        <v>0</v>
      </c>
      <c r="Q54" s="649">
        <f>+landbouw!P12</f>
        <v>0</v>
      </c>
      <c r="R54" s="677">
        <f ca="1">SUM(C54:Q54)</f>
        <v>4095.6290524591127</v>
      </c>
    </row>
    <row r="55" spans="1:18" ht="15" thickBot="1">
      <c r="A55" s="778" t="s">
        <v>672</v>
      </c>
      <c r="B55" s="788"/>
      <c r="C55" s="648">
        <f ca="1">C25*'EF ele_warmte'!B12</f>
        <v>61.420173083083533</v>
      </c>
      <c r="D55" s="648"/>
      <c r="E55" s="648">
        <f>E25*EF_CO2_aardgas</f>
        <v>128.699011842</v>
      </c>
      <c r="F55" s="648"/>
      <c r="G55" s="648"/>
      <c r="H55" s="648"/>
      <c r="I55" s="648"/>
      <c r="J55" s="648"/>
      <c r="K55" s="648"/>
      <c r="L55" s="648"/>
      <c r="M55" s="648"/>
      <c r="N55" s="648"/>
      <c r="O55" s="648"/>
      <c r="P55" s="648"/>
      <c r="Q55" s="649"/>
      <c r="R55" s="677">
        <f ca="1">SUM(C55:Q55)</f>
        <v>190.11918492508354</v>
      </c>
    </row>
    <row r="56" spans="1:18" ht="15.75" thickBot="1">
      <c r="A56" s="776" t="s">
        <v>673</v>
      </c>
      <c r="B56" s="789"/>
      <c r="C56" s="678">
        <f ca="1">SUM(C54:C55)</f>
        <v>692.17121010930475</v>
      </c>
      <c r="D56" s="678">
        <f t="shared" ref="D56:Q56" ca="1" si="7">SUM(D54:D55)</f>
        <v>0</v>
      </c>
      <c r="E56" s="678">
        <f t="shared" si="7"/>
        <v>141.70701537397801</v>
      </c>
      <c r="F56" s="678">
        <f t="shared" si="7"/>
        <v>24.457159671524554</v>
      </c>
      <c r="G56" s="678">
        <f t="shared" si="7"/>
        <v>3101.1641405753339</v>
      </c>
      <c r="H56" s="678">
        <f t="shared" si="7"/>
        <v>0</v>
      </c>
      <c r="I56" s="678">
        <f t="shared" si="7"/>
        <v>0</v>
      </c>
      <c r="J56" s="678">
        <f t="shared" si="7"/>
        <v>0</v>
      </c>
      <c r="K56" s="678">
        <f t="shared" si="7"/>
        <v>326.248711654055</v>
      </c>
      <c r="L56" s="678">
        <f t="shared" si="7"/>
        <v>0</v>
      </c>
      <c r="M56" s="678">
        <f t="shared" si="7"/>
        <v>0</v>
      </c>
      <c r="N56" s="678">
        <f t="shared" si="7"/>
        <v>0</v>
      </c>
      <c r="O56" s="678">
        <f t="shared" si="7"/>
        <v>0</v>
      </c>
      <c r="P56" s="678">
        <f t="shared" si="7"/>
        <v>0</v>
      </c>
      <c r="Q56" s="679">
        <f t="shared" si="7"/>
        <v>0</v>
      </c>
      <c r="R56" s="680">
        <f ca="1">SUM(R54:R55)</f>
        <v>4285.7482373841958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18937.19085704297</v>
      </c>
      <c r="D61" s="686">
        <f t="shared" ref="D61:Q61" ca="1" si="8">D46+D52+D56</f>
        <v>0</v>
      </c>
      <c r="E61" s="686">
        <f t="shared" ca="1" si="8"/>
        <v>22612.562441463833</v>
      </c>
      <c r="F61" s="686">
        <f t="shared" si="8"/>
        <v>577.03651842462534</v>
      </c>
      <c r="G61" s="686">
        <f t="shared" ca="1" si="8"/>
        <v>14434.519271874928</v>
      </c>
      <c r="H61" s="686">
        <f t="shared" si="8"/>
        <v>12362.322418782542</v>
      </c>
      <c r="I61" s="686">
        <f t="shared" si="8"/>
        <v>3084.2016957953092</v>
      </c>
      <c r="J61" s="686">
        <f t="shared" si="8"/>
        <v>0</v>
      </c>
      <c r="K61" s="686">
        <f t="shared" si="8"/>
        <v>396.75229513338121</v>
      </c>
      <c r="L61" s="686">
        <f t="shared" si="8"/>
        <v>0</v>
      </c>
      <c r="M61" s="686">
        <f t="shared" ca="1" si="8"/>
        <v>0</v>
      </c>
      <c r="N61" s="686">
        <f t="shared" si="8"/>
        <v>0</v>
      </c>
      <c r="O61" s="686">
        <f t="shared" ca="1" si="8"/>
        <v>0</v>
      </c>
      <c r="P61" s="686">
        <f t="shared" si="8"/>
        <v>0</v>
      </c>
      <c r="Q61" s="686">
        <f t="shared" si="8"/>
        <v>0</v>
      </c>
      <c r="R61" s="686">
        <f ca="1">R46+R52+R56</f>
        <v>72404.585498517583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0.1726024426489563</v>
      </c>
      <c r="D63" s="732">
        <f t="shared" ca="1" si="9"/>
        <v>0</v>
      </c>
      <c r="E63" s="921">
        <f t="shared" ca="1" si="9"/>
        <v>0.20199999999999999</v>
      </c>
      <c r="F63" s="732">
        <f t="shared" si="9"/>
        <v>0.22700000000000004</v>
      </c>
      <c r="G63" s="732">
        <f t="shared" ca="1" si="9"/>
        <v>0.26700000000000002</v>
      </c>
      <c r="H63" s="732">
        <f t="shared" si="9"/>
        <v>0.26700000000000007</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265.0674344314848</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10291.645830326494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13470.3</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15847.411764705885</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24027.013264757978</v>
      </c>
      <c r="C78" s="704">
        <f>SUM(C72:C77)</f>
        <v>0</v>
      </c>
      <c r="D78" s="705">
        <f t="shared" ref="D78:H78" si="10">SUM(D76:D77)</f>
        <v>0</v>
      </c>
      <c r="E78" s="705">
        <f t="shared" si="10"/>
        <v>0</v>
      </c>
      <c r="F78" s="705">
        <f t="shared" si="10"/>
        <v>0</v>
      </c>
      <c r="G78" s="705">
        <f t="shared" si="10"/>
        <v>0</v>
      </c>
      <c r="H78" s="705">
        <f t="shared" si="10"/>
        <v>0</v>
      </c>
      <c r="I78" s="705">
        <f>SUM(I76:I77)</f>
        <v>0</v>
      </c>
      <c r="J78" s="705">
        <f>SUM(J76:J77)</f>
        <v>15847.411764705885</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19243.285714285714</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22639.15966386555</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19243.285714285714</v>
      </c>
      <c r="C90" s="704">
        <f>SUM(C87:C89)</f>
        <v>0</v>
      </c>
      <c r="D90" s="704">
        <f t="shared" ref="D90:H90" si="12">SUM(D87:D89)</f>
        <v>0</v>
      </c>
      <c r="E90" s="704">
        <f t="shared" si="12"/>
        <v>0</v>
      </c>
      <c r="F90" s="704">
        <f t="shared" si="12"/>
        <v>0</v>
      </c>
      <c r="G90" s="704">
        <f t="shared" si="12"/>
        <v>0</v>
      </c>
      <c r="H90" s="704">
        <f t="shared" si="12"/>
        <v>0</v>
      </c>
      <c r="I90" s="704">
        <f>SUM(I87:I89)</f>
        <v>0</v>
      </c>
      <c r="J90" s="704">
        <f>SUM(J87:J89)</f>
        <v>22639.15966386555</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23901.708605725249</v>
      </c>
      <c r="C4" s="445">
        <f>huishoudens!C8</f>
        <v>0</v>
      </c>
      <c r="D4" s="445">
        <f>huishoudens!D8</f>
        <v>35074.744575716999</v>
      </c>
      <c r="E4" s="445">
        <f>huishoudens!E8</f>
        <v>2162.0279477480967</v>
      </c>
      <c r="F4" s="445">
        <f>huishoudens!F8</f>
        <v>35430.626312693137</v>
      </c>
      <c r="G4" s="445">
        <f>huishoudens!G8</f>
        <v>0</v>
      </c>
      <c r="H4" s="445">
        <f>huishoudens!H8</f>
        <v>0</v>
      </c>
      <c r="I4" s="445">
        <f>huishoudens!I8</f>
        <v>0</v>
      </c>
      <c r="J4" s="445">
        <f>huishoudens!J8</f>
        <v>195.55930009120263</v>
      </c>
      <c r="K4" s="445">
        <f>huishoudens!K8</f>
        <v>0</v>
      </c>
      <c r="L4" s="445">
        <f>huishoudens!L8</f>
        <v>0</v>
      </c>
      <c r="M4" s="445">
        <f>huishoudens!M8</f>
        <v>0</v>
      </c>
      <c r="N4" s="445">
        <f>huishoudens!N8</f>
        <v>7985.1701843825667</v>
      </c>
      <c r="O4" s="445">
        <f>huishoudens!O8</f>
        <v>490.03768018859688</v>
      </c>
      <c r="P4" s="446">
        <f>huishoudens!P8</f>
        <v>674.17339569184151</v>
      </c>
      <c r="Q4" s="447">
        <f>SUM(B4:P4)</f>
        <v>105914.0480022377</v>
      </c>
    </row>
    <row r="5" spans="1:17">
      <c r="A5" s="444" t="s">
        <v>149</v>
      </c>
      <c r="B5" s="445">
        <f ca="1">tertiair!B16</f>
        <v>26144.266804999999</v>
      </c>
      <c r="C5" s="445">
        <f ca="1">tertiair!C16</f>
        <v>19118.571428571428</v>
      </c>
      <c r="D5" s="445">
        <f ca="1">tertiair!D16</f>
        <v>19339.848960200998</v>
      </c>
      <c r="E5" s="445">
        <f>tertiair!E16</f>
        <v>40.309093695532646</v>
      </c>
      <c r="F5" s="445">
        <f ca="1">tertiair!F16</f>
        <v>2743.5963715292305</v>
      </c>
      <c r="G5" s="445">
        <f>tertiair!G16</f>
        <v>0</v>
      </c>
      <c r="H5" s="445">
        <f>tertiair!H16</f>
        <v>0</v>
      </c>
      <c r="I5" s="445">
        <f>tertiair!I16</f>
        <v>0</v>
      </c>
      <c r="J5" s="445">
        <f>tertiair!J16</f>
        <v>1.8783106310049091E-2</v>
      </c>
      <c r="K5" s="445">
        <f>tertiair!K16</f>
        <v>0</v>
      </c>
      <c r="L5" s="445">
        <f ca="1">tertiair!L16</f>
        <v>0</v>
      </c>
      <c r="M5" s="445">
        <f>tertiair!M16</f>
        <v>0</v>
      </c>
      <c r="N5" s="445">
        <f ca="1">tertiair!N16</f>
        <v>0</v>
      </c>
      <c r="O5" s="445">
        <f>tertiair!O16</f>
        <v>34.280825360888088</v>
      </c>
      <c r="P5" s="446">
        <f>tertiair!P16</f>
        <v>105.07827661299004</v>
      </c>
      <c r="Q5" s="444">
        <f t="shared" ref="Q5:Q14" ca="1" si="0">SUM(B5:P5)</f>
        <v>67525.970544077354</v>
      </c>
    </row>
    <row r="6" spans="1:17">
      <c r="A6" s="444" t="s">
        <v>187</v>
      </c>
      <c r="B6" s="445">
        <f>'openbare verlichting'!B8</f>
        <v>953.41050699999994</v>
      </c>
      <c r="C6" s="445"/>
      <c r="D6" s="445"/>
      <c r="E6" s="445"/>
      <c r="F6" s="445"/>
      <c r="G6" s="445"/>
      <c r="H6" s="445"/>
      <c r="I6" s="445"/>
      <c r="J6" s="445"/>
      <c r="K6" s="445"/>
      <c r="L6" s="445"/>
      <c r="M6" s="445"/>
      <c r="N6" s="445"/>
      <c r="O6" s="445"/>
      <c r="P6" s="446"/>
      <c r="Q6" s="444">
        <f t="shared" si="0"/>
        <v>953.41050699999994</v>
      </c>
    </row>
    <row r="7" spans="1:17">
      <c r="A7" s="444" t="s">
        <v>105</v>
      </c>
      <c r="B7" s="445">
        <f>landbouw!B8</f>
        <v>3654.357536</v>
      </c>
      <c r="C7" s="445">
        <f>landbouw!C8</f>
        <v>124.71428571428569</v>
      </c>
      <c r="D7" s="445">
        <f>landbouw!D8</f>
        <v>64.396057088999996</v>
      </c>
      <c r="E7" s="445">
        <f>landbouw!E8</f>
        <v>107.74079150451345</v>
      </c>
      <c r="F7" s="445">
        <f>landbouw!F8</f>
        <v>11614.846968446944</v>
      </c>
      <c r="G7" s="445">
        <f>landbouw!G8</f>
        <v>0</v>
      </c>
      <c r="H7" s="445">
        <f>landbouw!H8</f>
        <v>0</v>
      </c>
      <c r="I7" s="445">
        <f>landbouw!I8</f>
        <v>0</v>
      </c>
      <c r="J7" s="445">
        <f>landbouw!J8</f>
        <v>921.60653009620069</v>
      </c>
      <c r="K7" s="445">
        <f>landbouw!K8</f>
        <v>0</v>
      </c>
      <c r="L7" s="445">
        <f>landbouw!L8</f>
        <v>0</v>
      </c>
      <c r="M7" s="445">
        <f>landbouw!M8</f>
        <v>0</v>
      </c>
      <c r="N7" s="445">
        <f>landbouw!N8</f>
        <v>0</v>
      </c>
      <c r="O7" s="445">
        <f>landbouw!O8</f>
        <v>0</v>
      </c>
      <c r="P7" s="446">
        <f>landbouw!P8</f>
        <v>0</v>
      </c>
      <c r="Q7" s="444">
        <f t="shared" si="0"/>
        <v>16487.662168850944</v>
      </c>
    </row>
    <row r="8" spans="1:17">
      <c r="A8" s="444" t="s">
        <v>587</v>
      </c>
      <c r="B8" s="445">
        <f>industrie!B18</f>
        <v>54595.212640999998</v>
      </c>
      <c r="C8" s="445">
        <f>industrie!C18</f>
        <v>0</v>
      </c>
      <c r="D8" s="445">
        <f>industrie!D18</f>
        <v>56638.363390434002</v>
      </c>
      <c r="E8" s="445">
        <f>industrie!E18</f>
        <v>130.12680563062818</v>
      </c>
      <c r="F8" s="445">
        <f>industrie!F18</f>
        <v>4272.8002794465137</v>
      </c>
      <c r="G8" s="445">
        <f>industrie!G18</f>
        <v>0</v>
      </c>
      <c r="H8" s="445">
        <f>industrie!H18</f>
        <v>0</v>
      </c>
      <c r="I8" s="445">
        <f>industrie!I18</f>
        <v>0</v>
      </c>
      <c r="J8" s="445">
        <f>industrie!J18</f>
        <v>3.5845819983241167</v>
      </c>
      <c r="K8" s="445">
        <f>industrie!K18</f>
        <v>0</v>
      </c>
      <c r="L8" s="445">
        <f>industrie!L18</f>
        <v>0</v>
      </c>
      <c r="M8" s="445">
        <f>industrie!M18</f>
        <v>0</v>
      </c>
      <c r="N8" s="445">
        <f>industrie!N18</f>
        <v>2113.72933665751</v>
      </c>
      <c r="O8" s="445">
        <f>industrie!O18</f>
        <v>0</v>
      </c>
      <c r="P8" s="446">
        <f>industrie!P18</f>
        <v>0</v>
      </c>
      <c r="Q8" s="444">
        <f t="shared" si="0"/>
        <v>117753.81703516697</v>
      </c>
    </row>
    <row r="9" spans="1:17" s="450" customFormat="1">
      <c r="A9" s="448" t="s">
        <v>536</v>
      </c>
      <c r="B9" s="449">
        <f>transport!B14</f>
        <v>98.09836105866809</v>
      </c>
      <c r="C9" s="449">
        <f>transport!C14</f>
        <v>0</v>
      </c>
      <c r="D9" s="449">
        <f>transport!D14</f>
        <v>188.9016186472835</v>
      </c>
      <c r="E9" s="449">
        <f>transport!E14</f>
        <v>101.80645580283826</v>
      </c>
      <c r="F9" s="449">
        <f>transport!F14</f>
        <v>0</v>
      </c>
      <c r="G9" s="449">
        <f>transport!G14</f>
        <v>45390.220386606234</v>
      </c>
      <c r="H9" s="449">
        <f>transport!H14</f>
        <v>12386.352191949032</v>
      </c>
      <c r="I9" s="449">
        <f>transport!I14</f>
        <v>0</v>
      </c>
      <c r="J9" s="449">
        <f>transport!J14</f>
        <v>0</v>
      </c>
      <c r="K9" s="449">
        <f>transport!K14</f>
        <v>0</v>
      </c>
      <c r="L9" s="449">
        <f>transport!L14</f>
        <v>0</v>
      </c>
      <c r="M9" s="449">
        <f>transport!M14</f>
        <v>3416.5905923524888</v>
      </c>
      <c r="N9" s="449">
        <f>transport!N14</f>
        <v>0</v>
      </c>
      <c r="O9" s="449">
        <f>transport!O14</f>
        <v>0</v>
      </c>
      <c r="P9" s="449">
        <f>transport!P14</f>
        <v>0</v>
      </c>
      <c r="Q9" s="448">
        <f>SUM(B9:P9)</f>
        <v>61581.969606416547</v>
      </c>
    </row>
    <row r="10" spans="1:17">
      <c r="A10" s="444" t="s">
        <v>526</v>
      </c>
      <c r="B10" s="445">
        <f>transport!B54</f>
        <v>12.757573933195715</v>
      </c>
      <c r="C10" s="445">
        <f>transport!C54</f>
        <v>0</v>
      </c>
      <c r="D10" s="445">
        <f>transport!D54</f>
        <v>0</v>
      </c>
      <c r="E10" s="445">
        <f>transport!E54</f>
        <v>0</v>
      </c>
      <c r="F10" s="445">
        <f>transport!F54</f>
        <v>0</v>
      </c>
      <c r="G10" s="445">
        <f>transport!G54</f>
        <v>910.61264254185835</v>
      </c>
      <c r="H10" s="445">
        <f>transport!H54</f>
        <v>0</v>
      </c>
      <c r="I10" s="445">
        <f>transport!I54</f>
        <v>0</v>
      </c>
      <c r="J10" s="445">
        <f>transport!J54</f>
        <v>0</v>
      </c>
      <c r="K10" s="445">
        <f>transport!K54</f>
        <v>0</v>
      </c>
      <c r="L10" s="445">
        <f>transport!L54</f>
        <v>0</v>
      </c>
      <c r="M10" s="445">
        <f>transport!M54</f>
        <v>50.28274969160163</v>
      </c>
      <c r="N10" s="445">
        <f>transport!N54</f>
        <v>0</v>
      </c>
      <c r="O10" s="445">
        <f>transport!O54</f>
        <v>0</v>
      </c>
      <c r="P10" s="446">
        <f>transport!P54</f>
        <v>0</v>
      </c>
      <c r="Q10" s="444">
        <f t="shared" si="0"/>
        <v>973.6529661666558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355.84764699999999</v>
      </c>
      <c r="C14" s="452"/>
      <c r="D14" s="452">
        <f>'SEAP template'!E25</f>
        <v>637.12382100000002</v>
      </c>
      <c r="E14" s="452"/>
      <c r="F14" s="452"/>
      <c r="G14" s="452"/>
      <c r="H14" s="452"/>
      <c r="I14" s="452"/>
      <c r="J14" s="452"/>
      <c r="K14" s="452"/>
      <c r="L14" s="452"/>
      <c r="M14" s="452"/>
      <c r="N14" s="452"/>
      <c r="O14" s="452"/>
      <c r="P14" s="453"/>
      <c r="Q14" s="444">
        <f t="shared" si="0"/>
        <v>992.97146799999996</v>
      </c>
    </row>
    <row r="15" spans="1:17" s="456" customFormat="1">
      <c r="A15" s="454" t="s">
        <v>530</v>
      </c>
      <c r="B15" s="455">
        <f ca="1">SUM(B4:B14)</f>
        <v>109715.65967671713</v>
      </c>
      <c r="C15" s="455">
        <f t="shared" ref="C15:Q15" ca="1" si="1">SUM(C4:C14)</f>
        <v>19243.285714285714</v>
      </c>
      <c r="D15" s="455">
        <f t="shared" ca="1" si="1"/>
        <v>111943.37842308829</v>
      </c>
      <c r="E15" s="455">
        <f t="shared" si="1"/>
        <v>2542.0110943816089</v>
      </c>
      <c r="F15" s="455">
        <f t="shared" ca="1" si="1"/>
        <v>54061.869932115827</v>
      </c>
      <c r="G15" s="455">
        <f t="shared" si="1"/>
        <v>46300.833029148089</v>
      </c>
      <c r="H15" s="455">
        <f t="shared" si="1"/>
        <v>12386.352191949032</v>
      </c>
      <c r="I15" s="455">
        <f t="shared" si="1"/>
        <v>0</v>
      </c>
      <c r="J15" s="455">
        <f t="shared" si="1"/>
        <v>1120.7691952920377</v>
      </c>
      <c r="K15" s="455">
        <f t="shared" si="1"/>
        <v>0</v>
      </c>
      <c r="L15" s="455">
        <f t="shared" ca="1" si="1"/>
        <v>0</v>
      </c>
      <c r="M15" s="455">
        <f t="shared" si="1"/>
        <v>3466.8733420440904</v>
      </c>
      <c r="N15" s="455">
        <f t="shared" ca="1" si="1"/>
        <v>10098.899521040077</v>
      </c>
      <c r="O15" s="455">
        <f t="shared" si="1"/>
        <v>524.31850554948494</v>
      </c>
      <c r="P15" s="455">
        <f t="shared" si="1"/>
        <v>779.25167230483157</v>
      </c>
      <c r="Q15" s="455">
        <f t="shared" ca="1" si="1"/>
        <v>372183.50229791616</v>
      </c>
    </row>
    <row r="17" spans="1:17">
      <c r="A17" s="457" t="s">
        <v>531</v>
      </c>
      <c r="B17" s="737">
        <f ca="1">huishoudens!B10</f>
        <v>0.17260244264895627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4125.4932888317571</v>
      </c>
      <c r="C22" s="445">
        <f t="shared" ref="C22:C32" ca="1" si="3">C4*$C$17</f>
        <v>0</v>
      </c>
      <c r="D22" s="445">
        <f t="shared" ref="D22:D32" si="4">D4*$D$17</f>
        <v>7085.0984042948339</v>
      </c>
      <c r="E22" s="445">
        <f t="shared" ref="E22:E32" si="5">E4*$E$17</f>
        <v>490.78034413881795</v>
      </c>
      <c r="F22" s="445">
        <f t="shared" ref="F22:F32" si="6">F4*$F$17</f>
        <v>9459.9772254890686</v>
      </c>
      <c r="G22" s="445">
        <f t="shared" ref="G22:G32" si="7">G4*$G$17</f>
        <v>0</v>
      </c>
      <c r="H22" s="445">
        <f t="shared" ref="H22:H32" si="8">H4*$H$17</f>
        <v>0</v>
      </c>
      <c r="I22" s="445">
        <f t="shared" ref="I22:I32" si="9">I4*$I$17</f>
        <v>0</v>
      </c>
      <c r="J22" s="445">
        <f t="shared" ref="J22:J32" si="10">J4*$J$17</f>
        <v>69.227992232285729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21230.577254986762</v>
      </c>
    </row>
    <row r="23" spans="1:17">
      <c r="A23" s="444" t="s">
        <v>149</v>
      </c>
      <c r="B23" s="445">
        <f t="shared" ca="1" si="2"/>
        <v>4512.5643118090238</v>
      </c>
      <c r="C23" s="445">
        <f t="shared" ca="1" si="3"/>
        <v>0</v>
      </c>
      <c r="D23" s="445">
        <f t="shared" ca="1" si="4"/>
        <v>3906.6494899606018</v>
      </c>
      <c r="E23" s="445">
        <f t="shared" si="5"/>
        <v>9.1501642688859111</v>
      </c>
      <c r="F23" s="445">
        <f t="shared" ca="1" si="6"/>
        <v>732.54023119830458</v>
      </c>
      <c r="G23" s="445">
        <f t="shared" si="7"/>
        <v>0</v>
      </c>
      <c r="H23" s="445">
        <f t="shared" si="8"/>
        <v>0</v>
      </c>
      <c r="I23" s="445">
        <f t="shared" si="9"/>
        <v>0</v>
      </c>
      <c r="J23" s="445">
        <f t="shared" si="10"/>
        <v>6.6492196337573778E-3</v>
      </c>
      <c r="K23" s="445">
        <f t="shared" si="11"/>
        <v>0</v>
      </c>
      <c r="L23" s="445">
        <f t="shared" ca="1" si="12"/>
        <v>0</v>
      </c>
      <c r="M23" s="445">
        <f t="shared" si="13"/>
        <v>0</v>
      </c>
      <c r="N23" s="445">
        <f t="shared" ca="1" si="14"/>
        <v>0</v>
      </c>
      <c r="O23" s="445">
        <f t="shared" si="15"/>
        <v>0</v>
      </c>
      <c r="P23" s="446">
        <f t="shared" si="16"/>
        <v>0</v>
      </c>
      <c r="Q23" s="444">
        <f t="shared" ref="Q23:Q31" ca="1" si="17">SUM(B23:P23)</f>
        <v>9160.9108464564488</v>
      </c>
    </row>
    <row r="24" spans="1:17">
      <c r="A24" s="444" t="s">
        <v>187</v>
      </c>
      <c r="B24" s="445">
        <f t="shared" ca="1" si="2"/>
        <v>164.56098235537982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164.56098235537982</v>
      </c>
    </row>
    <row r="25" spans="1:17">
      <c r="A25" s="444" t="s">
        <v>105</v>
      </c>
      <c r="B25" s="445">
        <f t="shared" ca="1" si="2"/>
        <v>630.75103702622118</v>
      </c>
      <c r="C25" s="445">
        <f t="shared" ca="1" si="3"/>
        <v>0</v>
      </c>
      <c r="D25" s="445">
        <f t="shared" si="4"/>
        <v>13.008003531978</v>
      </c>
      <c r="E25" s="445">
        <f t="shared" si="5"/>
        <v>24.457159671524554</v>
      </c>
      <c r="F25" s="445">
        <f t="shared" si="6"/>
        <v>3101.1641405753339</v>
      </c>
      <c r="G25" s="445">
        <f t="shared" si="7"/>
        <v>0</v>
      </c>
      <c r="H25" s="445">
        <f t="shared" si="8"/>
        <v>0</v>
      </c>
      <c r="I25" s="445">
        <f t="shared" si="9"/>
        <v>0</v>
      </c>
      <c r="J25" s="445">
        <f t="shared" si="10"/>
        <v>326.248711654055</v>
      </c>
      <c r="K25" s="445">
        <f t="shared" si="11"/>
        <v>0</v>
      </c>
      <c r="L25" s="445">
        <f t="shared" si="12"/>
        <v>0</v>
      </c>
      <c r="M25" s="445">
        <f t="shared" si="13"/>
        <v>0</v>
      </c>
      <c r="N25" s="445">
        <f t="shared" si="14"/>
        <v>0</v>
      </c>
      <c r="O25" s="445">
        <f t="shared" si="15"/>
        <v>0</v>
      </c>
      <c r="P25" s="446">
        <f t="shared" si="16"/>
        <v>0</v>
      </c>
      <c r="Q25" s="444">
        <f t="shared" ca="1" si="17"/>
        <v>4095.6290524591127</v>
      </c>
    </row>
    <row r="26" spans="1:17">
      <c r="A26" s="444" t="s">
        <v>587</v>
      </c>
      <c r="B26" s="445">
        <f t="shared" ca="1" si="2"/>
        <v>9423.2670587757748</v>
      </c>
      <c r="C26" s="445">
        <f t="shared" ca="1" si="3"/>
        <v>0</v>
      </c>
      <c r="D26" s="445">
        <f t="shared" si="4"/>
        <v>11440.94940486767</v>
      </c>
      <c r="E26" s="445">
        <f t="shared" si="5"/>
        <v>29.538784878152597</v>
      </c>
      <c r="F26" s="445">
        <f t="shared" si="6"/>
        <v>1140.8376746122192</v>
      </c>
      <c r="G26" s="445">
        <f t="shared" si="7"/>
        <v>0</v>
      </c>
      <c r="H26" s="445">
        <f t="shared" si="8"/>
        <v>0</v>
      </c>
      <c r="I26" s="445">
        <f t="shared" si="9"/>
        <v>0</v>
      </c>
      <c r="J26" s="445">
        <f t="shared" si="10"/>
        <v>1.2689420274067373</v>
      </c>
      <c r="K26" s="445">
        <f t="shared" si="11"/>
        <v>0</v>
      </c>
      <c r="L26" s="445">
        <f t="shared" si="12"/>
        <v>0</v>
      </c>
      <c r="M26" s="445">
        <f t="shared" si="13"/>
        <v>0</v>
      </c>
      <c r="N26" s="445">
        <f t="shared" si="14"/>
        <v>0</v>
      </c>
      <c r="O26" s="445">
        <f t="shared" si="15"/>
        <v>0</v>
      </c>
      <c r="P26" s="446">
        <f t="shared" si="16"/>
        <v>0</v>
      </c>
      <c r="Q26" s="444">
        <f t="shared" ca="1" si="17"/>
        <v>22035.861865161227</v>
      </c>
    </row>
    <row r="27" spans="1:17" s="450" customFormat="1">
      <c r="A27" s="448" t="s">
        <v>536</v>
      </c>
      <c r="B27" s="731">
        <f t="shared" ca="1" si="2"/>
        <v>16.932016738585364</v>
      </c>
      <c r="C27" s="449">
        <f t="shared" ca="1" si="3"/>
        <v>0</v>
      </c>
      <c r="D27" s="449">
        <f t="shared" si="4"/>
        <v>38.158126966751269</v>
      </c>
      <c r="E27" s="449">
        <f t="shared" si="5"/>
        <v>23.110065467244286</v>
      </c>
      <c r="F27" s="449">
        <f t="shared" si="6"/>
        <v>0</v>
      </c>
      <c r="G27" s="449">
        <f t="shared" si="7"/>
        <v>12119.188843223865</v>
      </c>
      <c r="H27" s="449">
        <f t="shared" si="8"/>
        <v>3084.2016957953092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15281.590748191755</v>
      </c>
    </row>
    <row r="28" spans="1:17" ht="16.5" customHeight="1">
      <c r="A28" s="444" t="s">
        <v>526</v>
      </c>
      <c r="B28" s="445">
        <f t="shared" ca="1" si="2"/>
        <v>2.201988423144233</v>
      </c>
      <c r="C28" s="445">
        <f t="shared" ca="1" si="3"/>
        <v>0</v>
      </c>
      <c r="D28" s="445">
        <f t="shared" si="4"/>
        <v>0</v>
      </c>
      <c r="E28" s="445">
        <f t="shared" si="5"/>
        <v>0</v>
      </c>
      <c r="F28" s="445">
        <f t="shared" si="6"/>
        <v>0</v>
      </c>
      <c r="G28" s="445">
        <f t="shared" si="7"/>
        <v>243.1335755586762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245.33556398182043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61.420173083083533</v>
      </c>
      <c r="C32" s="445">
        <f t="shared" ca="1" si="3"/>
        <v>0</v>
      </c>
      <c r="D32" s="445">
        <f t="shared" si="4"/>
        <v>128.699011842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190.11918492508354</v>
      </c>
    </row>
    <row r="33" spans="1:17" s="456" customFormat="1">
      <c r="A33" s="454" t="s">
        <v>530</v>
      </c>
      <c r="B33" s="455">
        <f ca="1">SUM(B22:B32)</f>
        <v>18937.19085704297</v>
      </c>
      <c r="C33" s="455">
        <f t="shared" ref="C33:Q33" ca="1" si="19">SUM(C22:C32)</f>
        <v>0</v>
      </c>
      <c r="D33" s="455">
        <f t="shared" ca="1" si="19"/>
        <v>22612.562441463837</v>
      </c>
      <c r="E33" s="455">
        <f t="shared" si="19"/>
        <v>577.03651842462534</v>
      </c>
      <c r="F33" s="455">
        <f t="shared" ca="1" si="19"/>
        <v>14434.519271874928</v>
      </c>
      <c r="G33" s="455">
        <f t="shared" si="19"/>
        <v>12362.322418782542</v>
      </c>
      <c r="H33" s="455">
        <f t="shared" si="19"/>
        <v>3084.2016957953092</v>
      </c>
      <c r="I33" s="455">
        <f t="shared" si="19"/>
        <v>0</v>
      </c>
      <c r="J33" s="455">
        <f t="shared" si="19"/>
        <v>396.75229513338127</v>
      </c>
      <c r="K33" s="455">
        <f t="shared" si="19"/>
        <v>0</v>
      </c>
      <c r="L33" s="455">
        <f t="shared" ca="1" si="19"/>
        <v>0</v>
      </c>
      <c r="M33" s="455">
        <f t="shared" si="19"/>
        <v>0</v>
      </c>
      <c r="N33" s="455">
        <f t="shared" ca="1" si="19"/>
        <v>0</v>
      </c>
      <c r="O33" s="455">
        <f t="shared" si="19"/>
        <v>0</v>
      </c>
      <c r="P33" s="455">
        <f t="shared" si="19"/>
        <v>0</v>
      </c>
      <c r="Q33" s="455">
        <f t="shared" ca="1" si="19"/>
        <v>72404.585498517597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265.0674344314848</v>
      </c>
      <c r="C5" s="972"/>
      <c r="D5" s="972"/>
      <c r="E5" s="972"/>
      <c r="F5" s="972"/>
      <c r="G5" s="972"/>
      <c r="H5" s="972"/>
      <c r="I5" s="972"/>
      <c r="J5" s="972"/>
      <c r="K5" s="972"/>
      <c r="L5" s="972"/>
      <c r="M5" s="972"/>
      <c r="N5" s="972"/>
      <c r="O5" s="972"/>
      <c r="P5" s="973">
        <f>'SEAP template'!Q73</f>
        <v>0</v>
      </c>
    </row>
    <row r="6" spans="1:16">
      <c r="A6" s="977" t="s">
        <v>240</v>
      </c>
      <c r="B6" s="972">
        <f>'SEAP template'!B74</f>
        <v>10291.645830326494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13470.3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15847.411764705885</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24027.013264757978</v>
      </c>
      <c r="C10" s="974">
        <f>SUM(C4:C9)</f>
        <v>0</v>
      </c>
      <c r="D10" s="974">
        <f t="shared" ref="D10:H10" si="0">SUM(D8:D9)</f>
        <v>0</v>
      </c>
      <c r="E10" s="974">
        <f t="shared" si="0"/>
        <v>0</v>
      </c>
      <c r="F10" s="974">
        <f t="shared" si="0"/>
        <v>0</v>
      </c>
      <c r="G10" s="974">
        <f t="shared" si="0"/>
        <v>0</v>
      </c>
      <c r="H10" s="974">
        <f t="shared" si="0"/>
        <v>0</v>
      </c>
      <c r="I10" s="974">
        <f>SUM(I8:I9)</f>
        <v>0</v>
      </c>
      <c r="J10" s="974">
        <f>SUM(J8:J9)</f>
        <v>15847.411764705885</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0.17260244264895627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19243.285714285714</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22639.15966386555</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19243.285714285714</v>
      </c>
      <c r="C20" s="974">
        <f>SUM(C17:C19)</f>
        <v>0</v>
      </c>
      <c r="D20" s="974">
        <f t="shared" ref="D20:H20" si="2">SUM(D17:D19)</f>
        <v>0</v>
      </c>
      <c r="E20" s="974">
        <f t="shared" si="2"/>
        <v>0</v>
      </c>
      <c r="F20" s="974">
        <f t="shared" si="2"/>
        <v>0</v>
      </c>
      <c r="G20" s="974">
        <f t="shared" si="2"/>
        <v>0</v>
      </c>
      <c r="H20" s="974">
        <f t="shared" si="2"/>
        <v>0</v>
      </c>
      <c r="I20" s="974">
        <f>SUM(I17:I19)</f>
        <v>0</v>
      </c>
      <c r="J20" s="974">
        <f>SUM(J17:J19)</f>
        <v>22639.15966386555</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0.17260244264895627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2022-07-26T10:00:42Z</dcterms:modified>
</cp:coreProperties>
</file>