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A6BCA11-3788-4916-B0C3-7B39620FC3E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8"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H9" i="18"/>
  <c r="M77" i="14"/>
  <c r="M9" i="59"/>
  <c r="V44" i="18"/>
  <c r="U44" i="18"/>
  <c r="T44" i="18"/>
  <c r="S44" i="18"/>
  <c r="E9" i="18"/>
  <c r="F77" i="14"/>
  <c r="F9" i="59"/>
  <c r="R44" i="18"/>
  <c r="Q44" i="18"/>
  <c r="P44" i="18"/>
  <c r="O44" i="18"/>
  <c r="N44" i="18"/>
  <c r="B9" i="18"/>
  <c r="M44" i="18"/>
  <c r="W40" i="18"/>
  <c r="V40" i="18"/>
  <c r="U40" i="18"/>
  <c r="T40" i="18"/>
  <c r="L6" i="17"/>
  <c r="L5" i="17"/>
  <c r="S40" i="18"/>
  <c r="F6" i="17"/>
  <c r="R40" i="18"/>
  <c r="Q40" i="18"/>
  <c r="P40" i="18"/>
  <c r="O40" i="18"/>
  <c r="N40" i="18"/>
  <c r="M40" i="18"/>
  <c r="W39" i="18"/>
  <c r="V39" i="18"/>
  <c r="U39" i="18"/>
  <c r="T39" i="18"/>
  <c r="S39" i="18"/>
  <c r="R39" i="18"/>
  <c r="Q39" i="18"/>
  <c r="P39" i="18"/>
  <c r="O39" i="18"/>
  <c r="C13" i="15"/>
  <c r="N39" i="18"/>
  <c r="B13" i="15"/>
  <c r="M39" i="18"/>
  <c r="W38" i="18"/>
  <c r="V38" i="18"/>
  <c r="U38" i="18"/>
  <c r="T38" i="18"/>
  <c r="S38" i="18"/>
  <c r="F16" i="16"/>
  <c r="R38" i="18"/>
  <c r="Q38" i="18"/>
  <c r="P38" i="18"/>
  <c r="O38" i="18"/>
  <c r="N38" i="18"/>
  <c r="W37" i="18"/>
  <c r="V37" i="18"/>
  <c r="U37" i="18"/>
  <c r="T37" i="18"/>
  <c r="S37" i="18"/>
  <c r="R37" i="18"/>
  <c r="Q37" i="18"/>
  <c r="P37" i="18"/>
  <c r="O37" i="18"/>
  <c r="B17" i="18"/>
  <c r="N37" i="18"/>
  <c r="B8" i="18"/>
  <c r="M37"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3" i="18"/>
  <c r="B57" i="18"/>
  <c r="B16" i="16"/>
  <c r="K9" i="14"/>
  <c r="H77" i="14"/>
  <c r="J11" i="48"/>
  <c r="J29" i="48"/>
  <c r="M9" i="14"/>
  <c r="L11" i="48"/>
  <c r="O19" i="14"/>
  <c r="O22" i="14"/>
  <c r="N10" i="48"/>
  <c r="N28" i="48"/>
  <c r="J19" i="14"/>
  <c r="J22" i="14"/>
  <c r="I10" i="48"/>
  <c r="I28" i="48"/>
  <c r="J19" i="19"/>
  <c r="K39" i="14"/>
  <c r="N19" i="19"/>
  <c r="O39" i="14"/>
  <c r="C53" i="18"/>
  <c r="I56"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6" i="18"/>
  <c r="E8" i="18"/>
  <c r="F76" i="14"/>
  <c r="F7" i="48"/>
  <c r="F25" i="48"/>
  <c r="D56" i="18"/>
  <c r="O9" i="18"/>
  <c r="M29" i="48"/>
  <c r="F12" i="17"/>
  <c r="G54" i="14"/>
  <c r="G56" i="14"/>
  <c r="C57" i="18"/>
  <c r="C56" i="18"/>
  <c r="B10" i="18"/>
  <c r="E57" i="18"/>
  <c r="E17" i="18"/>
  <c r="F87" i="14"/>
  <c r="G57" i="18"/>
  <c r="D7" i="48"/>
  <c r="D25" i="48"/>
  <c r="H56" i="18"/>
  <c r="G56" i="18"/>
  <c r="D57" i="18"/>
  <c r="L28" i="48"/>
  <c r="H57" i="18"/>
  <c r="I57" i="18"/>
  <c r="H17" i="18"/>
  <c r="F57" i="18"/>
  <c r="F56" i="18"/>
  <c r="H10" i="18"/>
  <c r="M78" i="14"/>
  <c r="B56"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<sst xmlns="http://schemas.openxmlformats.org/spreadsheetml/2006/main" count="2422" uniqueCount="868">
  <si>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</si>
  <si>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</si>
  <si>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</si>
  <si>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</si>
  <si>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</si>
  <si>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</si>
  <si>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</si>
  <si>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</si>
  <si>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</si>
  <si>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</si>
  <si>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</si>
  <si>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</si>
  <si>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</si>
  <si>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</si>
  <si>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</si>
  <si>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</si>
  <si>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</si>
  <si>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</si>
  <si>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</si>
  <si>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</si>
  <si>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</si>
  <si>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</si>
  <si>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</si>
  <si>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</si>
  <si>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</si>
  <si>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</si>
  <si>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</si>
  <si>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</si>
  <si>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</si>
  <si>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</si>
  <si>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</si>
  <si>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</si>
  <si>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</si>
  <si>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</si>
  <si>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</si>
  <si>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</si>
  <si>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</si>
  <si>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</si>
  <si>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</si>
  <si>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</si>
  <si>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</si>
  <si>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</si>
  <si>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</si>
  <si>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</si>
  <si>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</si>
  <si>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</si>
  <si>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</si>
  <si>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</si>
  <si>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</si>
  <si>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</si>
  <si>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</si>
  <si>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</si>
  <si>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</si>
  <si>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</si>
  <si>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</si>
  <si>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</si>
  <si>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</si>
  <si>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</si>
  <si>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</si>
  <si>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</si>
  <si>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</si>
  <si>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</si>
  <si>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</si>
  <si>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</si>
  <si>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</si>
  <si>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</si>
  <si>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</si>
  <si>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</si>
  <si>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</si>
  <si>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</si>
  <si>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</si>
  <si>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</si>
  <si>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</si>
  <si>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</si>
  <si>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</si>
  <si>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</si>
  <si>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</si>
  <si>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</si>
  <si>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</si>
  <si>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</si>
  <si>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</si>
  <si>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</si>
  <si>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</si>
  <si>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</si>
  <si>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</si>
  <si>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</si>
  <si>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</si>
  <si>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</si>
  <si>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</si>
  <si>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</si>
  <si>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</si>
  <si>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</si>
  <si>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</si>
  <si>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</si>
  <si>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</si>
  <si>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</si>
  <si>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</si>
  <si>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</si>
  <si>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</si>
  <si>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</si>
  <si>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</si>
  <si>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</si>
  <si>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</si>
  <si>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</si>
  <si>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</si>
  <si>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</si>
  <si>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</si>
  <si>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</si>
  <si>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</si>
  <si>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</si>
  <si>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</si>
  <si>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</si>
  <si>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</si>
  <si>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</si>
  <si>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</si>
  <si>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</si>
  <si>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</si>
  <si>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</si>
  <si>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</si>
  <si>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</si>
  <si>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</si>
  <si>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</si>
  <si>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</si>
  <si>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</si>
  <si>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</si>
  <si>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</si>
  <si>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</si>
  <si>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</si>
  <si>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</si>
  <si>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</si>
  <si>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</si>
  <si>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</si>
  <si>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</si>
  <si>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</si>
  <si>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</si>
  <si>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</si>
  <si>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</si>
  <si>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</si>
  <si>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</si>
  <si>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</si>
  <si>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</si>
  <si>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</si>
  <si>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</si>
  <si>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</si>
  <si>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</si>
  <si>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</si>
  <si>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</si>
  <si>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</si>
  <si>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</si>
  <si>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</si>
  <si>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</si>
  <si>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</si>
  <si>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</si>
  <si>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</si>
  <si>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</si>
  <si>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</si>
  <si>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</si>
  <si>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</si>
  <si>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</si>
  <si>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</si>
  <si>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</si>
  <si>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</si>
  <si>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</si>
  <si>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</si>
  <si>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</si>
  <si>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</si>
  <si>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</si>
  <si>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</si>
  <si>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</si>
  <si>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</si>
  <si>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</si>
  <si>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</si>
  <si>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</si>
  <si>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</si>
  <si>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</si>
  <si>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</si>
  <si>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</si>
  <si>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</si>
  <si>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</si>
  <si>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</si>
  <si>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</si>
  <si>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</si>
  <si>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</si>
  <si>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</si>
  <si>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</si>
  <si>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</si>
  <si>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</si>
  <si>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</si>
  <si>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</si>
  <si>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</si>
  <si>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</si>
  <si>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</si>
  <si>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</si>
  <si>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</si>
  <si>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</si>
  <si>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</si>
  <si>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</si>
  <si>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</si>
  <si>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</si>
  <si>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</si>
  <si>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</si>
  <si>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</si>
  <si>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</si>
  <si>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</si>
  <si>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</si>
  <si>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</si>
  <si>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</si>
  <si>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</si>
  <si>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</si>
  <si>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</si>
  <si>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</si>
  <si>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</si>
  <si>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</si>
  <si>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</si>
  <si>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</si>
  <si>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</si>
  <si>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</si>
  <si>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</si>
  <si>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</si>
  <si>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</si>
  <si>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</si>
  <si>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</si>
  <si>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</si>
  <si>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</si>
  <si>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</si>
  <si>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</si>
  <si>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</si>
  <si>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</si>
  <si>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</si>
  <si>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</si>
  <si>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</si>
  <si>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</si>
  <si>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</si>
  <si>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</si>
  <si>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</si>
  <si>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</si>
  <si>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</si>
  <si>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</si>
  <si>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</si>
  <si>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</si>
  <si>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</si>
  <si>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</si>
  <si>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</si>
  <si>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</si>
  <si>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</si>
  <si>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</si>
  <si>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</si>
  <si>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</si>
  <si>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</si>
  <si>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</si>
  <si>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</si>
  <si>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</si>
  <si>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</si>
  <si>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</si>
  <si>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</si>
  <si>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</si>
  <si>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</si>
  <si>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</si>
  <si>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</si>
  <si>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</si>
  <si>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</si>
  <si>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</si>
  <si>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</si>
  <si>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</si>
  <si>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</si>
  <si>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</si>
  <si>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</si>
  <si>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</si>
  <si>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</si>
  <si>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</si>
  <si>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</si>
  <si>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</si>
  <si>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</si>
  <si>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</si>
  <si>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</si>
  <si>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</si>
  <si>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</si>
  <si>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</si>
  <si>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</si>
  <si>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</si>
  <si>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</si>
  <si>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</si>
  <si>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</si>
  <si>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</si>
  <si>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</si>
  <si>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</si>
  <si>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</si>
  <si>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</si>
  <si>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</si>
  <si>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</si>
  <si>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</si>
  <si>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</si>
  <si>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</si>
  <si>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</si>
  <si>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</si>
  <si>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</si>
  <si>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</si>
  <si>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</si>
  <si>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</si>
  <si>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</si>
  <si>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</si>
  <si>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</si>
  <si>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</si>
  <si>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</si>
  <si>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</si>
  <si>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</si>
  <si>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</si>
  <si>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</si>
  <si>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</si>
  <si>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</si>
  <si>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</si>
  <si>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</si>
  <si>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</si>
  <si>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</si>
  <si>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</si>
  <si>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</si>
  <si>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</si>
  <si>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</si>
  <si>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</si>
  <si>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</si>
  <si>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</si>
  <si>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</si>
  <si>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</si>
  <si>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</si>
  <si>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</si>
  <si>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</si>
  <si>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</si>
  <si>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</si>
  <si>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</si>
  <si>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</si>
  <si>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</si>
  <si>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</si>
  <si>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</si>
  <si>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</si>
  <si>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</si>
  <si>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</si>
  <si>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</si>
  <si>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</si>
  <si>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</si>
  <si>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</si>
  <si>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</si>
  <si>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</si>
  <si>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</si>
  <si>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</si>
  <si>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</si>
  <si>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</si>
  <si>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</si>
  <si>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</si>
  <si>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</si>
  <si>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</si>
  <si>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</si>
  <si>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</si>
  <si>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</si>
  <si>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</si>
  <si>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</si>
  <si>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</si>
  <si>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</si>
  <si>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</si>
  <si>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</si>
  <si>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</si>
  <si>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</si>
  <si>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</si>
  <si>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</si>
  <si>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</si>
  <si>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</si>
  <si>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</si>
  <si>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</si>
  <si>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</si>
  <si>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</si>
  <si>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</si>
  <si>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</si>
  <si>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</si>
  <si>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</si>
  <si>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</si>
  <si>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</si>
  <si>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</si>
  <si>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</si>
  <si>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</si>
  <si>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</si>
  <si>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</si>
  <si>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</si>
  <si>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</si>
  <si>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</si>
  <si>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</si>
  <si>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</si>
  <si>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</si>
  <si>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</si>
  <si>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</si>
  <si>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</si>
  <si>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</si>
  <si>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</si>
  <si>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</si>
  <si>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</si>
  <si>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</si>
  <si>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</si>
  <si>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</si>
  <si>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</si>
  <si>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</si>
  <si>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</si>
  <si>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</si>
  <si>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</si>
  <si>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</si>
  <si>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</si>
  <si>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</si>
  <si>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</si>
  <si>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</si>
  <si>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</si>
  <si>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</si>
  <si>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</si>
  <si>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</si>
  <si>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</si>
  <si>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</si>
  <si>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</si>
  <si>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</si>
  <si>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</si>
  <si>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</si>
  <si>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</si>
  <si>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</si>
  <si>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</si>
  <si>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</si>
  <si>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</si>
  <si>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</si>
  <si>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</si>
  <si>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</si>
  <si>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</si>
  <si>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</si>
  <si>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</si>
  <si>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</si>
  <si>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</si>
  <si>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</si>
  <si>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</si>
  <si>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</si>
  <si>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</si>
  <si>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</si>
  <si>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</si>
  <si>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</si>
  <si>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</si>
  <si>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</si>
  <si>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</si>
  <si>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</si>
  <si>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</si>
  <si>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</si>
  <si>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</si>
  <si>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</si>
  <si>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</si>
  <si>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</si>
  <si>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</si>
  <si>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</si>
  <si>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</si>
  <si>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</si>
  <si>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</si>
  <si>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</si>
  <si>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</si>
  <si>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</si>
  <si>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</si>
  <si>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</si>
  <si>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</si>
  <si>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</si>
  <si>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</si>
  <si>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</si>
  <si>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</si>
  <si>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</si>
  <si>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</si>
  <si>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</si>
  <si>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</si>
  <si>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</si>
  <si>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</si>
  <si>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</si>
  <si>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</si>
  <si>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</si>
  <si>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</si>
  <si>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</si>
  <si>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</si>
  <si>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</si>
  <si>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</si>
  <si>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</si>
  <si>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</si>
  <si>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</si>
  <si>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</si>
  <si>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</si>
  <si>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</si>
  <si>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</si>
  <si>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</si>
  <si>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</si>
  <si>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</si>
  <si>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</si>
  <si>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</si>
  <si>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</si>
  <si>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</si>
  <si>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</si>
  <si>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</si>
  <si>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</si>
  <si>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</si>
  <si>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</si>
  <si>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</si>
  <si>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</si>
  <si>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</si>
  <si>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</si>
  <si>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</si>
  <si>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</si>
  <si>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</si>
  <si>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</si>
  <si>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</si>
  <si>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</si>
  <si>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</si>
  <si>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</si>
  <si>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</si>
  <si>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</si>
  <si>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</si>
  <si>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</si>
  <si>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</si>
  <si>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</si>
  <si>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</si>
  <si>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</si>
  <si>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</si>
  <si>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</si>
  <si>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</si>
  <si>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</si>
  <si>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</si>
  <si>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</si>
  <si>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</si>
  <si>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</si>
  <si>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</si>
  <si>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</si>
  <si>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71022</t>
  </si>
  <si>
    <t>HASSELT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</si>
  <si>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</si>
  <si>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</si>
  <si>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</si>
  <si>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</si>
  <si>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</si>
  <si>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</si>
  <si>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</si>
  <si>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</si>
  <si>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</si>
  <si>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</si>
  <si>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</si>
  <si>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</si>
  <si>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</si>
  <si>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</si>
  <si>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</si>
  <si>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</si>
  <si>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</si>
  <si>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</si>
  <si>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</si>
  <si>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</si>
  <si>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</si>
  <si>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</si>
  <si>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</si>
  <si>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</si>
  <si>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</si>
  <si>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</si>
  <si>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</si>
  <si>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</si>
  <si>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</si>
  <si>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</si>
  <si>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</si>
  <si>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</si>
  <si>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</si>
  <si>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</si>
  <si>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</si>
  <si>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</si>
  <si>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</si>
  <si>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</si>
  <si>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</si>
  <si>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</si>
  <si>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</si>
  <si>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</si>
  <si>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</si>
  <si>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</si>
  <si>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</si>
  <si>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</si>
  <si>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</si>
  <si>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</si>
  <si>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</si>
  <si>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</si>
  <si>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</si>
  <si>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</si>
  <si>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</si>
  <si>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</si>
  <si>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</si>
  <si>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</si>
  <si>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</si>
  <si>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</si>
  <si>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</si>
  <si>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</si>
  <si>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</si>
  <si>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</si>
  <si>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</si>
  <si>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</si>
  <si>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</si>
  <si>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</si>
  <si>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</si>
  <si>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</si>
  <si>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</si>
  <si>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</si>
  <si>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</si>
  <si>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</si>
  <si>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</si>
  <si>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</si>
  <si>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</si>
  <si>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</si>
  <si>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</si>
  <si>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</si>
  <si>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</si>
  <si>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</si>
  <si>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</si>
  <si>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</si>
  <si>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</si>
  <si>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</si>
  <si>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</si>
  <si>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</si>
  <si>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</si>
  <si>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</si>
  <si>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</si>
  <si>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</si>
  <si>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</si>
  <si>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</si>
  <si>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</si>
  <si>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</si>
  <si>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</si>
  <si>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</si>
  <si>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</si>
  <si>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</si>
  <si>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</si>
  <si>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</si>
  <si>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</si>
  <si>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</si>
  <si>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</si>
  <si>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</si>
  <si>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</si>
  <si>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</si>
  <si>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</si>
  <si>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</si>
  <si>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</si>
  <si>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</si>
  <si>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</si>
  <si>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</si>
  <si>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</si>
  <si>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</si>
  <si>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</si>
  <si>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</si>
  <si>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</si>
  <si>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</si>
  <si>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</si>
  <si>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</si>
  <si>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</si>
  <si>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</si>
  <si>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</si>
  <si>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</si>
  <si>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</si>
  <si>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</si>
  <si>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</si>
  <si>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</si>
  <si>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</si>
  <si>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</si>
  <si>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</si>
  <si>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</si>
  <si>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</si>
  <si>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</si>
  <si>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</si>
  <si>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</si>
  <si>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</si>
  <si>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</si>
  <si>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</si>
  <si>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</si>
  <si>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</si>
  <si>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</si>
  <si>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</si>
  <si>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</si>
  <si>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</si>
  <si>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</si>
  <si>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</si>
  <si>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</si>
  <si>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</si>
  <si>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</si>
  <si>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</si>
  <si>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</si>
  <si>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</si>
  <si>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</si>
  <si>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</si>
  <si>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</si>
  <si>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</si>
  <si>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</si>
  <si>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</si>
  <si>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</si>
  <si>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</si>
  <si>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</si>
  <si>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</si>
  <si>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</si>
  <si>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</si>
  <si>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</si>
  <si>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</si>
  <si>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</si>
  <si>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</si>
  <si>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</si>
  <si>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</si>
  <si>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</si>
  <si>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</si>
  <si>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</si>
  <si>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</si>
  <si>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</si>
  <si>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</si>
  <si>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</si>
  <si>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</si>
  <si>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</si>
  <si>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</si>
  <si>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</si>
  <si>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</si>
  <si>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</si>
  <si>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</si>
  <si>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</si>
  <si>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</si>
  <si>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</si>
  <si>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</si>
  <si>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</si>
  <si>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</si>
  <si>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</si>
  <si>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</si>
  <si>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</si>
  <si>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</si>
  <si>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</si>
  <si>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</si>
  <si>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</si>
  <si>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</si>
  <si>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</si>
  <si>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</si>
  <si>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</si>
  <si>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</si>
  <si>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</si>
  <si>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</si>
  <si>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</si>
  <si>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</si>
  <si>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</si>
  <si>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</si>
  <si>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</si>
  <si>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</si>
  <si>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</si>
  <si>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</si>
  <si>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</si>
  <si>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</si>
  <si>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</si>
  <si>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</si>
  <si>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</si>
  <si>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</si>
  <si>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</si>
  <si>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</si>
  <si>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</si>
  <si>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</si>
  <si>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</si>
  <si>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</si>
  <si>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</si>
  <si>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</si>
  <si>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</si>
  <si>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</si>
  <si>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</si>
  <si>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</si>
  <si>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</si>
  <si>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</si>
  <si>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</si>
  <si>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</si>
  <si>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</si>
  <si>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</si>
  <si>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</si>
  <si>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</si>
  <si>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</si>
  <si>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</si>
  <si>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</si>
  <si>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</si>
  <si>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</si>
  <si>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</si>
  <si>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</si>
  <si>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</si>
  <si>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</si>
  <si>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</si>
  <si>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</si>
  <si>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</si>
  <si>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</si>
  <si>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</si>
  <si>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</si>
  <si>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</si>
  <si>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</si>
  <si>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</si>
  <si>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</si>
  <si>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</si>
  <si>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</si>
  <si>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</si>
  <si>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</si>
  <si>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</si>
  <si>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</si>
  <si>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</si>
  <si>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</si>
  <si>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</si>
  <si>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</si>
  <si>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</si>
  <si>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</si>
  <si>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</si>
  <si>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</si>
  <si>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</si>
  <si>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</si>
  <si>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</si>
  <si>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</si>
  <si>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</si>
  <si>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</si>
  <si>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</si>
  <si>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</si>
  <si>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</si>
  <si>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</si>
  <si>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</si>
  <si>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</si>
  <si>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</si>
  <si>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</si>
  <si>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</si>
  <si>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</si>
  <si>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</si>
  <si>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</si>
  <si>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</si>
  <si>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</si>
  <si>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</si>
  <si>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</si>
  <si>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</si>
  <si>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</si>
  <si>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</si>
  <si>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</si>
  <si>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</si>
  <si>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</si>
  <si>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</si>
  <si>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</si>
  <si>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</si>
  <si>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</si>
  <si>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</si>
  <si>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</si>
  <si>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</si>
  <si>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</si>
  <si>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</si>
  <si>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</si>
  <si>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</si>
  <si>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</si>
  <si>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</si>
  <si>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</si>
  <si>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</si>
  <si>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</si>
  <si>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</si>
  <si>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</si>
  <si>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</si>
  <si>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</si>
  <si>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</si>
  <si>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</si>
  <si>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</si>
  <si>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</si>
  <si>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</si>
  <si>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</si>
  <si>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</si>
  <si>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</si>
  <si>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</si>
  <si>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</si>
  <si>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</si>
  <si>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</si>
  <si>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</si>
  <si>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waterkracht</t>
  </si>
  <si>
    <t>vloeibaar gas (MWh)</t>
  </si>
  <si>
    <t>interne verbrandingsmotor</t>
  </si>
  <si>
    <t>WKK interne verbrandinsgmotor (gas)</t>
  </si>
  <si>
    <t>Inter-Energa</t>
  </si>
  <si>
    <t>Interne verbrandingsmotor</t>
  </si>
  <si>
    <t>Inter-energa (via INFRAX)</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</si>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</sst>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4092BB5-C130-49D5-9133-24AB2426A3C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647241.51997264975</c:v>
                </c:pt>
                <c:pt idx="1">
                  <c:v>445355.15338993125</c:v>
                </c:pt>
                <c:pt idx="2">
                  <c:v>5022.3219440000003</c:v>
                </c:pt>
                <c:pt idx="3">
                  <c:v>8320.4659966256513</c:v>
                </c:pt>
                <c:pt idx="4">
                  <c:v>160632.03056100447</c:v>
                </c:pt>
                <c:pt idx="5">
                  <c:v>637929.56029967207</c:v>
                </c:pt>
                <c:pt idx="6">
                  <c:v>16531.373254428869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647241.51997264975</c:v>
                </c:pt>
                <c:pt idx="1">
                  <c:v>445355.15338993125</c:v>
                </c:pt>
                <c:pt idx="2">
                  <c:v>5022.3219440000003</c:v>
                </c:pt>
                <c:pt idx="3">
                  <c:v>8320.4659966256513</c:v>
                </c:pt>
                <c:pt idx="4">
                  <c:v>160632.03056100447</c:v>
                </c:pt>
                <c:pt idx="5">
                  <c:v>637929.56029967207</c:v>
                </c:pt>
                <c:pt idx="6">
                  <c:v>16531.373254428869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129994.30591637062</c:v>
                </c:pt>
                <c:pt idx="1">
                  <c:v>90304.596524295514</c:v>
                </c:pt>
                <c:pt idx="2">
                  <c:v>979.33529558446469</c:v>
                </c:pt>
                <c:pt idx="3">
                  <c:v>2064.197315032553</c:v>
                </c:pt>
                <c:pt idx="4">
                  <c:v>31916.725483323979</c:v>
                </c:pt>
                <c:pt idx="5">
                  <c:v>158273.48487794111</c:v>
                </c:pt>
                <c:pt idx="6">
                  <c:v>4170.3325901355865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129994.30591637062</c:v>
                </c:pt>
                <c:pt idx="1">
                  <c:v>90304.596524295514</c:v>
                </c:pt>
                <c:pt idx="2">
                  <c:v>979.33529558446469</c:v>
                </c:pt>
                <c:pt idx="3">
                  <c:v>2064.197315032553</c:v>
                </c:pt>
                <c:pt idx="4">
                  <c:v>31916.725483323979</c:v>
                </c:pt>
                <c:pt idx="5">
                  <c:v>158273.48487794111</c:v>
                </c:pt>
                <c:pt idx="6">
                  <c:v>4170.3325901355865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603</v>
      </c>
      <c r="B2" s="386"/>
      <c r="C2" s="387"/>
    </row>
    <row r="3" spans="1:7" s="11" customFormat="1" ht="15" customHeight="1">
      <c r="A3" s="93"/>
      <c r="B3" s="74"/>
      <c r="C3" s="94"/>
    </row>
    <row r="4" spans="1:7" s="11" customFormat="1" ht="15.75" customHeight="1" thickBot="1">
      <c r="A4" s="105" t="s">
        <v>841</v>
      </c>
      <c r="B4" s="106"/>
      <c r="C4" s="107"/>
    </row>
    <row r="5" spans="1:7" s="380" customFormat="1" ht="15.75" customHeight="1">
      <c r="A5" s="377" t="s">
        <v>0</v>
      </c>
      <c r="B5" s="378"/>
      <c r="C5" s="379"/>
    </row>
    <row r="6" spans="1:7" s="380" customFormat="1" ht="15" customHeight="1">
      <c r="A6" s="381" t="str">
        <f>txtNIS</f>
        <v>71022</v>
      </c>
      <c r="B6" s="382"/>
      <c r="C6" s="383"/>
    </row>
    <row r="7" spans="1:7" s="380" customFormat="1" ht="15.75" customHeight="1">
      <c r="A7" s="384" t="str">
        <f>txtMunicipality</f>
        <v>HASSELT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839</v>
      </c>
      <c r="B10" s="1035"/>
      <c r="C10" s="1036"/>
    </row>
    <row r="11" spans="1:7" s="374" customFormat="1" ht="15.75" thickBot="1">
      <c r="A11" s="397" t="s">
        <v>346</v>
      </c>
      <c r="B11" s="400"/>
      <c r="C11" s="401"/>
      <c r="G11" s="375"/>
    </row>
    <row r="12" spans="1:7">
      <c r="A12" s="44"/>
      <c r="B12" s="43"/>
      <c r="C12" s="96"/>
    </row>
    <row r="13" spans="1:7" s="374" customFormat="1">
      <c r="A13" s="729" t="s">
        <v>570</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751</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550</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553</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562</v>
      </c>
      <c r="B17" s="493">
        <f ca="1">'EF ele_warmte'!B12</f>
        <v>0.19499651884213512</v>
      </c>
      <c r="C17" s="493">
        <f ca="1">'EF ele_warmte'!B22</f>
        <v>0.23764705882352952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553</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559</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562</v>
      </c>
      <c r="B29" s="494">
        <f ca="1">'EF ele_warmte'!B12</f>
        <v>0.19499651884213512</v>
      </c>
      <c r="C29" s="494">
        <f ca="1">'EF ele_warmte'!B22</f>
        <v>0.23764705882352952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541</v>
      </c>
      <c r="B10" s="496"/>
      <c r="C10" s="140" t="s">
        <v>175</v>
      </c>
      <c r="D10" s="143" t="s">
        <v>375</v>
      </c>
      <c r="I10" s="1158"/>
      <c r="K10" s="58"/>
    </row>
    <row r="11" spans="1:11" s="43" customFormat="1">
      <c r="A11" s="44" t="s">
        <v>542</v>
      </c>
      <c r="B11" s="47"/>
      <c r="D11" s="141" t="s">
        <v>376</v>
      </c>
      <c r="I11" s="1158"/>
      <c r="K11" s="58"/>
    </row>
    <row r="12" spans="1:11" s="43" customFormat="1">
      <c r="A12" s="44" t="s">
        <v>543</v>
      </c>
      <c r="B12" s="47"/>
      <c r="D12" s="141" t="s">
        <v>376</v>
      </c>
      <c r="I12" s="1158"/>
      <c r="K12" s="58"/>
    </row>
    <row r="13" spans="1:11" s="43" customFormat="1">
      <c r="A13" s="44"/>
      <c r="B13" s="445"/>
      <c r="D13" s="96"/>
      <c r="I13" s="1158"/>
    </row>
    <row r="14" spans="1:11" s="43" customFormat="1">
      <c r="A14" s="296" t="s">
        <v>540</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551</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541</v>
      </c>
      <c r="B31" s="496"/>
      <c r="C31" s="140" t="s">
        <v>175</v>
      </c>
      <c r="D31" s="143" t="s">
        <v>375</v>
      </c>
    </row>
    <row r="32" spans="1:11">
      <c r="A32" s="434" t="s">
        <v>542</v>
      </c>
      <c r="B32" s="47"/>
      <c r="C32" s="48"/>
      <c r="D32" s="141" t="s">
        <v>376</v>
      </c>
    </row>
    <row r="33" spans="1:11">
      <c r="A33" s="44"/>
      <c r="B33" s="48"/>
      <c r="C33" s="48"/>
      <c r="D33" s="141"/>
    </row>
    <row r="34" spans="1:11" s="43" customFormat="1">
      <c r="A34" s="296" t="s">
        <v>540</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679</v>
      </c>
      <c r="B45" s="47"/>
      <c r="C45" s="43"/>
      <c r="D45" s="141" t="s">
        <v>376</v>
      </c>
      <c r="I45" s="58"/>
      <c r="J45" s="58"/>
      <c r="K45" s="58"/>
    </row>
    <row r="46" spans="1:11" s="841" customFormat="1">
      <c r="A46" s="177" t="s">
        <v>680</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544</v>
      </c>
      <c r="B52" s="47"/>
      <c r="C52" s="32"/>
      <c r="D52" s="142" t="s">
        <v>377</v>
      </c>
    </row>
    <row r="53" spans="1:4">
      <c r="A53" s="44" t="s">
        <v>545</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546</v>
      </c>
      <c r="B59" s="47"/>
      <c r="C59" s="32"/>
      <c r="D59" s="141" t="s">
        <v>148</v>
      </c>
    </row>
    <row r="60" spans="1:4">
      <c r="A60" s="44" t="s">
        <v>547</v>
      </c>
      <c r="B60" s="47"/>
      <c r="C60" s="32"/>
      <c r="D60" s="141" t="s">
        <v>149</v>
      </c>
    </row>
    <row r="61" spans="1:4">
      <c r="A61" s="44" t="s">
        <v>548</v>
      </c>
      <c r="B61" s="47"/>
      <c r="C61" s="48"/>
      <c r="D61" s="141" t="s">
        <v>373</v>
      </c>
    </row>
    <row r="62" spans="1:4">
      <c r="A62" s="44" t="s">
        <v>549</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563</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753</v>
      </c>
      <c r="C21" s="130" t="s">
        <v>554</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524</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524</v>
      </c>
      <c r="B4" s="324"/>
      <c r="C4" s="324"/>
      <c r="D4" s="324"/>
      <c r="E4" s="324"/>
      <c r="F4" s="324"/>
    </row>
    <row r="5" spans="1:6" ht="22.5">
      <c r="A5" s="1255" t="s">
        <v>525</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35520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627</v>
      </c>
      <c r="B14" s="1265">
        <v>3191.46</v>
      </c>
      <c r="C14" s="324"/>
      <c r="D14" s="324"/>
      <c r="E14" s="324"/>
      <c r="F14" s="324"/>
    </row>
    <row r="15" spans="1:6">
      <c r="A15" s="1264" t="s">
        <v>177</v>
      </c>
      <c r="B15" s="1265">
        <v>3846</v>
      </c>
      <c r="C15" s="324"/>
      <c r="D15" s="324"/>
      <c r="E15" s="324"/>
      <c r="F15" s="324"/>
    </row>
    <row r="16" spans="1:6">
      <c r="A16" s="1264" t="s">
        <v>6</v>
      </c>
      <c r="B16" s="1265">
        <v>587</v>
      </c>
      <c r="C16" s="324"/>
      <c r="D16" s="324"/>
      <c r="E16" s="324"/>
      <c r="F16" s="324"/>
    </row>
    <row r="17" spans="1:6">
      <c r="A17" s="1264" t="s">
        <v>7</v>
      </c>
      <c r="B17" s="1265">
        <v>358</v>
      </c>
      <c r="C17" s="324"/>
      <c r="D17" s="324"/>
      <c r="E17" s="324"/>
      <c r="F17" s="324"/>
    </row>
    <row r="18" spans="1:6">
      <c r="A18" s="1264" t="s">
        <v>8</v>
      </c>
      <c r="B18" s="1265">
        <v>632</v>
      </c>
      <c r="C18" s="324"/>
      <c r="D18" s="324"/>
      <c r="E18" s="324"/>
      <c r="F18" s="324"/>
    </row>
    <row r="19" spans="1:6">
      <c r="A19" s="1264" t="s">
        <v>9</v>
      </c>
      <c r="B19" s="1265">
        <v>541</v>
      </c>
      <c r="C19" s="324"/>
      <c r="D19" s="324"/>
      <c r="E19" s="324"/>
      <c r="F19" s="324"/>
    </row>
    <row r="20" spans="1:6">
      <c r="A20" s="1264" t="s">
        <v>10</v>
      </c>
      <c r="B20" s="1265">
        <v>531</v>
      </c>
      <c r="C20" s="324"/>
      <c r="D20" s="324"/>
      <c r="E20" s="324"/>
      <c r="F20" s="324"/>
    </row>
    <row r="21" spans="1:6">
      <c r="A21" s="1264" t="s">
        <v>11</v>
      </c>
      <c r="B21" s="1265">
        <v>1143</v>
      </c>
      <c r="C21" s="324"/>
      <c r="D21" s="324"/>
      <c r="E21" s="324"/>
      <c r="F21" s="324"/>
    </row>
    <row r="22" spans="1:6">
      <c r="A22" s="1264" t="s">
        <v>12</v>
      </c>
      <c r="B22" s="1265">
        <v>4093</v>
      </c>
      <c r="C22" s="324"/>
      <c r="D22" s="324"/>
      <c r="E22" s="324"/>
      <c r="F22" s="324"/>
    </row>
    <row r="23" spans="1:6">
      <c r="A23" s="1264" t="s">
        <v>13</v>
      </c>
      <c r="B23" s="1265">
        <v>43</v>
      </c>
      <c r="C23" s="324"/>
      <c r="D23" s="324"/>
      <c r="E23" s="324"/>
      <c r="F23" s="324"/>
    </row>
    <row r="24" spans="1:6">
      <c r="A24" s="1264" t="s">
        <v>14</v>
      </c>
      <c r="B24" s="1265">
        <v>3</v>
      </c>
      <c r="C24" s="324"/>
      <c r="D24" s="324"/>
      <c r="E24" s="324"/>
      <c r="F24" s="324"/>
    </row>
    <row r="25" spans="1:6">
      <c r="A25" s="1264" t="s">
        <v>15</v>
      </c>
      <c r="B25" s="1265">
        <v>347</v>
      </c>
      <c r="C25" s="324"/>
      <c r="D25" s="324"/>
      <c r="E25" s="324"/>
      <c r="F25" s="324"/>
    </row>
    <row r="26" spans="1:6">
      <c r="A26" s="1264" t="s">
        <v>16</v>
      </c>
      <c r="B26" s="1265">
        <v>415</v>
      </c>
      <c r="C26" s="324"/>
      <c r="D26" s="324"/>
      <c r="E26" s="324"/>
      <c r="F26" s="324"/>
    </row>
    <row r="27" spans="1:6">
      <c r="A27" s="1264" t="s">
        <v>17</v>
      </c>
      <c r="B27" s="1265">
        <v>285</v>
      </c>
      <c r="C27" s="324"/>
      <c r="D27" s="324"/>
      <c r="E27" s="324"/>
      <c r="F27" s="324"/>
    </row>
    <row r="28" spans="1:6">
      <c r="A28" s="1264" t="s">
        <v>18</v>
      </c>
      <c r="B28" s="1266">
        <v>50950</v>
      </c>
      <c r="C28" s="324"/>
      <c r="D28" s="324"/>
      <c r="E28" s="324"/>
      <c r="F28" s="324"/>
    </row>
    <row r="29" spans="1:6">
      <c r="A29" s="1264" t="s">
        <v>659</v>
      </c>
      <c r="B29" s="1266">
        <v>426</v>
      </c>
      <c r="C29" s="324"/>
      <c r="D29" s="324"/>
      <c r="E29" s="324"/>
      <c r="F29" s="324"/>
    </row>
    <row r="30" spans="1:6">
      <c r="A30" s="1259" t="s">
        <v>660</v>
      </c>
      <c r="B30" s="1267">
        <v>111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66</v>
      </c>
      <c r="D36" s="1265">
        <v>18228780.035999998</v>
      </c>
      <c r="E36" s="1265">
        <v>269</v>
      </c>
      <c r="F36" s="1265">
        <v>6418812.0089999903</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2730.1190000000001</v>
      </c>
    </row>
    <row r="39" spans="1:6">
      <c r="A39" s="1264" t="s">
        <v>29</v>
      </c>
      <c r="B39" s="1264" t="s">
        <v>30</v>
      </c>
      <c r="C39" s="1265">
        <v>24501</v>
      </c>
      <c r="D39" s="1265">
        <v>339261208.828996</v>
      </c>
      <c r="E39" s="1265">
        <v>35889</v>
      </c>
      <c r="F39" s="1265">
        <v>107192179.767002</v>
      </c>
    </row>
    <row r="40" spans="1:6">
      <c r="A40" s="1264" t="s">
        <v>29</v>
      </c>
      <c r="B40" s="1264" t="s">
        <v>28</v>
      </c>
      <c r="C40" s="1265">
        <v>0</v>
      </c>
      <c r="D40" s="1265">
        <v>0</v>
      </c>
      <c r="E40" s="1265">
        <v>1</v>
      </c>
      <c r="F40" s="1265">
        <v>6313.9840000000004</v>
      </c>
    </row>
    <row r="41" spans="1:6">
      <c r="A41" s="1264" t="s">
        <v>31</v>
      </c>
      <c r="B41" s="1264" t="s">
        <v>32</v>
      </c>
      <c r="C41" s="1265">
        <v>310</v>
      </c>
      <c r="D41" s="1265">
        <v>28798892.875</v>
      </c>
      <c r="E41" s="1265">
        <v>656</v>
      </c>
      <c r="F41" s="1265">
        <v>24691948.280000001</v>
      </c>
    </row>
    <row r="42" spans="1:6">
      <c r="A42" s="1264" t="s">
        <v>31</v>
      </c>
      <c r="B42" s="1264" t="s">
        <v>33</v>
      </c>
      <c r="C42" s="1265">
        <v>7</v>
      </c>
      <c r="D42" s="1265">
        <v>1661192.297</v>
      </c>
      <c r="E42" s="1265">
        <v>6</v>
      </c>
      <c r="F42" s="1265">
        <v>2029322.551</v>
      </c>
    </row>
    <row r="43" spans="1:6">
      <c r="A43" s="1264" t="s">
        <v>31</v>
      </c>
      <c r="B43" s="1264" t="s">
        <v>34</v>
      </c>
      <c r="C43" s="1265">
        <v>0</v>
      </c>
      <c r="D43" s="1265">
        <v>0</v>
      </c>
      <c r="E43" s="1265">
        <v>0</v>
      </c>
      <c r="F43" s="1265">
        <v>0</v>
      </c>
    </row>
    <row r="44" spans="1:6">
      <c r="A44" s="1264" t="s">
        <v>31</v>
      </c>
      <c r="B44" s="1264" t="s">
        <v>35</v>
      </c>
      <c r="C44" s="1265">
        <v>34</v>
      </c>
      <c r="D44" s="1265">
        <v>5255590.4239999996</v>
      </c>
      <c r="E44" s="1265">
        <v>99</v>
      </c>
      <c r="F44" s="1265">
        <v>5078709.2750000004</v>
      </c>
    </row>
    <row r="45" spans="1:6">
      <c r="A45" s="1264" t="s">
        <v>31</v>
      </c>
      <c r="B45" s="1264" t="s">
        <v>36</v>
      </c>
      <c r="C45" s="1265">
        <v>8</v>
      </c>
      <c r="D45" s="1265">
        <v>38756701.388999999</v>
      </c>
      <c r="E45" s="1265">
        <v>15</v>
      </c>
      <c r="F45" s="1265">
        <v>10813877.835999999</v>
      </c>
    </row>
    <row r="46" spans="1:6">
      <c r="A46" s="1264" t="s">
        <v>31</v>
      </c>
      <c r="B46" s="1264" t="s">
        <v>37</v>
      </c>
      <c r="C46" s="1265">
        <v>0</v>
      </c>
      <c r="D46" s="1265">
        <v>0</v>
      </c>
      <c r="E46" s="1265">
        <v>0</v>
      </c>
      <c r="F46" s="1265">
        <v>0</v>
      </c>
    </row>
    <row r="47" spans="1:6">
      <c r="A47" s="1264" t="s">
        <v>31</v>
      </c>
      <c r="B47" s="1264" t="s">
        <v>38</v>
      </c>
      <c r="C47" s="1265">
        <v>19</v>
      </c>
      <c r="D47" s="1265">
        <v>3927832.32</v>
      </c>
      <c r="E47" s="1265">
        <v>22</v>
      </c>
      <c r="F47" s="1265">
        <v>1866878.13</v>
      </c>
    </row>
    <row r="48" spans="1:6">
      <c r="A48" s="1264" t="s">
        <v>31</v>
      </c>
      <c r="B48" s="1264" t="s">
        <v>28</v>
      </c>
      <c r="C48" s="1265">
        <v>1</v>
      </c>
      <c r="D48" s="1265">
        <v>30259.062999999998</v>
      </c>
      <c r="E48" s="1265">
        <v>2</v>
      </c>
      <c r="F48" s="1265">
        <v>71207.361999999994</v>
      </c>
    </row>
    <row r="49" spans="1:6">
      <c r="A49" s="1264" t="s">
        <v>31</v>
      </c>
      <c r="B49" s="1264" t="s">
        <v>39</v>
      </c>
      <c r="C49" s="1265">
        <v>14</v>
      </c>
      <c r="D49" s="1265">
        <v>232442.00599999999</v>
      </c>
      <c r="E49" s="1265">
        <v>19</v>
      </c>
      <c r="F49" s="1265">
        <v>156362.44099999999</v>
      </c>
    </row>
    <row r="50" spans="1:6">
      <c r="A50" s="1264" t="s">
        <v>31</v>
      </c>
      <c r="B50" s="1264" t="s">
        <v>40</v>
      </c>
      <c r="C50" s="1265">
        <v>46</v>
      </c>
      <c r="D50" s="1265">
        <v>8983412.5820000004</v>
      </c>
      <c r="E50" s="1265">
        <v>65</v>
      </c>
      <c r="F50" s="1265">
        <v>11990427.059</v>
      </c>
    </row>
    <row r="51" spans="1:6">
      <c r="A51" s="1264" t="s">
        <v>41</v>
      </c>
      <c r="B51" s="1264" t="s">
        <v>42</v>
      </c>
      <c r="C51" s="1265">
        <v>18</v>
      </c>
      <c r="D51" s="1265">
        <v>1278388.298</v>
      </c>
      <c r="E51" s="1265">
        <v>108</v>
      </c>
      <c r="F51" s="1265">
        <v>1606733.145</v>
      </c>
    </row>
    <row r="52" spans="1:6">
      <c r="A52" s="1264" t="s">
        <v>41</v>
      </c>
      <c r="B52" s="1264" t="s">
        <v>28</v>
      </c>
      <c r="C52" s="1265">
        <v>0</v>
      </c>
      <c r="D52" s="1265">
        <v>0</v>
      </c>
      <c r="E52" s="1265">
        <v>0</v>
      </c>
      <c r="F52" s="1265">
        <v>0</v>
      </c>
    </row>
    <row r="53" spans="1:6">
      <c r="A53" s="1264" t="s">
        <v>43</v>
      </c>
      <c r="B53" s="1264" t="s">
        <v>44</v>
      </c>
      <c r="C53" s="1265">
        <v>380</v>
      </c>
      <c r="D53" s="1265">
        <v>19713579.27</v>
      </c>
      <c r="E53" s="1265">
        <v>1266</v>
      </c>
      <c r="F53" s="1265">
        <v>11605197.886</v>
      </c>
    </row>
    <row r="54" spans="1:6">
      <c r="A54" s="1264" t="s">
        <v>45</v>
      </c>
      <c r="B54" s="1264" t="s">
        <v>46</v>
      </c>
      <c r="C54" s="1265">
        <v>0</v>
      </c>
      <c r="D54" s="1265">
        <v>0</v>
      </c>
      <c r="E54" s="1265">
        <v>3</v>
      </c>
      <c r="F54" s="1265">
        <v>5022321.9440000001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320</v>
      </c>
      <c r="D57" s="1265">
        <v>19042395.096000001</v>
      </c>
      <c r="E57" s="1265">
        <v>570</v>
      </c>
      <c r="F57" s="1265">
        <v>16903197.964000002</v>
      </c>
    </row>
    <row r="58" spans="1:6">
      <c r="A58" s="1264" t="s">
        <v>48</v>
      </c>
      <c r="B58" s="1264" t="s">
        <v>50</v>
      </c>
      <c r="C58" s="1265">
        <v>319</v>
      </c>
      <c r="D58" s="1265">
        <v>45419843.601000004</v>
      </c>
      <c r="E58" s="1265">
        <v>453</v>
      </c>
      <c r="F58" s="1265">
        <v>18715054.004999999</v>
      </c>
    </row>
    <row r="59" spans="1:6">
      <c r="A59" s="1264" t="s">
        <v>48</v>
      </c>
      <c r="B59" s="1264" t="s">
        <v>51</v>
      </c>
      <c r="C59" s="1265">
        <v>768</v>
      </c>
      <c r="D59" s="1265">
        <v>39373311.318000004</v>
      </c>
      <c r="E59" s="1265">
        <v>1361</v>
      </c>
      <c r="F59" s="1265">
        <v>59129042.994000003</v>
      </c>
    </row>
    <row r="60" spans="1:6">
      <c r="A60" s="1264" t="s">
        <v>48</v>
      </c>
      <c r="B60" s="1264" t="s">
        <v>52</v>
      </c>
      <c r="C60" s="1265">
        <v>403</v>
      </c>
      <c r="D60" s="1265">
        <v>35553835.086999997</v>
      </c>
      <c r="E60" s="1265">
        <v>487</v>
      </c>
      <c r="F60" s="1265">
        <v>20878386.574000001</v>
      </c>
    </row>
    <row r="61" spans="1:6">
      <c r="A61" s="1264" t="s">
        <v>48</v>
      </c>
      <c r="B61" s="1264" t="s">
        <v>53</v>
      </c>
      <c r="C61" s="1265">
        <v>1261</v>
      </c>
      <c r="D61" s="1265">
        <v>72069428.675999999</v>
      </c>
      <c r="E61" s="1265">
        <v>2374</v>
      </c>
      <c r="F61" s="1265">
        <v>70739951.787</v>
      </c>
    </row>
    <row r="62" spans="1:6">
      <c r="A62" s="1264" t="s">
        <v>48</v>
      </c>
      <c r="B62" s="1264" t="s">
        <v>54</v>
      </c>
      <c r="C62" s="1265">
        <v>102</v>
      </c>
      <c r="D62" s="1265">
        <v>24464291.282000002</v>
      </c>
      <c r="E62" s="1265">
        <v>114</v>
      </c>
      <c r="F62" s="1265">
        <v>10681625.239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33582.148000000001</v>
      </c>
      <c r="E65" s="1265">
        <v>2</v>
      </c>
      <c r="F65" s="1265">
        <v>7052.8419999999996</v>
      </c>
    </row>
    <row r="66" spans="1:6">
      <c r="A66" s="1264" t="s">
        <v>55</v>
      </c>
      <c r="B66" s="1264" t="s">
        <v>57</v>
      </c>
      <c r="C66" s="1265">
        <v>4</v>
      </c>
      <c r="D66" s="1265">
        <v>2010909.872</v>
      </c>
      <c r="E66" s="1265">
        <v>92</v>
      </c>
      <c r="F66" s="1265">
        <v>3550724.4139999999</v>
      </c>
    </row>
    <row r="67" spans="1:6">
      <c r="A67" s="1264" t="s">
        <v>55</v>
      </c>
      <c r="B67" s="1264" t="s">
        <v>58</v>
      </c>
      <c r="C67" s="1265">
        <v>0</v>
      </c>
      <c r="D67" s="1265">
        <v>0</v>
      </c>
      <c r="E67" s="1265">
        <v>0</v>
      </c>
      <c r="F67" s="1265">
        <v>0</v>
      </c>
    </row>
    <row r="68" spans="1:6">
      <c r="A68" s="1259" t="s">
        <v>55</v>
      </c>
      <c r="B68" s="1259" t="s">
        <v>59</v>
      </c>
      <c r="C68" s="1267">
        <v>14</v>
      </c>
      <c r="D68" s="1267">
        <v>512345.78600000002</v>
      </c>
      <c r="E68" s="1267">
        <v>37</v>
      </c>
      <c r="F68" s="1267">
        <v>2175377.764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626</v>
      </c>
      <c r="D72" s="1276"/>
      <c r="E72" s="1276"/>
      <c r="F72" s="1263"/>
    </row>
    <row r="73" spans="1:6">
      <c r="A73" s="1264" t="s">
        <v>63</v>
      </c>
      <c r="B73" s="1264" t="s">
        <v>609</v>
      </c>
      <c r="C73" s="1277" t="s">
        <v>611</v>
      </c>
      <c r="D73" s="1265">
        <v>386456377</v>
      </c>
      <c r="E73" s="443"/>
      <c r="F73" s="324"/>
    </row>
    <row r="74" spans="1:6">
      <c r="A74" s="1264" t="s">
        <v>63</v>
      </c>
      <c r="B74" s="1264" t="s">
        <v>610</v>
      </c>
      <c r="C74" s="1277" t="s">
        <v>612</v>
      </c>
      <c r="D74" s="1265">
        <v>27584352.054111667</v>
      </c>
      <c r="E74" s="443"/>
      <c r="F74" s="324"/>
    </row>
    <row r="75" spans="1:6">
      <c r="A75" s="1264" t="s">
        <v>64</v>
      </c>
      <c r="B75" s="1264" t="s">
        <v>609</v>
      </c>
      <c r="C75" s="1277" t="s">
        <v>613</v>
      </c>
      <c r="D75" s="1265">
        <v>107510524</v>
      </c>
      <c r="E75" s="443"/>
      <c r="F75" s="324"/>
    </row>
    <row r="76" spans="1:6">
      <c r="A76" s="1264" t="s">
        <v>64</v>
      </c>
      <c r="B76" s="1264" t="s">
        <v>610</v>
      </c>
      <c r="C76" s="1277" t="s">
        <v>614</v>
      </c>
      <c r="D76" s="1265">
        <v>482045.05411166511</v>
      </c>
      <c r="E76" s="443"/>
      <c r="F76" s="324"/>
    </row>
    <row r="77" spans="1:6">
      <c r="A77" s="1264" t="s">
        <v>65</v>
      </c>
      <c r="B77" s="1264" t="s">
        <v>609</v>
      </c>
      <c r="C77" s="1277" t="s">
        <v>615</v>
      </c>
      <c r="D77" s="1265">
        <v>236145299</v>
      </c>
      <c r="E77" s="443"/>
      <c r="F77" s="324"/>
    </row>
    <row r="78" spans="1:6">
      <c r="A78" s="1259" t="s">
        <v>65</v>
      </c>
      <c r="B78" s="1259" t="s">
        <v>610</v>
      </c>
      <c r="C78" s="1259" t="s">
        <v>616</v>
      </c>
      <c r="D78" s="1267">
        <v>24363427</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4578409.8917766698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526</v>
      </c>
      <c r="B90" s="1265">
        <v>16039.624472918733</v>
      </c>
      <c r="C90" s="324"/>
      <c r="D90" s="324"/>
      <c r="E90" s="324"/>
      <c r="F90" s="324"/>
    </row>
    <row r="91" spans="1:6">
      <c r="A91" s="1264" t="s">
        <v>67</v>
      </c>
      <c r="B91" s="1265">
        <v>19857.10317191271</v>
      </c>
      <c r="C91" s="324"/>
      <c r="D91" s="324"/>
      <c r="E91" s="324"/>
      <c r="F91" s="324"/>
    </row>
    <row r="92" spans="1:6">
      <c r="A92" s="1259" t="s">
        <v>68</v>
      </c>
      <c r="B92" s="1260">
        <v>11285.43829924732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12607</v>
      </c>
      <c r="C97" s="324"/>
      <c r="D97" s="324"/>
      <c r="E97" s="324"/>
      <c r="F97" s="324"/>
    </row>
    <row r="98" spans="1:6">
      <c r="A98" s="1264" t="s">
        <v>71</v>
      </c>
      <c r="B98" s="1265">
        <v>2</v>
      </c>
      <c r="C98" s="324"/>
      <c r="D98" s="324"/>
      <c r="E98" s="324"/>
      <c r="F98" s="324"/>
    </row>
    <row r="99" spans="1:6">
      <c r="A99" s="1264" t="s">
        <v>72</v>
      </c>
      <c r="B99" s="1265">
        <v>137</v>
      </c>
      <c r="C99" s="324"/>
      <c r="D99" s="324"/>
      <c r="E99" s="324"/>
      <c r="F99" s="324"/>
    </row>
    <row r="100" spans="1:6">
      <c r="A100" s="1264" t="s">
        <v>73</v>
      </c>
      <c r="B100" s="1265">
        <v>1808</v>
      </c>
      <c r="C100" s="324"/>
      <c r="D100" s="324"/>
      <c r="E100" s="324"/>
      <c r="F100" s="324"/>
    </row>
    <row r="101" spans="1:6">
      <c r="A101" s="1264" t="s">
        <v>74</v>
      </c>
      <c r="B101" s="1265">
        <v>132</v>
      </c>
      <c r="C101" s="324"/>
      <c r="D101" s="324"/>
      <c r="E101" s="324"/>
      <c r="F101" s="324"/>
    </row>
    <row r="102" spans="1:6">
      <c r="A102" s="1264" t="s">
        <v>75</v>
      </c>
      <c r="B102" s="1265">
        <v>416</v>
      </c>
      <c r="C102" s="324"/>
      <c r="D102" s="324"/>
      <c r="E102" s="324"/>
      <c r="F102" s="324"/>
    </row>
    <row r="103" spans="1:6">
      <c r="A103" s="1264" t="s">
        <v>76</v>
      </c>
      <c r="B103" s="1265">
        <v>298</v>
      </c>
      <c r="C103" s="324"/>
      <c r="D103" s="324"/>
      <c r="E103" s="324"/>
      <c r="F103" s="324"/>
    </row>
    <row r="104" spans="1:6">
      <c r="A104" s="1264" t="s">
        <v>77</v>
      </c>
      <c r="B104" s="1265">
        <v>12509</v>
      </c>
      <c r="C104" s="324"/>
      <c r="D104" s="324"/>
      <c r="E104" s="324"/>
      <c r="F104" s="324"/>
    </row>
    <row r="105" spans="1:6">
      <c r="A105" s="1259" t="s">
        <v>78</v>
      </c>
      <c r="B105" s="1267">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599</v>
      </c>
      <c r="B108" s="325"/>
      <c r="C108" s="325"/>
      <c r="D108" s="325"/>
      <c r="E108" s="325"/>
      <c r="F108" s="329"/>
    </row>
    <row r="109" spans="1:6" ht="16.5" thickTop="1" thickBot="1">
      <c r="A109" s="1261" t="s">
        <v>4</v>
      </c>
      <c r="B109" s="1262" t="s">
        <v>5</v>
      </c>
      <c r="C109" s="1262"/>
      <c r="D109" s="1262"/>
      <c r="E109" s="1262"/>
      <c r="F109" s="1263"/>
    </row>
    <row r="110" spans="1:6">
      <c r="A110" s="1264" t="s">
        <v>600</v>
      </c>
      <c r="B110" s="1265">
        <v>0</v>
      </c>
      <c r="C110" s="324"/>
      <c r="D110" s="324"/>
      <c r="E110" s="324"/>
      <c r="F110" s="324"/>
    </row>
    <row r="111" spans="1:6">
      <c r="A111" s="1282" t="s">
        <v>601</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4</v>
      </c>
      <c r="C121" s="1265">
        <v>0</v>
      </c>
      <c r="D121" s="324"/>
      <c r="E121" s="324"/>
      <c r="F121" s="324"/>
    </row>
    <row r="122" spans="1:6">
      <c r="A122" s="1264" t="s">
        <v>86</v>
      </c>
      <c r="B122" s="1265">
        <v>0</v>
      </c>
      <c r="C122" s="1265">
        <v>0</v>
      </c>
      <c r="D122" s="324"/>
      <c r="E122" s="324"/>
      <c r="F122" s="324"/>
    </row>
    <row r="123" spans="1:6">
      <c r="A123" s="1264" t="s">
        <v>87</v>
      </c>
      <c r="B123" s="1265">
        <v>151</v>
      </c>
      <c r="C123" s="1265">
        <v>191</v>
      </c>
      <c r="D123" s="324"/>
      <c r="E123" s="324"/>
      <c r="F123" s="324"/>
    </row>
    <row r="124" spans="1:6">
      <c r="A124" s="1264" t="s">
        <v>88</v>
      </c>
      <c r="B124" s="1265">
        <v>6</v>
      </c>
      <c r="C124" s="1265">
        <v>10</v>
      </c>
      <c r="D124" s="324"/>
      <c r="E124" s="324"/>
      <c r="F124" s="324"/>
    </row>
    <row r="125" spans="1:6">
      <c r="A125" s="1259" t="s">
        <v>795</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604</v>
      </c>
      <c r="C129" s="324"/>
      <c r="D129" s="324"/>
      <c r="E129" s="324"/>
      <c r="F129" s="324"/>
    </row>
    <row r="130" spans="1:6">
      <c r="A130" s="1264" t="s">
        <v>284</v>
      </c>
      <c r="B130" s="1265">
        <v>8</v>
      </c>
      <c r="C130" s="324"/>
      <c r="D130" s="324"/>
      <c r="E130" s="324"/>
      <c r="F130" s="324"/>
    </row>
    <row r="131" spans="1:6">
      <c r="A131" s="1264" t="s">
        <v>285</v>
      </c>
      <c r="B131" s="1265">
        <v>10</v>
      </c>
      <c r="C131" s="324"/>
      <c r="D131" s="324"/>
      <c r="E131" s="324"/>
      <c r="F131" s="324"/>
    </row>
    <row r="132" spans="1:6">
      <c r="A132" s="1259" t="s">
        <v>286</v>
      </c>
      <c r="B132" s="1260">
        <v>128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809</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738</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809</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767</v>
      </c>
      <c r="B41" s="505">
        <v>0.08</v>
      </c>
      <c r="E41" s="636"/>
      <c r="F41" s="636"/>
      <c r="G41" s="863"/>
      <c r="H41" s="863"/>
    </row>
    <row r="42" spans="1:14" s="999" customFormat="1">
      <c r="A42" s="118" t="s">
        <v>768</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766</v>
      </c>
      <c r="B46" s="501"/>
      <c r="E46" s="636"/>
      <c r="F46" s="636"/>
    </row>
    <row r="47" spans="1:14">
      <c r="A47" s="44"/>
      <c r="B47" s="501"/>
      <c r="E47" s="636"/>
      <c r="F47" s="636"/>
    </row>
    <row r="48" spans="1:14" ht="18">
      <c r="A48" s="136" t="s">
        <v>183</v>
      </c>
      <c r="B48" s="502" t="s">
        <v>552</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580</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770</v>
      </c>
    </row>
    <row r="5" spans="1:3" ht="15.75" thickBot="1">
      <c r="A5" s="873" t="s">
        <v>579</v>
      </c>
      <c r="B5" s="879">
        <v>675915.6</v>
      </c>
      <c r="C5" s="880" t="s">
        <v>769</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407655.48773547489</v>
      </c>
      <c r="C3" s="43" t="s">
        <v>163</v>
      </c>
      <c r="D3" s="43"/>
      <c r="E3" s="153"/>
      <c r="F3" s="43"/>
      <c r="G3" s="43"/>
      <c r="H3" s="43"/>
      <c r="I3" s="43"/>
      <c r="J3" s="43"/>
      <c r="K3" s="96"/>
    </row>
    <row r="4" spans="1:11">
      <c r="A4" s="350" t="s">
        <v>164</v>
      </c>
      <c r="B4" s="49">
        <f>IF(ISERROR('SEAP template'!B78+'SEAP template'!C78),0,'SEAP template'!B78+'SEAP template'!C78)</f>
        <v>54443.815944078764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653</v>
      </c>
      <c r="G6" s="43" t="s">
        <v>658</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1431.6215294117649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0.19499651884213512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2045.1736134453788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8605.9285714285706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0.23764705882352952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608</v>
      </c>
      <c r="B6" s="406" t="s">
        <v>752</v>
      </c>
      <c r="C6" s="407" t="s">
        <v>345</v>
      </c>
    </row>
    <row r="7" spans="1:3" s="324" customFormat="1">
      <c r="A7" s="867" t="s">
        <v>754</v>
      </c>
      <c r="B7" s="408" t="s">
        <v>561</v>
      </c>
      <c r="C7" s="409" t="s">
        <v>560</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626</v>
      </c>
      <c r="B1" s="842" t="s">
        <v>297</v>
      </c>
      <c r="C1" s="842" t="s">
        <v>301</v>
      </c>
      <c r="D1" s="842" t="s">
        <v>302</v>
      </c>
      <c r="E1" s="842" t="s">
        <v>303</v>
      </c>
      <c r="F1" s="842" t="s">
        <v>304</v>
      </c>
      <c r="H1" s="1021" t="s">
        <v>856</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609</v>
      </c>
      <c r="C3" s="1020" t="s">
        <v>64</v>
      </c>
      <c r="D3" s="1020" t="s">
        <v>813</v>
      </c>
      <c r="E3" s="1020" t="s">
        <v>814</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609</v>
      </c>
      <c r="C4" s="1020" t="s">
        <v>63</v>
      </c>
      <c r="D4" s="1020" t="s">
        <v>813</v>
      </c>
      <c r="E4" s="1020" t="s">
        <v>814</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609</v>
      </c>
      <c r="C5" s="1020" t="s">
        <v>65</v>
      </c>
      <c r="D5" s="1020" t="s">
        <v>813</v>
      </c>
      <c r="E5" s="1020" t="s">
        <v>814</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609</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609</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609</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610</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610</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610</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625</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625</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625</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609</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609</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609</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609</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609</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609</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609</v>
      </c>
      <c r="C21" s="1020" t="s">
        <v>64</v>
      </c>
      <c r="D21" s="1020" t="s">
        <v>815</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609</v>
      </c>
      <c r="C22" s="1020" t="s">
        <v>64</v>
      </c>
      <c r="D22" s="1020" t="s">
        <v>815</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609</v>
      </c>
      <c r="C23" s="1020" t="s">
        <v>63</v>
      </c>
      <c r="D23" s="1020" t="s">
        <v>815</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609</v>
      </c>
      <c r="C24" s="1020" t="s">
        <v>63</v>
      </c>
      <c r="D24" s="1020" t="s">
        <v>815</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609</v>
      </c>
      <c r="C25" s="1020" t="s">
        <v>65</v>
      </c>
      <c r="D25" s="1020" t="s">
        <v>815</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609</v>
      </c>
      <c r="C26" s="1020" t="s">
        <v>65</v>
      </c>
      <c r="D26" s="1020" t="s">
        <v>815</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609</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609</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609</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609</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609</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609</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609</v>
      </c>
      <c r="C33" s="1020" t="s">
        <v>64</v>
      </c>
      <c r="D33" s="1020" t="s">
        <v>816</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609</v>
      </c>
      <c r="C34" s="1020" t="s">
        <v>63</v>
      </c>
      <c r="D34" s="1020" t="s">
        <v>816</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609</v>
      </c>
      <c r="C35" s="1020" t="s">
        <v>65</v>
      </c>
      <c r="D35" s="1020" t="s">
        <v>816</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609</v>
      </c>
      <c r="C36" s="1020" t="s">
        <v>64</v>
      </c>
      <c r="D36" s="1020" t="s">
        <v>817</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609</v>
      </c>
      <c r="C37" s="1020" t="s">
        <v>64</v>
      </c>
      <c r="D37" s="1020" t="s">
        <v>817</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609</v>
      </c>
      <c r="C38" s="1020" t="s">
        <v>63</v>
      </c>
      <c r="D38" s="1020" t="s">
        <v>817</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609</v>
      </c>
      <c r="C39" s="1020" t="s">
        <v>63</v>
      </c>
      <c r="D39" s="1020" t="s">
        <v>817</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609</v>
      </c>
      <c r="C40" s="1020" t="s">
        <v>65</v>
      </c>
      <c r="D40" s="1020" t="s">
        <v>817</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609</v>
      </c>
      <c r="C41" s="1020" t="s">
        <v>65</v>
      </c>
      <c r="D41" s="1020" t="s">
        <v>817</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610</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610</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610</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610</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610</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610</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625</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625</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625</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625</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625</v>
      </c>
      <c r="C52" s="1020" t="s">
        <v>64</v>
      </c>
      <c r="D52" s="1020" t="s">
        <v>815</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625</v>
      </c>
      <c r="C53" s="1020" t="s">
        <v>64</v>
      </c>
      <c r="D53" s="1020" t="s">
        <v>815</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625</v>
      </c>
      <c r="C54" s="1020" t="s">
        <v>63</v>
      </c>
      <c r="D54" s="1020" t="s">
        <v>815</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625</v>
      </c>
      <c r="C55" s="1020" t="s">
        <v>63</v>
      </c>
      <c r="D55" s="1020" t="s">
        <v>815</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607</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5022.3219440000003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5022.3219440000003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0.19499651884213512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979.33529558446469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107198.493751002</v>
      </c>
      <c r="C5" s="17">
        <f>IF(ISERROR('Eigen informatie GS &amp; warmtenet'!B59),0,'Eigen informatie GS &amp; warmtenet'!B59)</f>
        <v>0</v>
      </c>
      <c r="D5" s="30">
        <f>(SUM(HH_hh_gas_kWh,HH_rest_gas_kWh)/1000)*0.903</f>
        <v>306352.87157258339</v>
      </c>
      <c r="E5" s="17">
        <f>B32*B41</f>
        <v>9350.5959273518165</v>
      </c>
      <c r="F5" s="17">
        <f>B36*B45</f>
        <v>153234.59183220181</v>
      </c>
      <c r="G5" s="18"/>
      <c r="H5" s="17"/>
      <c r="I5" s="17"/>
      <c r="J5" s="17">
        <f>B35*B44+C35*C44</f>
        <v>845.77814865584014</v>
      </c>
      <c r="K5" s="17"/>
      <c r="L5" s="17"/>
      <c r="M5" s="17"/>
      <c r="N5" s="17">
        <f>B34*B43+C34*C43</f>
        <v>45802.820799645378</v>
      </c>
      <c r="O5" s="17">
        <f>B52*B53*B54</f>
        <v>1597.0863666065604</v>
      </c>
      <c r="P5" s="17">
        <f>B60*B61*B62/1000-B60*B61*B62/1000/B63</f>
        <v>3002.1784026902315</v>
      </c>
    </row>
    <row r="6" spans="1:16">
      <c r="A6" s="16" t="s">
        <v>575</v>
      </c>
      <c r="B6" s="739">
        <f>kWh_PV_kleiner_dan_10kW</f>
        <v>19857.10317191271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127055.5969229147</v>
      </c>
      <c r="C8" s="21">
        <f>C5</f>
        <v>0</v>
      </c>
      <c r="D8" s="21">
        <f>D5</f>
        <v>306352.87157258339</v>
      </c>
      <c r="E8" s="21">
        <f>E5</f>
        <v>9350.5959273518165</v>
      </c>
      <c r="F8" s="21">
        <f>F5</f>
        <v>153234.59183220181</v>
      </c>
      <c r="G8" s="21"/>
      <c r="H8" s="21"/>
      <c r="I8" s="21"/>
      <c r="J8" s="21">
        <f>J5</f>
        <v>845.77814865584014</v>
      </c>
      <c r="K8" s="21"/>
      <c r="L8" s="21">
        <f>L5</f>
        <v>0</v>
      </c>
      <c r="M8" s="21">
        <f>M5</f>
        <v>0</v>
      </c>
      <c r="N8" s="21">
        <f>N5</f>
        <v>45802.820799645378</v>
      </c>
      <c r="O8" s="21">
        <f>O5</f>
        <v>1597.0863666065604</v>
      </c>
      <c r="P8" s="21">
        <f>P5</f>
        <v>3002.1784026902315</v>
      </c>
    </row>
    <row r="9" spans="1:16">
      <c r="B9" s="19"/>
      <c r="C9" s="19"/>
      <c r="D9" s="253"/>
      <c r="E9" s="19"/>
      <c r="F9" s="19"/>
      <c r="G9" s="19"/>
      <c r="H9" s="19"/>
      <c r="I9" s="19"/>
      <c r="J9" s="19"/>
      <c r="K9" s="19"/>
      <c r="L9" s="19"/>
      <c r="M9" s="19"/>
      <c r="N9" s="19"/>
      <c r="O9" s="19"/>
      <c r="P9" s="19"/>
    </row>
    <row r="10" spans="1:16">
      <c r="A10" s="24" t="s">
        <v>207</v>
      </c>
      <c r="B10" s="25">
        <f ca="1">'EF ele_warmte'!B12</f>
        <v>0.19499651884213512</v>
      </c>
      <c r="C10" s="25">
        <f ca="1">'EF ele_warmte'!B22</f>
        <v>0.23764705882352952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24775.399099377861</v>
      </c>
      <c r="C12" s="23">
        <f ca="1">C10*C8</f>
        <v>0</v>
      </c>
      <c r="D12" s="23">
        <f>D8*D10</f>
        <v>61883.280057661847</v>
      </c>
      <c r="E12" s="23">
        <f>E10*E8</f>
        <v>2122.5852755088622</v>
      </c>
      <c r="F12" s="23">
        <f>F10*F8</f>
        <v>40913.636019197889</v>
      </c>
      <c r="G12" s="23"/>
      <c r="H12" s="23"/>
      <c r="I12" s="23"/>
      <c r="J12" s="23">
        <f>J10*J8</f>
        <v>299.40546462416739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838</v>
      </c>
      <c r="B17" s="198" t="s">
        <v>830</v>
      </c>
      <c r="C17" s="198" t="s">
        <v>831</v>
      </c>
      <c r="D17" s="223" t="s">
        <v>175</v>
      </c>
      <c r="E17" s="15"/>
    </row>
    <row r="18" spans="1:5">
      <c r="A18" s="167" t="s">
        <v>77</v>
      </c>
      <c r="B18" s="1029">
        <v>0.61787831163259088</v>
      </c>
      <c r="C18" s="1030"/>
      <c r="D18" s="224" t="s">
        <v>840</v>
      </c>
      <c r="E18" s="15"/>
    </row>
    <row r="19" spans="1:5">
      <c r="A19" s="167" t="s">
        <v>832</v>
      </c>
      <c r="B19" s="1029">
        <v>6.7051942880099339E-3</v>
      </c>
      <c r="C19" s="1031"/>
      <c r="D19" s="225"/>
      <c r="E19" s="15"/>
    </row>
    <row r="20" spans="1:5">
      <c r="A20" s="167" t="s">
        <v>833</v>
      </c>
      <c r="B20" s="1029"/>
      <c r="C20" s="1031"/>
      <c r="D20" s="225"/>
      <c r="E20" s="15"/>
    </row>
    <row r="21" spans="1:5">
      <c r="A21" s="167" t="s">
        <v>834</v>
      </c>
      <c r="B21" s="1029">
        <v>1.5424962185705871E-2</v>
      </c>
      <c r="C21" s="1031"/>
      <c r="D21" s="225"/>
      <c r="E21" s="15"/>
    </row>
    <row r="22" spans="1:5">
      <c r="A22" s="167" t="s">
        <v>835</v>
      </c>
      <c r="B22" s="1029">
        <v>0.25047083642294699</v>
      </c>
      <c r="C22" s="1030"/>
      <c r="D22" s="225"/>
      <c r="E22" s="15"/>
    </row>
    <row r="23" spans="1:5">
      <c r="A23" s="167" t="s">
        <v>78</v>
      </c>
      <c r="B23" s="1029"/>
      <c r="C23" s="1030"/>
      <c r="D23" s="224"/>
      <c r="E23" s="52"/>
    </row>
    <row r="24" spans="1:5">
      <c r="A24" s="167" t="s">
        <v>836</v>
      </c>
      <c r="B24" s="1029">
        <v>0.10952069547074604</v>
      </c>
      <c r="C24" s="1030">
        <v>0.16799993181258832</v>
      </c>
      <c r="D24" s="224"/>
      <c r="E24" s="15"/>
    </row>
    <row r="25" spans="1:5" s="15" customFormat="1">
      <c r="A25" s="167"/>
      <c r="B25" s="29"/>
      <c r="C25" s="36"/>
      <c r="D25" s="224"/>
    </row>
    <row r="26" spans="1:5" s="15" customFormat="1">
      <c r="A26" s="226" t="s">
        <v>785</v>
      </c>
      <c r="B26" s="37">
        <f>aantalHuishoudens</f>
        <v>35520</v>
      </c>
      <c r="C26" s="36"/>
      <c r="D26" s="224"/>
    </row>
    <row r="27" spans="1:5" s="15" customFormat="1">
      <c r="A27" s="226" t="s">
        <v>786</v>
      </c>
      <c r="B27" s="37">
        <f>SUM(HH_hh_gas_aantal,HH_rest_gas_aantal)</f>
        <v>24501</v>
      </c>
      <c r="C27" s="36"/>
      <c r="D27" s="224"/>
    </row>
    <row r="28" spans="1:5" s="15" customFormat="1">
      <c r="A28" s="227"/>
      <c r="B28" s="29"/>
      <c r="C28" s="36"/>
      <c r="D28" s="228"/>
    </row>
    <row r="29" spans="1:5">
      <c r="A29" s="3"/>
      <c r="B29" s="43"/>
      <c r="C29" s="43"/>
      <c r="D29" s="170"/>
    </row>
    <row r="30" spans="1:5">
      <c r="A30" s="168" t="s">
        <v>457</v>
      </c>
      <c r="B30" s="165" t="s">
        <v>788</v>
      </c>
      <c r="C30" s="165" t="s">
        <v>787</v>
      </c>
      <c r="D30" s="170"/>
    </row>
    <row r="31" spans="1:5">
      <c r="A31" s="167" t="s">
        <v>837</v>
      </c>
      <c r="B31" s="33">
        <f>B27-(0.05*B27)</f>
        <v>23275.95</v>
      </c>
      <c r="C31" s="34" t="s">
        <v>104</v>
      </c>
      <c r="D31" s="170"/>
    </row>
    <row r="32" spans="1:5">
      <c r="A32" s="167" t="s">
        <v>72</v>
      </c>
      <c r="B32" s="33">
        <f>IF((B21*($B$26-($B$27-0.05*$B$27)-$B$60))&lt;0,0,B21*($B$26-($B$27-0.05*$B$27)-$B$60))</f>
        <v>184.46789402696578</v>
      </c>
      <c r="C32" s="34" t="s">
        <v>104</v>
      </c>
      <c r="D32" s="170"/>
    </row>
    <row r="33" spans="1:6">
      <c r="A33" s="167" t="s">
        <v>73</v>
      </c>
      <c r="B33" s="33">
        <f>IF((B22*($B$26-($B$27-0.05*$B$27)-$B$60))&lt;0,0,B22*($B$26-($B$27-0.05*$B$27)-$B$60))</f>
        <v>2995.3932563238441</v>
      </c>
      <c r="C33" s="34" t="s">
        <v>104</v>
      </c>
      <c r="D33" s="170"/>
    </row>
    <row r="34" spans="1:6">
      <c r="A34" s="167" t="s">
        <v>74</v>
      </c>
      <c r="B34" s="33">
        <f>IF((B24*($B$26-($B$27-0.05*$B$27)-$B$60))&lt;0,0,B24*($B$26-($B$27-0.05*$B$27)-$B$60))</f>
        <v>1309.7634731694254</v>
      </c>
      <c r="C34" s="33">
        <f>B26*C24</f>
        <v>5967.3575779831372</v>
      </c>
      <c r="D34" s="229"/>
    </row>
    <row r="35" spans="1:6">
      <c r="A35" s="167" t="s">
        <v>76</v>
      </c>
      <c r="B35" s="33">
        <f>IF((B19*($B$26-($B$27-0.05*$B$27)-$B$60))&lt;0,0,B19*($B$26-($B$27-0.05*$B$27)-$B$60))</f>
        <v>80.187753750025195</v>
      </c>
      <c r="C35" s="33">
        <f>B35/2</f>
        <v>40.093876875012597</v>
      </c>
      <c r="D35" s="229"/>
    </row>
    <row r="36" spans="1:6">
      <c r="A36" s="167" t="s">
        <v>77</v>
      </c>
      <c r="B36" s="33">
        <f>IF((B18*($B$26-($B$27-0.05*$B$27)-$B$60))&lt;0,0,B18*($B$26-($B$27-0.05*$B$27)-$B$60))</f>
        <v>7389.2376227297354</v>
      </c>
      <c r="C36" s="34" t="s">
        <v>104</v>
      </c>
      <c r="D36" s="170"/>
    </row>
    <row r="37" spans="1:6">
      <c r="A37" s="167" t="s">
        <v>78</v>
      </c>
      <c r="B37" s="33">
        <f>B60</f>
        <v>285</v>
      </c>
      <c r="C37" s="34" t="s">
        <v>104</v>
      </c>
      <c r="D37" s="170"/>
    </row>
    <row r="38" spans="1:6">
      <c r="A38" s="3"/>
      <c r="B38" s="43"/>
      <c r="C38" s="43"/>
      <c r="D38" s="170"/>
    </row>
    <row r="39" spans="1:6">
      <c r="A39" s="168" t="s">
        <v>460</v>
      </c>
      <c r="B39" s="164" t="s">
        <v>789</v>
      </c>
      <c r="C39" s="164" t="s">
        <v>784</v>
      </c>
      <c r="D39" s="294" t="s">
        <v>840</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805</v>
      </c>
      <c r="C52" s="43"/>
      <c r="D52" s="169"/>
    </row>
    <row r="53" spans="1:4">
      <c r="A53" s="167" t="s">
        <v>455</v>
      </c>
      <c r="B53" s="307">
        <v>5.3300370073084435</v>
      </c>
      <c r="C53" s="43"/>
      <c r="D53" s="301" t="s">
        <v>748</v>
      </c>
    </row>
    <row r="54" spans="1:4">
      <c r="A54" s="240" t="s">
        <v>456</v>
      </c>
      <c r="B54" s="312">
        <f>1.34/3.6</f>
        <v>0.37222222222222223</v>
      </c>
      <c r="C54" s="43" t="s">
        <v>208</v>
      </c>
      <c r="D54" s="301" t="s">
        <v>749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285</v>
      </c>
      <c r="C60" s="32"/>
      <c r="D60" s="173"/>
    </row>
    <row r="61" spans="1:4">
      <c r="A61" s="167" t="s">
        <v>425</v>
      </c>
      <c r="B61" s="307">
        <v>8.5956185892968069</v>
      </c>
      <c r="C61" s="32" t="s">
        <v>252</v>
      </c>
      <c r="D61" s="301" t="s">
        <v>748</v>
      </c>
    </row>
    <row r="62" spans="1:4">
      <c r="A62" s="167" t="s">
        <v>426</v>
      </c>
      <c r="B62" s="307">
        <v>1671.14092090028</v>
      </c>
      <c r="C62" s="32" t="s">
        <v>254</v>
      </c>
      <c r="D62" s="301" t="s">
        <v>748</v>
      </c>
    </row>
    <row r="63" spans="1:4">
      <c r="A63" s="167" t="s">
        <v>388</v>
      </c>
      <c r="B63" s="307">
        <v>3.75</v>
      </c>
      <c r="C63" s="43"/>
      <c r="D63" s="301" t="s">
        <v>749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197047.25856300001</v>
      </c>
      <c r="C5" s="17">
        <f>IF(ISERROR('Eigen informatie GS &amp; warmtenet'!B60),0,'Eigen informatie GS &amp; warmtenet'!B60)</f>
        <v>0</v>
      </c>
      <c r="D5" s="30">
        <f>SUM(D6:D12)</f>
        <v>213038.56386918004</v>
      </c>
      <c r="E5" s="17">
        <f>SUM(E6:E12)</f>
        <v>468.81396499517342</v>
      </c>
      <c r="F5" s="17">
        <f>SUM(F6:F12)</f>
        <v>32759.647858054377</v>
      </c>
      <c r="G5" s="18"/>
      <c r="H5" s="17"/>
      <c r="I5" s="17"/>
      <c r="J5" s="17">
        <f>SUM(J6:J12)</f>
        <v>0.1669329423273202</v>
      </c>
      <c r="K5" s="17"/>
      <c r="L5" s="17"/>
      <c r="M5" s="17"/>
      <c r="N5" s="17">
        <f>SUM(N6:N12)</f>
        <v>6049.5404650559522</v>
      </c>
      <c r="O5" s="17">
        <f>B38*B39*B40</f>
        <v>39.178086126729234</v>
      </c>
      <c r="P5" s="17">
        <f>B46*B47*B48/1000-B46*B47*B48/1000/B49</f>
        <v>735.54793629093024</v>
      </c>
      <c r="R5" s="32"/>
    </row>
    <row r="6" spans="1:18">
      <c r="A6" s="32" t="s">
        <v>53</v>
      </c>
      <c r="B6" s="37">
        <f>B26</f>
        <v>70739.951786999998</v>
      </c>
      <c r="C6" s="33"/>
      <c r="D6" s="37">
        <f>IF(ISERROR(TER_kantoor_gas_kWh/1000),0,TER_kantoor_gas_kWh/1000)*0.903</f>
        <v>65078.694094428</v>
      </c>
      <c r="E6" s="33">
        <f>$C$26*'E Balans VL '!I12/100/3.6*1000000</f>
        <v>17.204456939769337</v>
      </c>
      <c r="F6" s="33">
        <f>$C$26*('E Balans VL '!L12+'E Balans VL '!N12)/100/3.6*1000000</f>
        <v>6773.7983186995352</v>
      </c>
      <c r="G6" s="34"/>
      <c r="H6" s="33"/>
      <c r="I6" s="33"/>
      <c r="J6" s="33">
        <f>$C$26*('E Balans VL '!D12+'E Balans VL '!E12)/100/3.6*1000000</f>
        <v>0</v>
      </c>
      <c r="K6" s="33"/>
      <c r="L6" s="33"/>
      <c r="M6" s="33"/>
      <c r="N6" s="33">
        <f>$C$26*'E Balans VL '!Y12/100/3.6*1000000</f>
        <v>35.912835338105261</v>
      </c>
      <c r="O6" s="33"/>
      <c r="P6" s="33"/>
      <c r="R6" s="32"/>
    </row>
    <row r="7" spans="1:18">
      <c r="A7" s="32" t="s">
        <v>52</v>
      </c>
      <c r="B7" s="37">
        <f t="shared" ref="B7:B12" si="0">B27</f>
        <v>20878.386574</v>
      </c>
      <c r="C7" s="33"/>
      <c r="D7" s="37">
        <f>IF(ISERROR(TER_horeca_gas_kWh/1000),0,TER_horeca_gas_kWh/1000)*0.903</f>
        <v>32105.113083561002</v>
      </c>
      <c r="E7" s="33">
        <f>$C$27*'E Balans VL '!I9/100/3.6*1000000</f>
        <v>0</v>
      </c>
      <c r="F7" s="33">
        <f>$C$27*('E Balans VL '!L9+'E Balans VL '!N9)/100/3.6*1000000</f>
        <v>1712.4262475642486</v>
      </c>
      <c r="G7" s="34"/>
      <c r="H7" s="33"/>
      <c r="I7" s="33"/>
      <c r="J7" s="33">
        <f>$C$27*('E Balans VL '!D9+'E Balans VL '!E9)/100/3.6*1000000</f>
        <v>0</v>
      </c>
      <c r="K7" s="33"/>
      <c r="L7" s="33"/>
      <c r="M7" s="33"/>
      <c r="N7" s="33">
        <f>$C$27*'E Balans VL '!Y9/100/3.6*1000000</f>
        <v>137.12510604220464</v>
      </c>
      <c r="O7" s="33"/>
      <c r="P7" s="33"/>
      <c r="R7" s="32"/>
    </row>
    <row r="8" spans="1:18">
      <c r="A8" s="6" t="s">
        <v>51</v>
      </c>
      <c r="B8" s="37">
        <f t="shared" si="0"/>
        <v>59129.042994000003</v>
      </c>
      <c r="C8" s="33"/>
      <c r="D8" s="37">
        <f>IF(ISERROR(TER_handel_gas_kWh/1000),0,TER_handel_gas_kWh/1000)*0.903</f>
        <v>35554.100120154006</v>
      </c>
      <c r="E8" s="33">
        <f>$C$28*'E Balans VL '!I13/100/3.6*1000000</f>
        <v>209.02423018075874</v>
      </c>
      <c r="F8" s="33">
        <f>$C$28*('E Balans VL '!L13+'E Balans VL '!N13)/100/3.6*1000000</f>
        <v>5444.5199981792066</v>
      </c>
      <c r="G8" s="34"/>
      <c r="H8" s="33"/>
      <c r="I8" s="33"/>
      <c r="J8" s="33">
        <f>$C$28*('E Balans VL '!D13+'E Balans VL '!E13)/100/3.6*1000000</f>
        <v>0</v>
      </c>
      <c r="K8" s="33"/>
      <c r="L8" s="33"/>
      <c r="M8" s="33"/>
      <c r="N8" s="33">
        <f>$C$28*'E Balans VL '!Y13/100/3.6*1000000</f>
        <v>21.413993771857736</v>
      </c>
      <c r="O8" s="33"/>
      <c r="P8" s="33"/>
      <c r="R8" s="32"/>
    </row>
    <row r="9" spans="1:18">
      <c r="A9" s="32" t="s">
        <v>50</v>
      </c>
      <c r="B9" s="37">
        <f t="shared" si="0"/>
        <v>18715.054004999998</v>
      </c>
      <c r="C9" s="33"/>
      <c r="D9" s="37">
        <f>IF(ISERROR(TER_gezond_gas_kWh/1000),0,TER_gezond_gas_kWh/1000)*0.903</f>
        <v>41014.118771703004</v>
      </c>
      <c r="E9" s="33">
        <f>$C$29*'E Balans VL '!I10/100/3.6*1000000</f>
        <v>0</v>
      </c>
      <c r="F9" s="33">
        <f>$C$29*('E Balans VL '!L10+'E Balans VL '!N10)/100/3.6*1000000</f>
        <v>2299.0679776776087</v>
      </c>
      <c r="G9" s="34"/>
      <c r="H9" s="33"/>
      <c r="I9" s="33"/>
      <c r="J9" s="33">
        <f>$C$29*('E Balans VL '!D10+'E Balans VL '!E10)/100/3.6*1000000</f>
        <v>0</v>
      </c>
      <c r="K9" s="33"/>
      <c r="L9" s="33"/>
      <c r="M9" s="33"/>
      <c r="N9" s="33">
        <f>$C$29*'E Balans VL '!Y10/100/3.6*1000000</f>
        <v>138.0104816109982</v>
      </c>
      <c r="O9" s="33"/>
      <c r="P9" s="33"/>
      <c r="R9" s="32"/>
    </row>
    <row r="10" spans="1:18">
      <c r="A10" s="32" t="s">
        <v>49</v>
      </c>
      <c r="B10" s="37">
        <f t="shared" si="0"/>
        <v>16903.197964000003</v>
      </c>
      <c r="C10" s="33"/>
      <c r="D10" s="37">
        <f>IF(ISERROR(TER_ander_gas_kWh/1000),0,TER_ander_gas_kWh/1000)*0.903</f>
        <v>17195.282771688002</v>
      </c>
      <c r="E10" s="33">
        <f>$C$30*'E Balans VL '!I14/100/3.6*1000000</f>
        <v>242.58527787464536</v>
      </c>
      <c r="F10" s="33">
        <f>$C$30*('E Balans VL '!L14+'E Balans VL '!N14)/100/3.6*1000000</f>
        <v>15281.026124292081</v>
      </c>
      <c r="G10" s="34"/>
      <c r="H10" s="33"/>
      <c r="I10" s="33"/>
      <c r="J10" s="33">
        <f>$C$30*('E Balans VL '!D14+'E Balans VL '!E14)/100/3.6*1000000</f>
        <v>0.1669329423273202</v>
      </c>
      <c r="K10" s="33"/>
      <c r="L10" s="33"/>
      <c r="M10" s="33"/>
      <c r="N10" s="33">
        <f>$C$30*'E Balans VL '!Y14/100/3.6*1000000</f>
        <v>5686.9998182037916</v>
      </c>
      <c r="O10" s="33"/>
      <c r="P10" s="33"/>
      <c r="R10" s="32"/>
    </row>
    <row r="11" spans="1:18">
      <c r="A11" s="32" t="s">
        <v>54</v>
      </c>
      <c r="B11" s="37">
        <f t="shared" si="0"/>
        <v>10681.625239000001</v>
      </c>
      <c r="C11" s="33"/>
      <c r="D11" s="37">
        <f>IF(ISERROR(TER_onderwijs_gas_kWh/1000),0,TER_onderwijs_gas_kWh/1000)*0.903</f>
        <v>22091.255027646002</v>
      </c>
      <c r="E11" s="33">
        <f>$C$31*'E Balans VL '!I11/100/3.6*1000000</f>
        <v>0</v>
      </c>
      <c r="F11" s="33">
        <f>$C$31*('E Balans VL '!L11+'E Balans VL '!N11)/100/3.6*1000000</f>
        <v>1248.8091916416965</v>
      </c>
      <c r="G11" s="34"/>
      <c r="H11" s="33"/>
      <c r="I11" s="33"/>
      <c r="J11" s="33">
        <f>$C$31*('E Balans VL '!D11+'E Balans VL '!E11)/100/3.6*1000000</f>
        <v>0</v>
      </c>
      <c r="K11" s="33"/>
      <c r="L11" s="33"/>
      <c r="M11" s="33"/>
      <c r="N11" s="33">
        <f>$C$31*'E Balans VL '!Y11/100/3.6*1000000</f>
        <v>30.07823008899517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energieproductie'!N46+'lokale energieproductie'!N39</f>
        <v>7036.65</v>
      </c>
      <c r="C13" s="242">
        <f ca="1">'lokale energieproductie'!O46+'lokale energieproductie'!O39</f>
        <v>8284.5</v>
      </c>
      <c r="D13" s="302">
        <f ca="1">('lokale energieproductie'!P39+'lokale energieproductie'!P46)*(-1)</f>
        <v>-16569.000000000004</v>
      </c>
      <c r="E13" s="243"/>
      <c r="F13" s="302">
        <f ca="1">('lokale energieproductie'!S39+'lokale energieproductie'!S46)*(-1)</f>
        <v>0</v>
      </c>
      <c r="G13" s="244"/>
      <c r="H13" s="243"/>
      <c r="I13" s="243"/>
      <c r="J13" s="243"/>
      <c r="K13" s="243"/>
      <c r="L13" s="302">
        <f ca="1">('lokale energieproductie'!U39+'lokale energieproductie'!T39+'lokale energieproductie'!U46+'lokale energieproductie'!T46)*(-1)</f>
        <v>0</v>
      </c>
      <c r="M13" s="243"/>
      <c r="N13" s="302">
        <f ca="1">('lokale energieproductie'!Q39+'lokale energieproductie'!R39+'lokale energieproductie'!V39+'lokale energieproductie'!Q46+'lokale energieproductie'!R46+'lokale energieproductie'!V46)*(-1)</f>
        <v>-3535.7142857142858</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204083.908563</v>
      </c>
      <c r="C16" s="21">
        <f t="shared" ca="1" si="1"/>
        <v>8284.5</v>
      </c>
      <c r="D16" s="21">
        <f t="shared" ca="1" si="1"/>
        <v>196469.56386918004</v>
      </c>
      <c r="E16" s="21">
        <f t="shared" si="1"/>
        <v>468.81396499517342</v>
      </c>
      <c r="F16" s="21">
        <f t="shared" ca="1" si="1"/>
        <v>32759.647858054377</v>
      </c>
      <c r="G16" s="21">
        <f t="shared" si="1"/>
        <v>0</v>
      </c>
      <c r="H16" s="21">
        <f t="shared" si="1"/>
        <v>0</v>
      </c>
      <c r="I16" s="21">
        <f t="shared" si="1"/>
        <v>0</v>
      </c>
      <c r="J16" s="21">
        <f t="shared" si="1"/>
        <v>0.1669329423273202</v>
      </c>
      <c r="K16" s="21">
        <f t="shared" si="1"/>
        <v>0</v>
      </c>
      <c r="L16" s="21">
        <f t="shared" ca="1" si="1"/>
        <v>0</v>
      </c>
      <c r="M16" s="21">
        <f t="shared" si="1"/>
        <v>0</v>
      </c>
      <c r="N16" s="21">
        <f t="shared" ca="1" si="1"/>
        <v>2513.8261793416664</v>
      </c>
      <c r="O16" s="21">
        <f>O5</f>
        <v>39.178086126729234</v>
      </c>
      <c r="P16" s="21">
        <f>P5</f>
        <v>735.54793629093024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0.19499651884213512</v>
      </c>
      <c r="C18" s="25">
        <f ca="1">'EF ele_warmte'!B22</f>
        <v>0.23764705882352952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39795.651721481612</v>
      </c>
      <c r="C20" s="23">
        <f t="shared" ref="C20:P20" ca="1" si="2">C16*C18</f>
        <v>1968.7870588235303</v>
      </c>
      <c r="D20" s="23">
        <f t="shared" ca="1" si="2"/>
        <v>39686.851901574373</v>
      </c>
      <c r="E20" s="23">
        <f t="shared" si="2"/>
        <v>106.42077005390438</v>
      </c>
      <c r="F20" s="23">
        <f t="shared" ca="1" si="2"/>
        <v>8746.8259781005199</v>
      </c>
      <c r="G20" s="23">
        <f t="shared" si="2"/>
        <v>0</v>
      </c>
      <c r="H20" s="23">
        <f t="shared" si="2"/>
        <v>0</v>
      </c>
      <c r="I20" s="23">
        <f t="shared" si="2"/>
        <v>0</v>
      </c>
      <c r="J20" s="23">
        <f t="shared" si="2"/>
        <v>5.9094261583871349E-2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70739.951786999998</v>
      </c>
      <c r="C26" s="39">
        <f>IF(ISERROR(B26*3.6/1000000/'E Balans VL '!Z12*100),0,B26*3.6/1000000/'E Balans VL '!Z12*100)</f>
        <v>1.9939767606004393</v>
      </c>
      <c r="D26" s="232" t="s">
        <v>662</v>
      </c>
      <c r="F26" s="6"/>
    </row>
    <row r="27" spans="1:18">
      <c r="A27" s="227" t="s">
        <v>52</v>
      </c>
      <c r="B27" s="33">
        <f>IF(ISERROR(TER_horeca_ele_kWh/1000),0,TER_horeca_ele_kWh/1000)</f>
        <v>20878.386574</v>
      </c>
      <c r="C27" s="39">
        <f>IF(ISERROR(B27*3.6/1000000/'E Balans VL '!Z9*100),0,B27*3.6/1000000/'E Balans VL '!Z9*100)</f>
        <v>1.5478758802219486</v>
      </c>
      <c r="D27" s="232" t="s">
        <v>662</v>
      </c>
      <c r="F27" s="6"/>
    </row>
    <row r="28" spans="1:18">
      <c r="A28" s="167" t="s">
        <v>51</v>
      </c>
      <c r="B28" s="33">
        <f>IF(ISERROR(TER_handel_ele_kWh/1000),0,TER_handel_ele_kWh/1000)</f>
        <v>59129.042994000003</v>
      </c>
      <c r="C28" s="39">
        <f>IF(ISERROR(B28*3.6/1000000/'E Balans VL '!Z13*100),0,B28*3.6/1000000/'E Balans VL '!Z13*100)</f>
        <v>1.7713655435516853</v>
      </c>
      <c r="D28" s="232" t="s">
        <v>662</v>
      </c>
      <c r="F28" s="6"/>
    </row>
    <row r="29" spans="1:18">
      <c r="A29" s="227" t="s">
        <v>50</v>
      </c>
      <c r="B29" s="33">
        <f>IF(ISERROR(TER_gezond_ele_kWh/1000),0,TER_gezond_ele_kWh/1000)</f>
        <v>18715.054004999998</v>
      </c>
      <c r="C29" s="39">
        <f>IF(ISERROR(B29*3.6/1000000/'E Balans VL '!Z10*100),0,B29*3.6/1000000/'E Balans VL '!Z10*100)</f>
        <v>1.8505518753444812</v>
      </c>
      <c r="D29" s="232" t="s">
        <v>662</v>
      </c>
      <c r="F29" s="6"/>
    </row>
    <row r="30" spans="1:18">
      <c r="A30" s="227" t="s">
        <v>49</v>
      </c>
      <c r="B30" s="33">
        <f>IF(ISERROR(TER_ander_ele_kWh/1000),0,TER_ander_ele_kWh/1000)</f>
        <v>16903.197964000003</v>
      </c>
      <c r="C30" s="39">
        <f>IF(ISERROR(B30*3.6/1000000/'E Balans VL '!Z14*100),0,B30*3.6/1000000/'E Balans VL '!Z14*100)</f>
        <v>0.68368440543612352</v>
      </c>
      <c r="D30" s="232" t="s">
        <v>662</v>
      </c>
      <c r="F30" s="6"/>
    </row>
    <row r="31" spans="1:18">
      <c r="A31" s="227" t="s">
        <v>54</v>
      </c>
      <c r="B31" s="33">
        <f>IF(ISERROR(TER_onderwijs_ele_kWh/1000),0,TER_onderwijs_ele_kWh/1000)</f>
        <v>10681.625239000001</v>
      </c>
      <c r="C31" s="39">
        <f>IF(ISERROR(B31*3.6/1000000/'E Balans VL '!Z11*100),0,B31*3.6/1000000/'E Balans VL '!Z11*100)</f>
        <v>2.9347096101454269</v>
      </c>
      <c r="D31" s="232" t="s">
        <v>662</v>
      </c>
    </row>
    <row r="32" spans="1:18">
      <c r="A32" s="227" t="s">
        <v>249</v>
      </c>
      <c r="B32" s="33">
        <f>IF(ISERROR(TER_rest_ele_kWh/1000),0,TER_rest_ele_kWh/1000)</f>
        <v>0</v>
      </c>
      <c r="C32" s="39">
        <f>IF(ISERROR(B32*3.6/1000000/'E Balans VL '!Z8*100),0,B32*3.6/1000000/'E Balans VL '!Z8*100)</f>
        <v>0</v>
      </c>
      <c r="D32" s="232" t="s">
        <v>662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8</v>
      </c>
      <c r="C38" s="43"/>
      <c r="D38" s="228"/>
    </row>
    <row r="39" spans="1:4">
      <c r="A39" s="167" t="s">
        <v>455</v>
      </c>
      <c r="B39" s="307">
        <v>13.15681996793146</v>
      </c>
      <c r="C39" s="43"/>
      <c r="D39" s="301" t="s">
        <v>748</v>
      </c>
    </row>
    <row r="40" spans="1:4">
      <c r="A40" s="6" t="s">
        <v>456</v>
      </c>
      <c r="B40" s="312">
        <f>1.34/3.6</f>
        <v>0.37222222222222223</v>
      </c>
      <c r="C40" s="43" t="s">
        <v>208</v>
      </c>
      <c r="D40" s="301" t="s">
        <v>749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14</v>
      </c>
      <c r="C46" s="32"/>
      <c r="D46" s="228"/>
    </row>
    <row r="47" spans="1:4">
      <c r="A47" s="167" t="s">
        <v>425</v>
      </c>
      <c r="B47" s="525">
        <v>37.963784638354454</v>
      </c>
      <c r="C47" s="32" t="s">
        <v>252</v>
      </c>
      <c r="D47" s="301" t="s">
        <v>748</v>
      </c>
    </row>
    <row r="48" spans="1:4">
      <c r="A48" s="167" t="s">
        <v>426</v>
      </c>
      <c r="B48" s="525">
        <v>1887.1743212997605</v>
      </c>
      <c r="C48" s="32" t="s">
        <v>254</v>
      </c>
      <c r="D48" s="301" t="s">
        <v>748</v>
      </c>
    </row>
    <row r="49" spans="1:4">
      <c r="A49" s="167" t="s">
        <v>388</v>
      </c>
      <c r="B49" s="525">
        <v>3.75</v>
      </c>
      <c r="C49" s="32"/>
      <c r="D49" s="301" t="s">
        <v>749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56698.732933999992</v>
      </c>
      <c r="C5" s="17">
        <f>IF(ISERROR('Eigen informatie GS &amp; warmtenet'!B61),0,'Eigen informatie GS &amp; warmtenet'!B61)</f>
        <v>0</v>
      </c>
      <c r="D5" s="30">
        <f>SUM(D6:D15)</f>
        <v>79144.629629268005</v>
      </c>
      <c r="E5" s="17">
        <f>SUM(E6:E15)</f>
        <v>673.52126007498066</v>
      </c>
      <c r="F5" s="17">
        <f>SUM(F6:F15)</f>
        <v>17708.644221749109</v>
      </c>
      <c r="G5" s="18"/>
      <c r="H5" s="17"/>
      <c r="I5" s="17"/>
      <c r="J5" s="17">
        <f>SUM(J6:J15)</f>
        <v>5.5191852364494931</v>
      </c>
      <c r="K5" s="17"/>
      <c r="L5" s="17"/>
      <c r="M5" s="17"/>
      <c r="N5" s="17">
        <f>SUM(N6:N15)</f>
        <v>6497.4119021045381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5078.7092750000002</v>
      </c>
      <c r="C8" s="33"/>
      <c r="D8" s="37">
        <f>IF( ISERROR(IND_metaal_Gas_kWH/1000),0,IND_metaal_Gas_kWH/1000)*0.903</f>
        <v>4745.7981528720002</v>
      </c>
      <c r="E8" s="33">
        <f>C30*'E Balans VL '!I18/100/3.6*1000000</f>
        <v>27.757352162270035</v>
      </c>
      <c r="F8" s="33">
        <f>C30*'E Balans VL '!L18/100/3.6*1000000+C30*'E Balans VL '!N18/100/3.6*1000000</f>
        <v>347.6300866886379</v>
      </c>
      <c r="G8" s="34"/>
      <c r="H8" s="33"/>
      <c r="I8" s="33"/>
      <c r="J8" s="40">
        <f>C30*'E Balans VL '!D18/100/3.6*1000000+C30*'E Balans VL '!E18/100/3.6*1000000</f>
        <v>5.0612761684068115</v>
      </c>
      <c r="K8" s="33"/>
      <c r="L8" s="33"/>
      <c r="M8" s="33"/>
      <c r="N8" s="33">
        <f>C30*'E Balans VL '!Y18/100/3.6*1000000</f>
        <v>75.116555734715689</v>
      </c>
      <c r="O8" s="33"/>
      <c r="P8" s="33"/>
      <c r="R8" s="32"/>
    </row>
    <row r="9" spans="1:18">
      <c r="A9" s="6" t="s">
        <v>32</v>
      </c>
      <c r="B9" s="37">
        <f t="shared" si="0"/>
        <v>24691.948280000001</v>
      </c>
      <c r="C9" s="33"/>
      <c r="D9" s="37">
        <f>IF( ISERROR(IND_andere_gas_kWh/1000),0,IND_andere_gas_kWh/1000)*0.903</f>
        <v>26005.400266125002</v>
      </c>
      <c r="E9" s="33">
        <f>C31*'E Balans VL '!I19/100/3.6*1000000</f>
        <v>92.922331000526469</v>
      </c>
      <c r="F9" s="33">
        <f>C31*'E Balans VL '!L19/100/3.6*1000000+C31*'E Balans VL '!N19/100/3.6*1000000</f>
        <v>15892.405644259066</v>
      </c>
      <c r="G9" s="34"/>
      <c r="H9" s="33"/>
      <c r="I9" s="33"/>
      <c r="J9" s="40">
        <f>C31*'E Balans VL '!D19/100/3.6*1000000+C31*'E Balans VL '!E19/100/3.6*1000000</f>
        <v>0</v>
      </c>
      <c r="K9" s="33"/>
      <c r="L9" s="33"/>
      <c r="M9" s="33"/>
      <c r="N9" s="33">
        <f>C31*'E Balans VL '!Y19/100/3.6*1000000</f>
        <v>892.01315397830717</v>
      </c>
      <c r="O9" s="33"/>
      <c r="P9" s="33"/>
      <c r="R9" s="32"/>
    </row>
    <row r="10" spans="1:18">
      <c r="A10" s="6" t="s">
        <v>40</v>
      </c>
      <c r="B10" s="37">
        <f t="shared" si="0"/>
        <v>11990.427059</v>
      </c>
      <c r="C10" s="33"/>
      <c r="D10" s="37">
        <f>IF( ISERROR(IND_voed_gas_kWh/1000),0,IND_voed_gas_kWh/1000)*0.903</f>
        <v>8112.0215615460011</v>
      </c>
      <c r="E10" s="33">
        <f>C32*'E Balans VL '!I20/100/3.6*1000000</f>
        <v>23.735948451370827</v>
      </c>
      <c r="F10" s="33">
        <f>C32*'E Balans VL '!L20/100/3.6*1000000+C32*'E Balans VL '!N20/100/3.6*1000000</f>
        <v>254.66196577667426</v>
      </c>
      <c r="G10" s="34"/>
      <c r="H10" s="33"/>
      <c r="I10" s="33"/>
      <c r="J10" s="40">
        <f>C32*'E Balans VL '!D20/100/3.6*1000000+C32*'E Balans VL '!E20/100/3.6*1000000</f>
        <v>0</v>
      </c>
      <c r="K10" s="33"/>
      <c r="L10" s="33"/>
      <c r="M10" s="33"/>
      <c r="N10" s="33">
        <f>C32*'E Balans VL '!Y20/100/3.6*1000000</f>
        <v>483.25977362260943</v>
      </c>
      <c r="O10" s="33"/>
      <c r="P10" s="33"/>
      <c r="R10" s="32"/>
    </row>
    <row r="11" spans="1:18">
      <c r="A11" s="6" t="s">
        <v>39</v>
      </c>
      <c r="B11" s="37">
        <f t="shared" si="0"/>
        <v>156.36244099999999</v>
      </c>
      <c r="C11" s="33"/>
      <c r="D11" s="37">
        <f>IF( ISERROR(IND_textiel_gas_kWh/1000),0,IND_textiel_gas_kWh/1000)*0.903</f>
        <v>209.89513141800001</v>
      </c>
      <c r="E11" s="33">
        <f>C33*'E Balans VL '!I21/100/3.6*1000000</f>
        <v>0.30447422394845991</v>
      </c>
      <c r="F11" s="33">
        <f>C33*'E Balans VL '!L21/100/3.6*1000000+C33*'E Balans VL '!N21/100/3.6*1000000</f>
        <v>3.7037388471191579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10813.877836</v>
      </c>
      <c r="C12" s="33"/>
      <c r="D12" s="37">
        <f>IF( ISERROR(IND_min_gas_kWh/1000),0,IND_min_gas_kWh/1000)*0.903</f>
        <v>34997.301354267001</v>
      </c>
      <c r="E12" s="33">
        <f>C34*'E Balans VL '!I22/100/3.6*1000000</f>
        <v>132.31800260908611</v>
      </c>
      <c r="F12" s="33">
        <f>C34*'E Balans VL '!L22/100/3.6*1000000+C34*'E Balans VL '!N22/100/3.6*1000000</f>
        <v>1167.4944621519467</v>
      </c>
      <c r="G12" s="34"/>
      <c r="H12" s="33"/>
      <c r="I12" s="33"/>
      <c r="J12" s="40">
        <f>C34*'E Balans VL '!D22/100/3.6*1000000+C34*'E Balans VL '!E22/100/3.6*1000000</f>
        <v>0</v>
      </c>
      <c r="K12" s="33"/>
      <c r="L12" s="33"/>
      <c r="M12" s="33"/>
      <c r="N12" s="33">
        <f>C34*'E Balans VL '!Y22/100/3.6*1000000</f>
        <v>5215.8673951210267</v>
      </c>
      <c r="O12" s="33"/>
      <c r="P12" s="33"/>
      <c r="R12" s="32"/>
    </row>
    <row r="13" spans="1:18">
      <c r="A13" s="6" t="s">
        <v>38</v>
      </c>
      <c r="B13" s="37">
        <f t="shared" si="0"/>
        <v>1866.8781299999998</v>
      </c>
      <c r="C13" s="33"/>
      <c r="D13" s="37">
        <f>IF( ISERROR(IND_papier_gas_kWh/1000),0,IND_papier_gas_kWh/1000)*0.903</f>
        <v>3546.8325849600001</v>
      </c>
      <c r="E13" s="33">
        <f>C35*'E Balans VL '!I23/100/3.6*1000000</f>
        <v>0</v>
      </c>
      <c r="F13" s="33">
        <f>C35*'E Balans VL '!L23/100/3.6*1000000+C35*'E Balans VL '!N23/100/3.6*1000000</f>
        <v>0.22870435503915557</v>
      </c>
      <c r="G13" s="34"/>
      <c r="H13" s="33"/>
      <c r="I13" s="33"/>
      <c r="J13" s="40">
        <f>C35*'E Balans VL '!D23/100/3.6*1000000+C35*'E Balans VL '!E23/100/3.6*1000000</f>
        <v>0.14545751090439768</v>
      </c>
      <c r="K13" s="33"/>
      <c r="L13" s="33"/>
      <c r="M13" s="33"/>
      <c r="N13" s="33">
        <f>C35*'E Balans VL '!Y23/100/3.6*1000000</f>
        <v>-171.31592737132718</v>
      </c>
      <c r="O13" s="33"/>
      <c r="P13" s="33"/>
      <c r="R13" s="32"/>
    </row>
    <row r="14" spans="1:18">
      <c r="A14" s="6" t="s">
        <v>33</v>
      </c>
      <c r="B14" s="37">
        <f t="shared" si="0"/>
        <v>2029.322551</v>
      </c>
      <c r="C14" s="33"/>
      <c r="D14" s="37">
        <f>IF( ISERROR(IND_chemie_gas_kWh/1000),0,IND_chemie_gas_kWh/1000)*0.903</f>
        <v>1500.056644191</v>
      </c>
      <c r="E14" s="33">
        <f>C36*'E Balans VL '!I24/100/3.6*1000000</f>
        <v>392.62803227759122</v>
      </c>
      <c r="F14" s="33">
        <f>C36*'E Balans VL '!L24/100/3.6*1000000+C36*'E Balans VL '!N24/100/3.6*1000000</f>
        <v>31.652378130803267</v>
      </c>
      <c r="G14" s="34"/>
      <c r="H14" s="33"/>
      <c r="I14" s="33"/>
      <c r="J14" s="40">
        <f>C36*'E Balans VL '!D24/100/3.6*1000000+C36*'E Balans VL '!E24/100/3.6*1000000</f>
        <v>0</v>
      </c>
      <c r="K14" s="33"/>
      <c r="L14" s="33"/>
      <c r="M14" s="33"/>
      <c r="N14" s="33">
        <f>C36*'E Balans VL '!Y24/100/3.6*1000000</f>
        <v>0.45246514246127623</v>
      </c>
      <c r="O14" s="33"/>
      <c r="P14" s="33"/>
      <c r="R14" s="32"/>
    </row>
    <row r="15" spans="1:18">
      <c r="A15" s="6" t="s">
        <v>259</v>
      </c>
      <c r="B15" s="37">
        <f t="shared" si="0"/>
        <v>71.207361999999989</v>
      </c>
      <c r="C15" s="33"/>
      <c r="D15" s="37">
        <f>IF( ISERROR(IND_rest_gas_kWh/1000),0,IND_rest_gas_kWh/1000)*0.903</f>
        <v>27.323933888999999</v>
      </c>
      <c r="E15" s="33">
        <f>C37*'E Balans VL '!I15/100/3.6*1000000</f>
        <v>3.8551193501874916</v>
      </c>
      <c r="F15" s="33">
        <f>C37*'E Balans VL '!L15/100/3.6*1000000+C37*'E Balans VL '!N15/100/3.6*1000000</f>
        <v>10.867241539826532</v>
      </c>
      <c r="G15" s="34"/>
      <c r="H15" s="33"/>
      <c r="I15" s="33"/>
      <c r="J15" s="40">
        <f>C37*'E Balans VL '!D15/100/3.6*1000000+C37*'E Balans VL '!E15/100/3.6*1000000</f>
        <v>0.31245155713828443</v>
      </c>
      <c r="K15" s="33"/>
      <c r="L15" s="33"/>
      <c r="M15" s="33"/>
      <c r="N15" s="33">
        <f>C37*'E Balans VL '!Y15/100/3.6*1000000</f>
        <v>2.0184858767450553</v>
      </c>
      <c r="O15" s="33"/>
      <c r="P15" s="33"/>
      <c r="R15" s="32"/>
    </row>
    <row r="16" spans="1:18">
      <c r="A16" s="16" t="s">
        <v>466</v>
      </c>
      <c r="B16" s="242">
        <f>'lokale energieproductie'!N45+'lokale energieproductie'!N38</f>
        <v>225</v>
      </c>
      <c r="C16" s="242">
        <f>'lokale energieproductie'!O45+'lokale energieproductie'!O38</f>
        <v>321.42857142857144</v>
      </c>
      <c r="D16" s="302">
        <f>('lokale energieproductie'!P38+'lokale energieproductie'!P45)*(-1)</f>
        <v>-642.85714285714289</v>
      </c>
      <c r="E16" s="243"/>
      <c r="F16" s="302">
        <f>('lokale energieproductie'!S38+'lokale energieproductie'!S45)*(-1)</f>
        <v>0</v>
      </c>
      <c r="G16" s="244"/>
      <c r="H16" s="243"/>
      <c r="I16" s="243"/>
      <c r="J16" s="243"/>
      <c r="K16" s="243"/>
      <c r="L16" s="302">
        <f>('lokale energieproductie'!T38+'lokale energieproductie'!U38+'lokale energieproductie'!T45+'lokale energieproductie'!U45)*(-1)</f>
        <v>0</v>
      </c>
      <c r="M16" s="243"/>
      <c r="N16" s="302">
        <f>('lokale energieproductie'!Q38+'lokale energieproductie'!R38+'lokale energieproductie'!V38+'lokale energieproductie'!Q45+'lokale energieproductie'!R45+'lokale energieproductie'!V45)*(-1)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56923.732933999992</v>
      </c>
      <c r="C18" s="21">
        <f>C5+C16</f>
        <v>321.42857142857144</v>
      </c>
      <c r="D18" s="21">
        <f>MAX((D5+D16),0)</f>
        <v>78501.77248641086</v>
      </c>
      <c r="E18" s="21">
        <f>MAX((E5+E16),0)</f>
        <v>673.52126007498066</v>
      </c>
      <c r="F18" s="21">
        <f>MAX((F5+F16),0)</f>
        <v>17708.644221749109</v>
      </c>
      <c r="G18" s="21"/>
      <c r="H18" s="21"/>
      <c r="I18" s="21"/>
      <c r="J18" s="21">
        <f>MAX((J5+J16),0)</f>
        <v>5.5191852364494931</v>
      </c>
      <c r="K18" s="21"/>
      <c r="L18" s="21">
        <f>MAX((L5+L16),0)</f>
        <v>0</v>
      </c>
      <c r="M18" s="21"/>
      <c r="N18" s="21">
        <f>MAX((N5+N16),0)</f>
        <v>6497.4119021045381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0.19499651884213512</v>
      </c>
      <c r="C20" s="25">
        <f ca="1">'EF ele_warmte'!B22</f>
        <v>0.23764705882352952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11099.929761629397</v>
      </c>
      <c r="C22" s="23">
        <f ca="1">C18*C20</f>
        <v>76.386554621848774</v>
      </c>
      <c r="D22" s="23">
        <f>D18*D20</f>
        <v>15857.358042254995</v>
      </c>
      <c r="E22" s="23">
        <f>E18*E20</f>
        <v>152.88932603702062</v>
      </c>
      <c r="F22" s="23">
        <f>F18*F20</f>
        <v>4728.2080072070121</v>
      </c>
      <c r="G22" s="23"/>
      <c r="H22" s="23"/>
      <c r="I22" s="23"/>
      <c r="J22" s="23">
        <f>J18*J20</f>
        <v>1.9537915737031204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662</v>
      </c>
    </row>
    <row r="29" spans="1:18">
      <c r="A29" s="167" t="s">
        <v>37</v>
      </c>
      <c r="B29" s="37">
        <f>IF( ISERROR(IND_nonf_ele_kWh/1000),0,IND_nonf_ele_kWh/1000)</f>
        <v>0</v>
      </c>
      <c r="C29" s="39">
        <f>IF(ISERROR(B29*3.6/1000000/'E Balans VL '!Z17*100),0,B29*3.6/1000000/'E Balans VL '!Z17*100)</f>
        <v>0</v>
      </c>
      <c r="D29" s="232" t="s">
        <v>662</v>
      </c>
    </row>
    <row r="30" spans="1:18">
      <c r="A30" s="167" t="s">
        <v>35</v>
      </c>
      <c r="B30" s="37">
        <f>IF( ISERROR(IND_metaal_ele_kWh/1000),0,IND_metaal_ele_kWh/1000)</f>
        <v>5078.7092750000002</v>
      </c>
      <c r="C30" s="39">
        <f>IF(ISERROR(B30*3.6/1000000/'E Balans VL '!Z18*100),0,B30*3.6/1000000/'E Balans VL '!Z18*100)</f>
        <v>0.28336849465419073</v>
      </c>
      <c r="D30" s="232" t="s">
        <v>662</v>
      </c>
    </row>
    <row r="31" spans="1:18">
      <c r="A31" s="6" t="s">
        <v>32</v>
      </c>
      <c r="B31" s="37">
        <f>IF( ISERROR(IND_ander_ele_kWh/1000),0,IND_ander_ele_kWh/1000)</f>
        <v>24691.948280000001</v>
      </c>
      <c r="C31" s="39">
        <f>IF(ISERROR(B31*3.6/1000000/'E Balans VL '!Z19*100),0,B31*3.6/1000000/'E Balans VL '!Z19*100)</f>
        <v>1.0050384881698218</v>
      </c>
      <c r="D31" s="232" t="s">
        <v>662</v>
      </c>
    </row>
    <row r="32" spans="1:18">
      <c r="A32" s="167" t="s">
        <v>40</v>
      </c>
      <c r="B32" s="37">
        <f>IF( ISERROR(IND_voed_ele_kWh/1000),0,IND_voed_ele_kWh/1000)</f>
        <v>11990.427059</v>
      </c>
      <c r="C32" s="39">
        <f>IF(ISERROR(B32*3.6/1000000/'E Balans VL '!Z20*100),0,B32*3.6/1000000/'E Balans VL '!Z20*100)</f>
        <v>0.34873966604259343</v>
      </c>
      <c r="D32" s="232" t="s">
        <v>662</v>
      </c>
    </row>
    <row r="33" spans="1:5">
      <c r="A33" s="167" t="s">
        <v>39</v>
      </c>
      <c r="B33" s="37">
        <f>IF( ISERROR(IND_textiel_ele_kWh/1000),0,IND_textiel_ele_kWh/1000)</f>
        <v>156.36244099999999</v>
      </c>
      <c r="C33" s="39">
        <f>IF(ISERROR(B33*3.6/1000000/'E Balans VL '!Z21*100),0,B33*3.6/1000000/'E Balans VL '!Z21*100)</f>
        <v>2.3032301034134391E-2</v>
      </c>
      <c r="D33" s="232" t="s">
        <v>662</v>
      </c>
    </row>
    <row r="34" spans="1:5">
      <c r="A34" s="167" t="s">
        <v>36</v>
      </c>
      <c r="B34" s="37">
        <f>IF( ISERROR(IND_min_ele_kWh/1000),0,IND_min_ele_kWh/1000)</f>
        <v>10813.877836</v>
      </c>
      <c r="C34" s="39">
        <f>IF(ISERROR(B34*3.6/1000000/'E Balans VL '!Z22*100),0,B34*3.6/1000000/'E Balans VL '!Z22*100)</f>
        <v>4.3380819772528305</v>
      </c>
      <c r="D34" s="232" t="s">
        <v>662</v>
      </c>
    </row>
    <row r="35" spans="1:5">
      <c r="A35" s="167" t="s">
        <v>38</v>
      </c>
      <c r="B35" s="37">
        <f>IF( ISERROR(IND_papier_ele_kWh/1000),0,IND_papier_ele_kWh/1000)</f>
        <v>1866.8781299999998</v>
      </c>
      <c r="C35" s="39">
        <f>IF(ISERROR(B35*3.6/1000000/'E Balans VL '!Z22*100),0,B35*3.6/1000000/'E Balans VL '!Z22*100)</f>
        <v>0.74891454224862253</v>
      </c>
      <c r="D35" s="232" t="s">
        <v>662</v>
      </c>
    </row>
    <row r="36" spans="1:5">
      <c r="A36" s="167" t="s">
        <v>33</v>
      </c>
      <c r="B36" s="37">
        <f>IF( ISERROR(IND_chemie_ele_kWh/1000),0,IND_chemie_ele_kWh/1000)</f>
        <v>2029.322551</v>
      </c>
      <c r="C36" s="39">
        <f>IF(ISERROR(B36*3.6/1000000/'E Balans VL '!Z24*100),0,B36*3.6/1000000/'E Balans VL '!Z24*100)</f>
        <v>6.1305024947707266E-2</v>
      </c>
      <c r="D36" s="232" t="s">
        <v>662</v>
      </c>
    </row>
    <row r="37" spans="1:5">
      <c r="A37" s="167" t="s">
        <v>259</v>
      </c>
      <c r="B37" s="37">
        <f>IF( ISERROR(IND_rest_ele_kWh/1000),0,IND_rest_ele_kWh/1000)</f>
        <v>71.207361999999989</v>
      </c>
      <c r="C37" s="39">
        <f>IF(ISERROR(B37*3.6/1000000/'E Balans VL '!Z15*100),0,B37*3.6/1000000/'E Balans VL '!Z15*100)</f>
        <v>5.7354262460219724E-4</v>
      </c>
      <c r="D37" s="232" t="s">
        <v>662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748</v>
      </c>
    </row>
    <row r="45" spans="1:5">
      <c r="A45" s="6" t="s">
        <v>456</v>
      </c>
      <c r="B45" s="312">
        <f>1.34/3.6</f>
        <v>0.37222222222222223</v>
      </c>
      <c r="C45" s="43" t="s">
        <v>208</v>
      </c>
      <c r="D45" s="301" t="s">
        <v>749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748</v>
      </c>
    </row>
    <row r="53" spans="1:4">
      <c r="A53" s="167" t="s">
        <v>253</v>
      </c>
      <c r="B53" s="307">
        <v>1870.3471198212708</v>
      </c>
      <c r="C53" s="32" t="s">
        <v>254</v>
      </c>
      <c r="D53" s="301" t="s">
        <v>748</v>
      </c>
    </row>
    <row r="54" spans="1:4">
      <c r="A54" s="167" t="s">
        <v>388</v>
      </c>
      <c r="B54" s="307">
        <v>3.75</v>
      </c>
      <c r="C54" s="32"/>
      <c r="D54" s="301" t="s">
        <v>749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1606.7331449999999</v>
      </c>
      <c r="C5" s="17">
        <f>'Eigen informatie GS &amp; warmtenet'!B62</f>
        <v>0</v>
      </c>
      <c r="D5" s="30">
        <f>IF(ISERROR(SUM(LB_lb_gas_kWh,LB_rest_gas_kWh)/1000),0,SUM(LB_lb_gas_kWh,LB_rest_gas_kWh)/1000)*0.903</f>
        <v>1154.3846330939998</v>
      </c>
      <c r="E5" s="17">
        <f>B17*'E Balans VL '!I25/3.6*1000000/100</f>
        <v>47.371035557818004</v>
      </c>
      <c r="F5" s="17">
        <f>B17*('E Balans VL '!L25/3.6*1000000+'E Balans VL '!N25/3.6*1000000)/100</f>
        <v>5106.7689503456604</v>
      </c>
      <c r="G5" s="18"/>
      <c r="H5" s="17"/>
      <c r="I5" s="17"/>
      <c r="J5" s="17">
        <f>('E Balans VL '!D25+'E Balans VL '!E25)/3.6*1000000*landbouw!B17/100</f>
        <v>405.20823262817322</v>
      </c>
      <c r="K5" s="17"/>
      <c r="L5" s="17">
        <f>L6*(-1)</f>
        <v>0</v>
      </c>
      <c r="M5" s="17"/>
      <c r="N5" s="17">
        <f>N6*(-1)</f>
        <v>0</v>
      </c>
      <c r="O5" s="17"/>
      <c r="P5" s="17"/>
      <c r="R5" s="32"/>
    </row>
    <row r="6" spans="1:18">
      <c r="A6" s="16" t="s">
        <v>466</v>
      </c>
      <c r="B6" s="17" t="s">
        <v>204</v>
      </c>
      <c r="C6" s="17">
        <f>'lokale energieproductie'!O47+'lokale energieproductie'!O40</f>
        <v>0</v>
      </c>
      <c r="D6" s="302">
        <f>('lokale energieproductie'!P40+'lokale energieproductie'!P47)*(-1)</f>
        <v>0</v>
      </c>
      <c r="E6" s="243"/>
      <c r="F6" s="302">
        <f>('lokale energieproductie'!S40+'lokale energieproductie'!S47)*(-1)</f>
        <v>0</v>
      </c>
      <c r="G6" s="244"/>
      <c r="H6" s="243"/>
      <c r="I6" s="243"/>
      <c r="J6" s="243"/>
      <c r="K6" s="243"/>
      <c r="L6" s="302">
        <f>('lokale energieproductie'!T40+'lokale energieproductie'!U40+'lokale energieproductie'!T47+'lokale energieproductie'!U47)*(-1)</f>
        <v>0</v>
      </c>
      <c r="M6" s="243"/>
      <c r="N6" s="302">
        <f>('lokale energieproductie'!V40+'lokale energieproductie'!R40+'lokale energieproductie'!Q40+'lokale energieproductie'!Q47+'lokale energieproductie'!R47+'lokale energieproductie'!V47)*(-1)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1606.7331449999999</v>
      </c>
      <c r="C8" s="21">
        <f>C5+C6</f>
        <v>0</v>
      </c>
      <c r="D8" s="21">
        <f>MAX((D5+D6),0)</f>
        <v>1154.3846330939998</v>
      </c>
      <c r="E8" s="21">
        <f>MAX((E5+E6),0)</f>
        <v>47.371035557818004</v>
      </c>
      <c r="F8" s="21">
        <f>MAX((F5+F6),0)</f>
        <v>5106.7689503456604</v>
      </c>
      <c r="G8" s="21"/>
      <c r="H8" s="21"/>
      <c r="I8" s="21"/>
      <c r="J8" s="21">
        <f>MAX((J5+J6),0)</f>
        <v>405.20823262817322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0.19499651884213512</v>
      </c>
      <c r="C10" s="31">
        <f ca="1">'EF ele_warmte'!B22</f>
        <v>0.23764705882352952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313.30736998327552</v>
      </c>
      <c r="C12" s="23">
        <f ca="1">C8*C10</f>
        <v>0</v>
      </c>
      <c r="D12" s="23">
        <f>D8*D10</f>
        <v>233.18569588498798</v>
      </c>
      <c r="E12" s="23">
        <f>E8*E10</f>
        <v>10.753225071624687</v>
      </c>
      <c r="F12" s="23">
        <f>F8*F10</f>
        <v>1363.5073097422915</v>
      </c>
      <c r="G12" s="23"/>
      <c r="H12" s="23"/>
      <c r="I12" s="23"/>
      <c r="J12" s="23">
        <f>J8*J10</f>
        <v>143.44371435037331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0.220680604666118</v>
      </c>
      <c r="C17" s="232" t="s">
        <v>661</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207.73962198442962</v>
      </c>
      <c r="C26" s="242">
        <f>B26*'GWP N2O_CH4'!B5</f>
        <v>4362.5320616730223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69.653286823138217</v>
      </c>
      <c r="C27" s="242">
        <f>B27*'GWP N2O_CH4'!B5</f>
        <v>1462.7190232859025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6.0701210365977554</v>
      </c>
      <c r="C28" s="242">
        <f>B28*'GWP N2O_CH4'!B4</f>
        <v>1881.7375213453042</v>
      </c>
      <c r="D28" s="50"/>
    </row>
    <row r="29" spans="1:4">
      <c r="A29" s="41" t="s">
        <v>266</v>
      </c>
      <c r="B29" s="242">
        <f>B34*'ha_N2O bodem landbouw'!B4</f>
        <v>20.71796849488841</v>
      </c>
      <c r="C29" s="242">
        <f>B29*'GWP N2O_CH4'!B4</f>
        <v>6422.5702334154075</v>
      </c>
      <c r="D29" s="50"/>
    </row>
    <row r="31" spans="1:4">
      <c r="A31" s="189" t="s">
        <v>473</v>
      </c>
      <c r="B31" s="199"/>
      <c r="C31" s="221"/>
    </row>
    <row r="32" spans="1:4">
      <c r="A32" s="231"/>
      <c r="B32" s="32"/>
      <c r="C32" s="232"/>
    </row>
    <row r="33" spans="1:5">
      <c r="A33" s="233"/>
      <c r="B33" s="220" t="s">
        <v>578</v>
      </c>
      <c r="C33" s="234" t="s">
        <v>175</v>
      </c>
    </row>
    <row r="34" spans="1:5">
      <c r="A34" s="252" t="s">
        <v>105</v>
      </c>
      <c r="B34" s="35">
        <f>IF(ISERROR(aantalCultuurgronden/'ha_N2O bodem landbouw'!B5),0,aantalCultuurgronden/'ha_N2O bodem landbouw'!B5)</f>
        <v>4.7216841866055464E-3</v>
      </c>
      <c r="C34" s="881" t="s">
        <v>672</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4.109001003119811E-3</v>
      </c>
      <c r="C5" s="430" t="s">
        <v>204</v>
      </c>
      <c r="D5" s="415">
        <f>SUM(D6:D11)</f>
        <v>7.0231852521065088E-3</v>
      </c>
      <c r="E5" s="415">
        <f>SUM(E6:E11)</f>
        <v>4.0853723743297723E-3</v>
      </c>
      <c r="F5" s="428" t="s">
        <v>204</v>
      </c>
      <c r="G5" s="415">
        <f>SUM(G6:G11)</f>
        <v>1.6847332337363898</v>
      </c>
      <c r="H5" s="415">
        <f>SUM(H6:H11)</f>
        <v>0.46913039482548702</v>
      </c>
      <c r="I5" s="430" t="s">
        <v>204</v>
      </c>
      <c r="J5" s="430" t="s">
        <v>204</v>
      </c>
      <c r="K5" s="430" t="s">
        <v>204</v>
      </c>
      <c r="L5" s="430" t="s">
        <v>204</v>
      </c>
      <c r="M5" s="415">
        <f>SUM(M6:M11)</f>
        <v>0.12746522988738659</v>
      </c>
      <c r="N5" s="430" t="s">
        <v>204</v>
      </c>
      <c r="O5" s="430" t="s">
        <v>204</v>
      </c>
      <c r="P5" s="431" t="s">
        <v>204</v>
      </c>
    </row>
    <row r="6" spans="1:18">
      <c r="A6" s="256" t="s">
        <v>611</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1.9288981058818064E-3</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3.3662094559278638E-3</v>
      </c>
      <c r="E6" s="844">
        <f>vkm_GW_PW*SUMIFS(TableVerdeelsleutelVkm[LPG],TableVerdeelsleutelVkm[Voertuigtype],"Lichte voertuigen")*SUMIFS(TableECFTransport[EnergieConsumptieFactor (PJ per km)],TableECFTransport[Index],CONCATENATE($A6,"_LPG_LPG"))</f>
        <v>1.8508450556530009E-3</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0.56964257934257134</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0.22225108490602594</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4.7521962751625797E-2</v>
      </c>
      <c r="N6" s="416"/>
      <c r="O6" s="416"/>
      <c r="P6" s="417"/>
    </row>
    <row r="7" spans="1:18">
      <c r="A7" s="256" t="s">
        <v>612</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6.3852806574743504E-6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0.26427045388264075</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2.8962729083217485E-6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1.4878848426557881E-2</v>
      </c>
      <c r="N7" s="416"/>
      <c r="O7" s="416"/>
      <c r="P7" s="417"/>
      <c r="R7" s="841"/>
    </row>
    <row r="8" spans="1:18">
      <c r="A8" s="256" t="s">
        <v>613</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7.1079793339092097E-4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1.590183594330467E-3</v>
      </c>
      <c r="E8" s="418">
        <f>vkm_NGW_PW*SUMIFS(TableVerdeelsleutelVkm[LPG],TableVerdeelsleutelVkm[Voertuigtype],"Lichte voertuigen")*SUMIFS(TableECFTransport[EnergieConsumptieFactor (PJ per km)],TableECFTransport[Index],CONCATENATE($A8,"_LPG_LPG"))</f>
        <v>8.3508404058936893E-4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0.23751034449139624</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0.10335227263021973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2.0556947940566825E-2</v>
      </c>
      <c r="N8" s="416"/>
      <c r="O8" s="416"/>
      <c r="P8" s="417"/>
      <c r="R8" s="841"/>
    </row>
    <row r="9" spans="1:18">
      <c r="A9" s="256" t="s">
        <v>614</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1.1158474754137256E-7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5.9471755620507461E-3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6.1091497715179978E-8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3.3483519393111408E-4</v>
      </c>
      <c r="N9" s="416"/>
      <c r="O9" s="416"/>
      <c r="P9" s="417"/>
      <c r="R9" s="841"/>
    </row>
    <row r="10" spans="1:18">
      <c r="A10" s="256" t="s">
        <v>615</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1.4571684039200537E-3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2.0667922018481788E-3</v>
      </c>
      <c r="E10" s="418">
        <f>vkm_SW_PW*SUMIFS(TableVerdeelsleutelVkm[LPG],TableVerdeelsleutelVkm[Voertuigtype],"Lichte voertuigen")*SUMIFS(TableECFTransport[EnergieConsumptieFactor (PJ per km)],TableECFTransport[Index],CONCATENATE($A10,"_LPG_LPG"))</f>
        <v>1.3994432780874023E-3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0.38685293610963833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0.14352144695725857</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3.1757569916925348E-2</v>
      </c>
      <c r="N10" s="416"/>
      <c r="O10" s="416"/>
      <c r="P10" s="417"/>
      <c r="R10" s="841"/>
    </row>
    <row r="11" spans="1:18">
      <c r="A11" s="4" t="s">
        <v>616</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5.6396945220143307E-6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0.22050974434809231</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2.6329675767684166E-6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1.2415065657779627E-2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1141.3891675332809</v>
      </c>
      <c r="C14" s="21"/>
      <c r="D14" s="21">
        <f t="shared" ref="D14:M14" si="0">((D5)*10^9/3600)+D12</f>
        <v>1950.884792251808</v>
      </c>
      <c r="E14" s="21">
        <f t="shared" si="0"/>
        <v>1134.8256595360479</v>
      </c>
      <c r="F14" s="21"/>
      <c r="G14" s="21">
        <f t="shared" si="0"/>
        <v>467981.45381566387</v>
      </c>
      <c r="H14" s="21">
        <f t="shared" si="0"/>
        <v>130313.99856263529</v>
      </c>
      <c r="I14" s="21"/>
      <c r="J14" s="21"/>
      <c r="K14" s="21"/>
      <c r="L14" s="21"/>
      <c r="M14" s="21">
        <f t="shared" si="0"/>
        <v>35407.008302051829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0.19499651884213512</v>
      </c>
      <c r="C16" s="56">
        <f ca="1">'EF ele_warmte'!B22</f>
        <v>0.23764705882352952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222.56691431311233</v>
      </c>
      <c r="C18" s="23"/>
      <c r="D18" s="23">
        <f t="shared" ref="D18:M18" si="1">D14*D16</f>
        <v>394.07872803486526</v>
      </c>
      <c r="E18" s="23">
        <f t="shared" si="1"/>
        <v>257.6054247146829</v>
      </c>
      <c r="F18" s="23"/>
      <c r="G18" s="23">
        <f t="shared" si="1"/>
        <v>124951.04816878226</v>
      </c>
      <c r="H18" s="23">
        <f t="shared" si="1"/>
        <v>32448.185642096185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617</v>
      </c>
      <c r="D23" s="871" t="s">
        <v>618</v>
      </c>
      <c r="E23" s="871" t="s">
        <v>619</v>
      </c>
      <c r="F23" s="871" t="s">
        <v>602</v>
      </c>
      <c r="G23" s="871" t="s">
        <v>620</v>
      </c>
      <c r="H23" s="871" t="s">
        <v>621</v>
      </c>
      <c r="I23" s="871" t="s">
        <v>112</v>
      </c>
      <c r="J23" s="871" t="s">
        <v>622</v>
      </c>
      <c r="K23" s="871" t="s">
        <v>623</v>
      </c>
      <c r="L23" s="872" t="s">
        <v>624</v>
      </c>
      <c r="M23" s="128" t="s">
        <v>175</v>
      </c>
      <c r="N23" s="263" t="s">
        <v>305</v>
      </c>
    </row>
    <row r="24" spans="1:18">
      <c r="A24" s="32" t="s">
        <v>609</v>
      </c>
      <c r="B24" s="1017">
        <v>3.4591559179461325E-3</v>
      </c>
      <c r="C24" s="1017">
        <v>0.70552027775698367</v>
      </c>
      <c r="D24" s="1017" t="s">
        <v>812</v>
      </c>
      <c r="E24" s="1017">
        <v>5.8660202281761583E-4</v>
      </c>
      <c r="F24" s="1018"/>
      <c r="G24" s="1017">
        <v>4.2168504365285974E-3</v>
      </c>
      <c r="H24" s="1017" t="s">
        <v>812</v>
      </c>
      <c r="I24" s="1017">
        <v>2.1301803424965092E-3</v>
      </c>
      <c r="J24" s="1017">
        <v>0.27090475061194924</v>
      </c>
      <c r="K24" s="1017">
        <v>8.1403169961446285E-3</v>
      </c>
      <c r="L24" s="1017">
        <v>5.0418659151335058E-3</v>
      </c>
      <c r="M24" s="1002" t="s">
        <v>851</v>
      </c>
      <c r="N24" s="843">
        <f>SUM(B24:L24)</f>
        <v>0.99999999999999978</v>
      </c>
      <c r="O24" s="841"/>
    </row>
    <row r="25" spans="1:18">
      <c r="A25" s="32" t="s">
        <v>610</v>
      </c>
      <c r="B25" s="1017" t="s">
        <v>812</v>
      </c>
      <c r="C25" s="1017">
        <v>0.99993070695717123</v>
      </c>
      <c r="D25" s="1017" t="s">
        <v>812</v>
      </c>
      <c r="E25" s="1017" t="s">
        <v>812</v>
      </c>
      <c r="F25" s="1018"/>
      <c r="G25" s="1017">
        <v>5.1610308138608158E-5</v>
      </c>
      <c r="H25" s="1017" t="s">
        <v>812</v>
      </c>
      <c r="I25" s="1017" t="s">
        <v>812</v>
      </c>
      <c r="J25" s="1017">
        <v>1.7682734690311407E-5</v>
      </c>
      <c r="K25" s="1017" t="s">
        <v>812</v>
      </c>
      <c r="L25" s="1017" t="s">
        <v>812</v>
      </c>
      <c r="M25" s="1002" t="s">
        <v>851</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827</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7.7978582289689674E-4</v>
      </c>
      <c r="C50" s="313">
        <f t="shared" ref="C50:P50" si="2">SUM(C51:C52)</f>
        <v>0</v>
      </c>
      <c r="D50" s="313">
        <f t="shared" si="2"/>
        <v>0</v>
      </c>
      <c r="E50" s="313">
        <f t="shared" si="2"/>
        <v>0</v>
      </c>
      <c r="F50" s="313">
        <f t="shared" si="2"/>
        <v>0</v>
      </c>
      <c r="G50" s="313">
        <f t="shared" si="2"/>
        <v>5.5659707129515977E-2</v>
      </c>
      <c r="H50" s="313">
        <f t="shared" si="2"/>
        <v>0</v>
      </c>
      <c r="I50" s="313">
        <f t="shared" si="2"/>
        <v>0</v>
      </c>
      <c r="J50" s="313">
        <f t="shared" si="2"/>
        <v>0</v>
      </c>
      <c r="K50" s="313">
        <f t="shared" si="2"/>
        <v>0</v>
      </c>
      <c r="L50" s="313">
        <f t="shared" si="2"/>
        <v>0</v>
      </c>
      <c r="M50" s="313">
        <f t="shared" si="2"/>
        <v>3.0734507635310549E-3</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7.7978582289689674E-4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5.5659707129515977E-2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3.0734507635310549E-3</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216.60717302691577</v>
      </c>
      <c r="C54" s="21">
        <f t="shared" ref="C54:P54" si="3">(C50)*10^9/3600</f>
        <v>0</v>
      </c>
      <c r="D54" s="21">
        <f t="shared" si="3"/>
        <v>0</v>
      </c>
      <c r="E54" s="21">
        <f t="shared" si="3"/>
        <v>0</v>
      </c>
      <c r="F54" s="21">
        <f t="shared" si="3"/>
        <v>0</v>
      </c>
      <c r="G54" s="21">
        <f t="shared" si="3"/>
        <v>15461.029758198882</v>
      </c>
      <c r="H54" s="21">
        <f t="shared" si="3"/>
        <v>0</v>
      </c>
      <c r="I54" s="21">
        <f t="shared" si="3"/>
        <v>0</v>
      </c>
      <c r="J54" s="21">
        <f t="shared" si="3"/>
        <v>0</v>
      </c>
      <c r="K54" s="21">
        <f t="shared" si="3"/>
        <v>0</v>
      </c>
      <c r="L54" s="21">
        <f t="shared" si="3"/>
        <v>0</v>
      </c>
      <c r="M54" s="21">
        <f t="shared" si="3"/>
        <v>853.73632320307081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0.19499651884213512</v>
      </c>
      <c r="C56" s="56">
        <f ca="1">'EF ele_warmte'!B22</f>
        <v>0.23764705882352952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42.237644696484601</v>
      </c>
      <c r="C58" s="23">
        <f t="shared" ref="C58:P58" ca="1" si="4">C54*C56</f>
        <v>0</v>
      </c>
      <c r="D58" s="23">
        <f t="shared" si="4"/>
        <v>0</v>
      </c>
      <c r="E58" s="23">
        <f t="shared" si="4"/>
        <v>0</v>
      </c>
      <c r="F58" s="23">
        <f t="shared" si="4"/>
        <v>0</v>
      </c>
      <c r="G58" s="23">
        <f t="shared" si="4"/>
        <v>4128.094945439102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536</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811</v>
      </c>
      <c r="B65" s="1016">
        <v>5.6300000000000003E-2</v>
      </c>
      <c r="C65" s="170" t="s">
        <v>755</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537</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679</v>
      </c>
      <c r="N2" s="1225" t="s">
        <v>680</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16039.624472918733</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31142.541471160032</v>
      </c>
      <c r="C6" s="1243"/>
      <c r="D6" s="1228"/>
      <c r="E6" s="1228"/>
      <c r="F6" s="1246"/>
      <c r="G6" s="1249"/>
      <c r="H6" s="1240"/>
      <c r="I6" s="1228"/>
      <c r="J6" s="1228"/>
      <c r="K6" s="1228"/>
      <c r="L6" s="1228"/>
      <c r="M6" s="1228"/>
      <c r="N6" s="907"/>
      <c r="O6" s="537"/>
      <c r="P6" s="1210"/>
      <c r="Q6" s="1211"/>
      <c r="S6" s="535"/>
      <c r="T6" s="1198"/>
      <c r="U6" s="1198"/>
    </row>
    <row r="7" spans="1:21" s="526" customFormat="1">
      <c r="A7" s="536" t="s">
        <v>677</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N37</f>
        <v>6024.15</v>
      </c>
      <c r="C8" s="540">
        <f>B56</f>
        <v>7087.2352941176478</v>
      </c>
      <c r="D8" s="541"/>
      <c r="E8" s="541">
        <f>E56</f>
        <v>0</v>
      </c>
      <c r="F8" s="542"/>
      <c r="G8" s="543"/>
      <c r="H8" s="541">
        <f>I56</f>
        <v>0</v>
      </c>
      <c r="I8" s="541">
        <f>G56+F56</f>
        <v>0</v>
      </c>
      <c r="J8" s="541">
        <f>H56+D56+C56</f>
        <v>0</v>
      </c>
      <c r="K8" s="541"/>
      <c r="L8" s="541"/>
      <c r="M8" s="541"/>
      <c r="N8" s="544"/>
      <c r="O8" s="545">
        <f>C8*$C$12+D8*$D$12+E8*$E$12+F8*$F$12+G8*$G$12+H8*$H$12+I8*$I$12+J8*$J$12</f>
        <v>1431.6215294117649</v>
      </c>
      <c r="P8" s="1210"/>
      <c r="Q8" s="1211"/>
      <c r="S8" s="535"/>
      <c r="T8" s="1198"/>
      <c r="U8" s="1198"/>
    </row>
    <row r="9" spans="1:21" s="526" customFormat="1" ht="17.45" customHeight="1" thickBot="1">
      <c r="A9" s="546" t="s">
        <v>237</v>
      </c>
      <c r="B9" s="547">
        <f>N44+'Eigen informatie GS &amp; warmtenet'!B12</f>
        <v>1237.5</v>
      </c>
      <c r="C9" s="548">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3535.7142857142858</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54443.815944078764</v>
      </c>
      <c r="C10" s="555">
        <f t="shared" ref="C10:L10" si="0">SUM(C8:C9)</f>
        <v>7087.2352941176478</v>
      </c>
      <c r="D10" s="555">
        <f t="shared" si="0"/>
        <v>0</v>
      </c>
      <c r="E10" s="555">
        <f t="shared" si="0"/>
        <v>0</v>
      </c>
      <c r="F10" s="555">
        <f t="shared" si="0"/>
        <v>0</v>
      </c>
      <c r="G10" s="555">
        <f t="shared" si="0"/>
        <v>0</v>
      </c>
      <c r="H10" s="555">
        <f t="shared" si="0"/>
        <v>0</v>
      </c>
      <c r="I10" s="555">
        <f t="shared" si="0"/>
        <v>0</v>
      </c>
      <c r="J10" s="555">
        <f t="shared" si="0"/>
        <v>3535.7142857142858</v>
      </c>
      <c r="K10" s="555">
        <f t="shared" si="0"/>
        <v>0</v>
      </c>
      <c r="L10" s="555">
        <f t="shared" si="0"/>
        <v>0</v>
      </c>
      <c r="M10" s="917"/>
      <c r="N10" s="917"/>
      <c r="O10" s="556">
        <f>SUM(O4:O9)</f>
        <v>1431.6215294117649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679</v>
      </c>
      <c r="N15" s="1225" t="s">
        <v>680</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O37</f>
        <v>8605.9285714285725</v>
      </c>
      <c r="C17" s="571">
        <f>B57</f>
        <v>10124.621848739498</v>
      </c>
      <c r="D17" s="572"/>
      <c r="E17" s="572">
        <f>E57</f>
        <v>0</v>
      </c>
      <c r="F17" s="573"/>
      <c r="G17" s="574"/>
      <c r="H17" s="571">
        <f>I57</f>
        <v>0</v>
      </c>
      <c r="I17" s="572">
        <f>G57+F57</f>
        <v>0</v>
      </c>
      <c r="J17" s="572">
        <f>H57+D57+C57</f>
        <v>0</v>
      </c>
      <c r="K17" s="572"/>
      <c r="L17" s="572"/>
      <c r="M17" s="572"/>
      <c r="N17" s="918"/>
      <c r="O17" s="575">
        <f>C17*$C$22+E17*$E$22+H17*$H$22+I17*$I$22+J17*$J$22+D17*$D$22+F17*$F$22+G17*$G$22+K17*$K$22+L17*$L$22</f>
        <v>2045.1736134453788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8605.9285714285725</v>
      </c>
      <c r="C20" s="554">
        <f>SUM(C17:C19)</f>
        <v>10124.621848739498</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2045.1736134453788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71022</v>
      </c>
      <c r="C28" s="746">
        <v>3500</v>
      </c>
      <c r="D28" s="632"/>
      <c r="E28" s="631"/>
      <c r="F28" s="631"/>
      <c r="G28" s="631" t="s">
        <v>861</v>
      </c>
      <c r="H28" s="631" t="s">
        <v>862</v>
      </c>
      <c r="I28" s="631"/>
      <c r="J28" s="745"/>
      <c r="K28" s="745"/>
      <c r="L28" s="631" t="s">
        <v>863</v>
      </c>
      <c r="M28" s="631">
        <v>220</v>
      </c>
      <c r="N28" s="631">
        <v>990</v>
      </c>
      <c r="O28" s="631">
        <v>1414.2857142857142</v>
      </c>
      <c r="P28" s="631">
        <v>2828.5714285714289</v>
      </c>
      <c r="Q28" s="631">
        <v>0</v>
      </c>
      <c r="R28" s="631">
        <v>0</v>
      </c>
      <c r="S28" s="631">
        <v>0</v>
      </c>
      <c r="T28" s="631">
        <v>0</v>
      </c>
      <c r="U28" s="631">
        <v>0</v>
      </c>
      <c r="V28" s="631">
        <v>0</v>
      </c>
      <c r="W28" s="631">
        <v>0</v>
      </c>
      <c r="X28" s="631"/>
      <c r="Y28" s="631">
        <v>1500</v>
      </c>
      <c r="Z28" s="631" t="s">
        <v>50</v>
      </c>
      <c r="AA28" s="633" t="s">
        <v>149</v>
      </c>
    </row>
    <row r="29" spans="1:27" s="585" customFormat="1" ht="63.75" hidden="1">
      <c r="A29" s="584"/>
      <c r="B29" s="746">
        <v>71022</v>
      </c>
      <c r="C29" s="746">
        <v>3500</v>
      </c>
      <c r="D29" s="632"/>
      <c r="E29" s="631"/>
      <c r="F29" s="631"/>
      <c r="G29" s="631" t="s">
        <v>861</v>
      </c>
      <c r="H29" s="631" t="s">
        <v>862</v>
      </c>
      <c r="I29" s="631"/>
      <c r="J29" s="745"/>
      <c r="K29" s="745"/>
      <c r="L29" s="631" t="s">
        <v>863</v>
      </c>
      <c r="M29" s="631">
        <v>4.7</v>
      </c>
      <c r="N29" s="631">
        <v>21.150000000000002</v>
      </c>
      <c r="O29" s="631">
        <v>30.214285714285719</v>
      </c>
      <c r="P29" s="631">
        <v>60.428571428571438</v>
      </c>
      <c r="Q29" s="631">
        <v>0</v>
      </c>
      <c r="R29" s="631">
        <v>0</v>
      </c>
      <c r="S29" s="631">
        <v>0</v>
      </c>
      <c r="T29" s="631">
        <v>0</v>
      </c>
      <c r="U29" s="631">
        <v>0</v>
      </c>
      <c r="V29" s="631">
        <v>0</v>
      </c>
      <c r="W29" s="631">
        <v>0</v>
      </c>
      <c r="X29" s="631"/>
      <c r="Y29" s="631">
        <v>1600</v>
      </c>
      <c r="Z29" s="631" t="s">
        <v>49</v>
      </c>
      <c r="AA29" s="633" t="s">
        <v>149</v>
      </c>
    </row>
    <row r="30" spans="1:27" s="585" customFormat="1" ht="25.5" hidden="1">
      <c r="A30" s="584"/>
      <c r="B30" s="746">
        <v>71022</v>
      </c>
      <c r="C30" s="746">
        <v>3511</v>
      </c>
      <c r="D30" s="632"/>
      <c r="E30" s="631"/>
      <c r="F30" s="631"/>
      <c r="G30" s="631" t="s">
        <v>861</v>
      </c>
      <c r="H30" s="631" t="s">
        <v>862</v>
      </c>
      <c r="I30" s="631"/>
      <c r="J30" s="745"/>
      <c r="K30" s="745"/>
      <c r="L30" s="631" t="s">
        <v>863</v>
      </c>
      <c r="M30" s="631">
        <v>50</v>
      </c>
      <c r="N30" s="631">
        <v>225</v>
      </c>
      <c r="O30" s="631">
        <v>321.42857142857144</v>
      </c>
      <c r="P30" s="631">
        <v>642.85714285714289</v>
      </c>
      <c r="Q30" s="631">
        <v>0</v>
      </c>
      <c r="R30" s="631">
        <v>0</v>
      </c>
      <c r="S30" s="631">
        <v>0</v>
      </c>
      <c r="T30" s="631">
        <v>0</v>
      </c>
      <c r="U30" s="631">
        <v>0</v>
      </c>
      <c r="V30" s="631">
        <v>0</v>
      </c>
      <c r="W30" s="631">
        <v>0</v>
      </c>
      <c r="X30" s="631"/>
      <c r="Y30" s="631">
        <v>800</v>
      </c>
      <c r="Z30" s="631" t="s">
        <v>35</v>
      </c>
      <c r="AA30" s="633" t="s">
        <v>373</v>
      </c>
    </row>
    <row r="31" spans="1:27" s="585" customFormat="1" ht="51" hidden="1">
      <c r="A31" s="584"/>
      <c r="B31" s="746">
        <v>71022</v>
      </c>
      <c r="C31" s="746">
        <v>3500</v>
      </c>
      <c r="D31" s="632"/>
      <c r="E31" s="631"/>
      <c r="F31" s="631"/>
      <c r="G31" s="631" t="s">
        <v>861</v>
      </c>
      <c r="H31" s="631" t="s">
        <v>862</v>
      </c>
      <c r="I31" s="631"/>
      <c r="J31" s="745"/>
      <c r="K31" s="745"/>
      <c r="L31" s="631" t="s">
        <v>863</v>
      </c>
      <c r="M31" s="631">
        <v>220</v>
      </c>
      <c r="N31" s="631">
        <v>990</v>
      </c>
      <c r="O31" s="631">
        <v>1414.2857142857142</v>
      </c>
      <c r="P31" s="631">
        <v>2828.5714285714289</v>
      </c>
      <c r="Q31" s="631">
        <v>0</v>
      </c>
      <c r="R31" s="631">
        <v>0</v>
      </c>
      <c r="S31" s="631">
        <v>0</v>
      </c>
      <c r="T31" s="631">
        <v>0</v>
      </c>
      <c r="U31" s="631">
        <v>0</v>
      </c>
      <c r="V31" s="631">
        <v>0</v>
      </c>
      <c r="W31" s="631">
        <v>0</v>
      </c>
      <c r="X31" s="631"/>
      <c r="Y31" s="631">
        <v>1500</v>
      </c>
      <c r="Z31" s="631" t="s">
        <v>50</v>
      </c>
      <c r="AA31" s="633" t="s">
        <v>149</v>
      </c>
    </row>
    <row r="32" spans="1:27" s="585" customFormat="1" ht="25.5" hidden="1">
      <c r="A32" s="584"/>
      <c r="B32" s="746">
        <v>71022</v>
      </c>
      <c r="C32" s="746">
        <v>3511</v>
      </c>
      <c r="D32" s="632"/>
      <c r="E32" s="631"/>
      <c r="F32" s="631"/>
      <c r="G32" s="631" t="s">
        <v>861</v>
      </c>
      <c r="H32" s="631" t="s">
        <v>862</v>
      </c>
      <c r="I32" s="631"/>
      <c r="J32" s="745"/>
      <c r="K32" s="745"/>
      <c r="L32" s="631" t="s">
        <v>863</v>
      </c>
      <c r="M32" s="631">
        <v>5</v>
      </c>
      <c r="N32" s="631">
        <v>22.5</v>
      </c>
      <c r="O32" s="631">
        <v>32.142857142857146</v>
      </c>
      <c r="P32" s="631">
        <v>64.285714285714292</v>
      </c>
      <c r="Q32" s="631">
        <v>0</v>
      </c>
      <c r="R32" s="631">
        <v>0</v>
      </c>
      <c r="S32" s="631">
        <v>0</v>
      </c>
      <c r="T32" s="631">
        <v>0</v>
      </c>
      <c r="U32" s="631">
        <v>0</v>
      </c>
      <c r="V32" s="631">
        <v>0</v>
      </c>
      <c r="W32" s="631">
        <v>0</v>
      </c>
      <c r="X32" s="631"/>
      <c r="Y32" s="631">
        <v>1300</v>
      </c>
      <c r="Z32" s="631" t="s">
        <v>53</v>
      </c>
      <c r="AA32" s="633" t="s">
        <v>149</v>
      </c>
    </row>
    <row r="33" spans="1:27" s="585" customFormat="1" ht="25.5" hidden="1">
      <c r="A33" s="584"/>
      <c r="B33" s="746">
        <v>71022</v>
      </c>
      <c r="C33" s="746">
        <v>3500</v>
      </c>
      <c r="D33" s="632"/>
      <c r="E33" s="631"/>
      <c r="F33" s="631"/>
      <c r="G33" s="631" t="s">
        <v>861</v>
      </c>
      <c r="H33" s="631" t="s">
        <v>862</v>
      </c>
      <c r="I33" s="631"/>
      <c r="J33" s="745"/>
      <c r="K33" s="745"/>
      <c r="L33" s="631" t="s">
        <v>863</v>
      </c>
      <c r="M33" s="631">
        <v>9</v>
      </c>
      <c r="N33" s="631">
        <v>40.5</v>
      </c>
      <c r="O33" s="631">
        <v>57.857142857142861</v>
      </c>
      <c r="P33" s="631">
        <v>115.71428571428572</v>
      </c>
      <c r="Q33" s="631">
        <v>0</v>
      </c>
      <c r="R33" s="631">
        <v>0</v>
      </c>
      <c r="S33" s="631">
        <v>0</v>
      </c>
      <c r="T33" s="631">
        <v>0</v>
      </c>
      <c r="U33" s="631">
        <v>0</v>
      </c>
      <c r="V33" s="631">
        <v>0</v>
      </c>
      <c r="W33" s="631">
        <v>0</v>
      </c>
      <c r="X33" s="631"/>
      <c r="Y33" s="631">
        <v>1100</v>
      </c>
      <c r="Z33" s="631" t="s">
        <v>51</v>
      </c>
      <c r="AA33" s="633" t="s">
        <v>149</v>
      </c>
    </row>
    <row r="34" spans="1:27" s="585" customFormat="1" ht="51" hidden="1">
      <c r="A34" s="584"/>
      <c r="B34" s="746">
        <v>71022</v>
      </c>
      <c r="C34" s="746">
        <v>3500</v>
      </c>
      <c r="D34" s="632"/>
      <c r="E34" s="631"/>
      <c r="F34" s="631"/>
      <c r="G34" s="631" t="s">
        <v>864</v>
      </c>
      <c r="H34" s="631" t="s">
        <v>862</v>
      </c>
      <c r="I34" s="631"/>
      <c r="J34" s="745"/>
      <c r="K34" s="745"/>
      <c r="L34" s="631" t="s">
        <v>865</v>
      </c>
      <c r="M34" s="631">
        <v>760</v>
      </c>
      <c r="N34" s="631">
        <v>3420</v>
      </c>
      <c r="O34" s="631">
        <v>4885.7142857142862</v>
      </c>
      <c r="P34" s="631">
        <v>9771.4285714285725</v>
      </c>
      <c r="Q34" s="631">
        <v>0</v>
      </c>
      <c r="R34" s="631">
        <v>0</v>
      </c>
      <c r="S34" s="631">
        <v>0</v>
      </c>
      <c r="T34" s="631">
        <v>0</v>
      </c>
      <c r="U34" s="631">
        <v>0</v>
      </c>
      <c r="V34" s="631">
        <v>0</v>
      </c>
      <c r="W34" s="631">
        <v>0</v>
      </c>
      <c r="X34" s="631"/>
      <c r="Y34" s="631">
        <v>1500</v>
      </c>
      <c r="Z34" s="631" t="s">
        <v>50</v>
      </c>
      <c r="AA34" s="633" t="s">
        <v>149</v>
      </c>
    </row>
    <row r="35" spans="1:27" s="585" customFormat="1" ht="51" hidden="1">
      <c r="A35" s="584"/>
      <c r="B35" s="746">
        <v>71022</v>
      </c>
      <c r="C35" s="746">
        <v>3500</v>
      </c>
      <c r="D35" s="632"/>
      <c r="E35" s="631"/>
      <c r="F35" s="631"/>
      <c r="G35" s="631" t="s">
        <v>864</v>
      </c>
      <c r="H35" s="631" t="s">
        <v>862</v>
      </c>
      <c r="I35" s="631"/>
      <c r="J35" s="745"/>
      <c r="K35" s="745"/>
      <c r="L35" s="631" t="s">
        <v>865</v>
      </c>
      <c r="M35" s="631">
        <v>50</v>
      </c>
      <c r="N35" s="631">
        <v>225</v>
      </c>
      <c r="O35" s="631">
        <v>321.42857142857144</v>
      </c>
      <c r="P35" s="631">
        <v>642.85714285714289</v>
      </c>
      <c r="Q35" s="631">
        <v>0</v>
      </c>
      <c r="R35" s="631">
        <v>0</v>
      </c>
      <c r="S35" s="631">
        <v>0</v>
      </c>
      <c r="T35" s="631">
        <v>0</v>
      </c>
      <c r="U35" s="631">
        <v>0</v>
      </c>
      <c r="V35" s="631">
        <v>0</v>
      </c>
      <c r="W35" s="631">
        <v>0</v>
      </c>
      <c r="X35" s="631"/>
      <c r="Y35" s="631">
        <v>1500</v>
      </c>
      <c r="Z35" s="631" t="s">
        <v>50</v>
      </c>
      <c r="AA35" s="633" t="s">
        <v>149</v>
      </c>
    </row>
    <row r="36" spans="1:27" s="585" customFormat="1" ht="51" hidden="1">
      <c r="A36" s="584"/>
      <c r="B36" s="746">
        <v>71022</v>
      </c>
      <c r="C36" s="746">
        <v>3500</v>
      </c>
      <c r="D36" s="632"/>
      <c r="E36" s="631"/>
      <c r="F36" s="631"/>
      <c r="G36" s="631" t="s">
        <v>864</v>
      </c>
      <c r="H36" s="631" t="s">
        <v>862</v>
      </c>
      <c r="I36" s="631"/>
      <c r="J36" s="745"/>
      <c r="K36" s="745"/>
      <c r="L36" s="631" t="s">
        <v>865</v>
      </c>
      <c r="M36" s="631">
        <v>20</v>
      </c>
      <c r="N36" s="631">
        <v>90</v>
      </c>
      <c r="O36" s="631">
        <v>128.57142857142858</v>
      </c>
      <c r="P36" s="631">
        <v>257.14285714285717</v>
      </c>
      <c r="Q36" s="631">
        <v>0</v>
      </c>
      <c r="R36" s="631">
        <v>0</v>
      </c>
      <c r="S36" s="631">
        <v>0</v>
      </c>
      <c r="T36" s="631">
        <v>0</v>
      </c>
      <c r="U36" s="631">
        <v>0</v>
      </c>
      <c r="V36" s="631">
        <v>0</v>
      </c>
      <c r="W36" s="631">
        <v>0</v>
      </c>
      <c r="X36" s="631"/>
      <c r="Y36" s="631">
        <v>1500</v>
      </c>
      <c r="Z36" s="631" t="s">
        <v>50</v>
      </c>
      <c r="AA36" s="633" t="s">
        <v>149</v>
      </c>
    </row>
    <row r="37" spans="1:27" s="565" customFormat="1" hidden="1">
      <c r="A37" s="587" t="s">
        <v>269</v>
      </c>
      <c r="B37" s="588"/>
      <c r="C37" s="588"/>
      <c r="D37" s="588"/>
      <c r="E37" s="588"/>
      <c r="F37" s="588"/>
      <c r="G37" s="588"/>
      <c r="H37" s="588"/>
      <c r="I37" s="588"/>
      <c r="J37" s="588"/>
      <c r="K37" s="588"/>
      <c r="L37" s="589"/>
      <c r="M37" s="589">
        <f>SUM(M28:M36)</f>
        <v>1338.7</v>
      </c>
      <c r="N37" s="589">
        <f>SUM(N28:N36)</f>
        <v>6024.15</v>
      </c>
      <c r="O37" s="589">
        <f>SUM(O28:O36)</f>
        <v>8605.9285714285725</v>
      </c>
      <c r="P37" s="589">
        <f>SUM(P28:P36)</f>
        <v>17211.857142857145</v>
      </c>
      <c r="Q37" s="589">
        <f>SUM(Q28:Q36)</f>
        <v>0</v>
      </c>
      <c r="R37" s="589">
        <f>SUM(R28:R36)</f>
        <v>0</v>
      </c>
      <c r="S37" s="589">
        <f>SUM(S28:S36)</f>
        <v>0</v>
      </c>
      <c r="T37" s="589">
        <f>SUM(T28:T36)</f>
        <v>0</v>
      </c>
      <c r="U37" s="589">
        <f>SUM(U28:U36)</f>
        <v>0</v>
      </c>
      <c r="V37" s="589">
        <f>SUM(V28:V36)</f>
        <v>0</v>
      </c>
      <c r="W37" s="589">
        <f>SUM(W28:W36)</f>
        <v>0</v>
      </c>
      <c r="X37" s="589"/>
      <c r="Y37" s="590"/>
      <c r="Z37" s="590"/>
      <c r="AA37" s="591"/>
    </row>
    <row r="38" spans="1:27" s="565" customFormat="1">
      <c r="A38" s="587" t="s">
        <v>276</v>
      </c>
      <c r="B38" s="588"/>
      <c r="C38" s="588"/>
      <c r="D38" s="588"/>
      <c r="E38" s="588"/>
      <c r="F38" s="588"/>
      <c r="G38" s="588"/>
      <c r="H38" s="588"/>
      <c r="I38" s="588"/>
      <c r="J38" s="588"/>
      <c r="K38" s="588"/>
      <c r="L38" s="589"/>
      <c r="M38" s="589">
        <f>SUMIF($AA$28:$AA$36,"industrie",M28:M36)</f>
        <v>50</v>
      </c>
      <c r="N38" s="589">
        <f>SUMIF($AA$28:$AA$36,"industrie",N28:N36)</f>
        <v>225</v>
      </c>
      <c r="O38" s="589">
        <f>SUMIF($AA$28:$AA$36,"industrie",O28:O36)</f>
        <v>321.42857142857144</v>
      </c>
      <c r="P38" s="589">
        <f>SUMIF($AA$28:$AA$36,"industrie",P28:P36)</f>
        <v>642.85714285714289</v>
      </c>
      <c r="Q38" s="589">
        <f>SUMIF($AA$28:$AA$36,"industrie",Q28:Q36)</f>
        <v>0</v>
      </c>
      <c r="R38" s="589">
        <f>SUMIF($AA$28:$AA$36,"industrie",R28:R36)</f>
        <v>0</v>
      </c>
      <c r="S38" s="589">
        <f>SUMIF($AA$28:$AA$36,"industrie",S28:S36)</f>
        <v>0</v>
      </c>
      <c r="T38" s="589">
        <f>SUMIF($AA$28:$AA$36,"industrie",T28:T36)</f>
        <v>0</v>
      </c>
      <c r="U38" s="589">
        <f>SUMIF($AA$28:$AA$36,"industrie",U28:U36)</f>
        <v>0</v>
      </c>
      <c r="V38" s="589">
        <f>SUMIF($AA$28:$AA$36,"industrie",V28:V36)</f>
        <v>0</v>
      </c>
      <c r="W38" s="589">
        <f>SUMIF($AA$28:$AA$36,"industrie",W28:W36)</f>
        <v>0</v>
      </c>
      <c r="X38" s="589"/>
      <c r="Y38" s="590"/>
      <c r="Z38" s="590"/>
      <c r="AA38" s="591"/>
    </row>
    <row r="39" spans="1:27" s="565" customFormat="1">
      <c r="A39" s="587" t="s">
        <v>277</v>
      </c>
      <c r="B39" s="588"/>
      <c r="C39" s="588"/>
      <c r="D39" s="588"/>
      <c r="E39" s="588"/>
      <c r="F39" s="588"/>
      <c r="G39" s="588"/>
      <c r="H39" s="588"/>
      <c r="I39" s="588"/>
      <c r="J39" s="588"/>
      <c r="K39" s="588"/>
      <c r="L39" s="589"/>
      <c r="M39" s="589">
        <f ca="1">SUMIF($AA$28:AD36,"tertiair",M28:M36)</f>
        <v>1288.7</v>
      </c>
      <c r="N39" s="589">
        <f ca="1">SUMIF($AA$28:AE36,"tertiair",N28:N36)</f>
        <v>5799.15</v>
      </c>
      <c r="O39" s="589">
        <f ca="1">SUMIF($AA$28:AF36,"tertiair",O28:O36)</f>
        <v>8284.5</v>
      </c>
      <c r="P39" s="589">
        <f ca="1">SUMIF($AA$28:AG36,"tertiair",P28:P36)</f>
        <v>16569.000000000004</v>
      </c>
      <c r="Q39" s="589">
        <f ca="1">SUMIF($AA$28:AH36,"tertiair",Q28:Q36)</f>
        <v>0</v>
      </c>
      <c r="R39" s="589">
        <f ca="1">SUMIF($AA$28:AI36,"tertiair",R28:R36)</f>
        <v>0</v>
      </c>
      <c r="S39" s="589">
        <f ca="1">SUMIF($AA$28:AJ36,"tertiair",S28:S36)</f>
        <v>0</v>
      </c>
      <c r="T39" s="589">
        <f ca="1">SUMIF($AA$28:AK36,"tertiair",T28:T36)</f>
        <v>0</v>
      </c>
      <c r="U39" s="589">
        <f ca="1">SUMIF($AA$28:AL36,"tertiair",U28:U36)</f>
        <v>0</v>
      </c>
      <c r="V39" s="589">
        <f ca="1">SUMIF($AA$28:AM36,"tertiair",V28:V36)</f>
        <v>0</v>
      </c>
      <c r="W39" s="589">
        <f ca="1">SUMIF($AA$28:AN36,"tertiair",W28:W36)</f>
        <v>0</v>
      </c>
      <c r="X39" s="589"/>
      <c r="Y39" s="590"/>
      <c r="Z39" s="590"/>
      <c r="AA39" s="591"/>
    </row>
    <row r="40" spans="1:27" s="565" customFormat="1" ht="15.75" thickBot="1">
      <c r="A40" s="592" t="s">
        <v>278</v>
      </c>
      <c r="B40" s="593"/>
      <c r="C40" s="593"/>
      <c r="D40" s="593"/>
      <c r="E40" s="593"/>
      <c r="F40" s="593"/>
      <c r="G40" s="593"/>
      <c r="H40" s="593"/>
      <c r="I40" s="593"/>
      <c r="J40" s="593"/>
      <c r="K40" s="593"/>
      <c r="L40" s="594"/>
      <c r="M40" s="594">
        <f>SUMIF($AA$28:$AA$36,"landbouw",M28:M36)</f>
        <v>0</v>
      </c>
      <c r="N40" s="594">
        <f>SUMIF($AA$28:$AA$36,"landbouw",N28:N36)</f>
        <v>0</v>
      </c>
      <c r="O40" s="594">
        <f>SUMIF($AA$28:$AA$36,"landbouw",O28:O36)</f>
        <v>0</v>
      </c>
      <c r="P40" s="594">
        <f>SUMIF($AA$28:$AA$36,"landbouw",P28:P36)</f>
        <v>0</v>
      </c>
      <c r="Q40" s="594">
        <f>SUMIF($AA$28:$AA$36,"landbouw",Q28:Q36)</f>
        <v>0</v>
      </c>
      <c r="R40" s="594">
        <f>SUMIF($AA$28:$AA$36,"landbouw",R28:R36)</f>
        <v>0</v>
      </c>
      <c r="S40" s="594">
        <f>SUMIF($AA$28:$AA$36,"landbouw",S28:S36)</f>
        <v>0</v>
      </c>
      <c r="T40" s="594">
        <f>SUMIF($AA$28:$AA$36,"landbouw",T28:T36)</f>
        <v>0</v>
      </c>
      <c r="U40" s="594">
        <f>SUMIF($AA$28:$AA$36,"landbouw",U28:U36)</f>
        <v>0</v>
      </c>
      <c r="V40" s="594">
        <f>SUMIF($AA$28:$AA$36,"landbouw",V28:V36)</f>
        <v>0</v>
      </c>
      <c r="W40" s="594">
        <f>SUMIF($AA$28:$AA$36,"landbouw",W28:W36)</f>
        <v>0</v>
      </c>
      <c r="X40" s="594"/>
      <c r="Y40" s="595"/>
      <c r="Z40" s="595"/>
      <c r="AA40" s="596"/>
    </row>
    <row r="41" spans="1:27" s="526" customFormat="1" ht="15.75" thickBot="1">
      <c r="A41" s="597"/>
      <c r="B41" s="598"/>
      <c r="C41" s="598"/>
      <c r="D41" s="598"/>
      <c r="E41" s="598"/>
      <c r="F41" s="598"/>
      <c r="G41" s="598"/>
      <c r="H41" s="598"/>
      <c r="I41" s="598"/>
      <c r="J41" s="598"/>
      <c r="K41" s="598"/>
      <c r="L41" s="581"/>
      <c r="M41" s="581"/>
      <c r="N41" s="581"/>
      <c r="O41" s="582"/>
      <c r="P41" s="582"/>
    </row>
    <row r="42" spans="1:27" s="526" customFormat="1" ht="45">
      <c r="A42" s="599" t="s">
        <v>270</v>
      </c>
      <c r="B42" s="628" t="s">
        <v>89</v>
      </c>
      <c r="C42" s="628" t="s">
        <v>90</v>
      </c>
      <c r="D42" s="628"/>
      <c r="E42" s="628"/>
      <c r="F42" s="628"/>
      <c r="G42" s="628" t="s">
        <v>91</v>
      </c>
      <c r="H42" s="628" t="s">
        <v>92</v>
      </c>
      <c r="I42" s="628"/>
      <c r="J42" s="628"/>
      <c r="K42" s="628"/>
      <c r="L42" s="628" t="s">
        <v>93</v>
      </c>
      <c r="M42" s="629" t="s">
        <v>287</v>
      </c>
      <c r="N42" s="629" t="s">
        <v>94</v>
      </c>
      <c r="O42" s="629" t="s">
        <v>95</v>
      </c>
      <c r="P42" s="629" t="s">
        <v>510</v>
      </c>
      <c r="Q42" s="629" t="s">
        <v>96</v>
      </c>
      <c r="R42" s="629" t="s">
        <v>97</v>
      </c>
      <c r="S42" s="629" t="s">
        <v>98</v>
      </c>
      <c r="T42" s="629" t="s">
        <v>99</v>
      </c>
      <c r="U42" s="629" t="s">
        <v>100</v>
      </c>
      <c r="V42" s="629" t="s">
        <v>101</v>
      </c>
      <c r="W42" s="628" t="s">
        <v>102</v>
      </c>
      <c r="X42" s="628" t="s">
        <v>860</v>
      </c>
      <c r="Y42" s="628" t="s">
        <v>288</v>
      </c>
      <c r="Z42" s="628" t="s">
        <v>103</v>
      </c>
      <c r="AA42" s="630" t="s">
        <v>289</v>
      </c>
    </row>
    <row r="43" spans="1:27" s="600" customFormat="1" ht="63.75" hidden="1">
      <c r="A43" s="586"/>
      <c r="B43" s="746">
        <v>71022</v>
      </c>
      <c r="C43" s="746">
        <v>3511</v>
      </c>
      <c r="D43" s="634"/>
      <c r="E43" s="634"/>
      <c r="F43" s="634"/>
      <c r="G43" s="634" t="s">
        <v>866</v>
      </c>
      <c r="H43" s="634" t="s">
        <v>867</v>
      </c>
      <c r="I43" s="634"/>
      <c r="J43" s="745"/>
      <c r="K43" s="745"/>
      <c r="L43" s="634" t="s">
        <v>863</v>
      </c>
      <c r="M43" s="634">
        <v>275</v>
      </c>
      <c r="N43" s="634">
        <v>1237.5</v>
      </c>
      <c r="O43" s="634">
        <v>0</v>
      </c>
      <c r="P43" s="634">
        <v>0</v>
      </c>
      <c r="Q43" s="634">
        <v>3535.7142857142858</v>
      </c>
      <c r="R43" s="634">
        <v>0</v>
      </c>
      <c r="S43" s="634">
        <v>0</v>
      </c>
      <c r="T43" s="634">
        <v>0</v>
      </c>
      <c r="U43" s="634">
        <v>0</v>
      </c>
      <c r="V43" s="634">
        <v>0</v>
      </c>
      <c r="W43" s="634">
        <v>0</v>
      </c>
      <c r="X43" s="634"/>
      <c r="Y43" s="634">
        <v>1600</v>
      </c>
      <c r="Z43" s="634" t="s">
        <v>49</v>
      </c>
      <c r="AA43" s="635" t="s">
        <v>149</v>
      </c>
    </row>
    <row r="44" spans="1:27" s="565" customFormat="1" hidden="1">
      <c r="A44" s="587" t="s">
        <v>269</v>
      </c>
      <c r="B44" s="588"/>
      <c r="C44" s="588"/>
      <c r="D44" s="588"/>
      <c r="E44" s="588"/>
      <c r="F44" s="588"/>
      <c r="G44" s="588"/>
      <c r="H44" s="588"/>
      <c r="I44" s="588"/>
      <c r="J44" s="588"/>
      <c r="K44" s="588"/>
      <c r="L44" s="589"/>
      <c r="M44" s="589">
        <f>SUM(M43:M43)</f>
        <v>275</v>
      </c>
      <c r="N44" s="589">
        <f>SUM(N43:N43)</f>
        <v>1237.5</v>
      </c>
      <c r="O44" s="589">
        <f>SUM(O43:O43)</f>
        <v>0</v>
      </c>
      <c r="P44" s="589">
        <f>SUM(P43:P43)</f>
        <v>0</v>
      </c>
      <c r="Q44" s="589">
        <f>SUM(Q43:Q43)</f>
        <v>3535.7142857142858</v>
      </c>
      <c r="R44" s="589">
        <f>SUM(R43:R43)</f>
        <v>0</v>
      </c>
      <c r="S44" s="589">
        <f>SUM(S43:S43)</f>
        <v>0</v>
      </c>
      <c r="T44" s="589">
        <f>SUM(T43:T43)</f>
        <v>0</v>
      </c>
      <c r="U44" s="589">
        <f>SUM(U43:U43)</f>
        <v>0</v>
      </c>
      <c r="V44" s="589">
        <f>SUM(V43:V43)</f>
        <v>0</v>
      </c>
      <c r="W44" s="589">
        <f>SUM(W43:W43)</f>
        <v>0</v>
      </c>
      <c r="X44" s="589"/>
      <c r="Y44" s="590"/>
      <c r="Z44" s="590"/>
      <c r="AA44" s="591"/>
    </row>
    <row r="45" spans="1:27" s="565" customFormat="1">
      <c r="A45" s="587" t="s">
        <v>276</v>
      </c>
      <c r="B45" s="588"/>
      <c r="C45" s="588"/>
      <c r="D45" s="588"/>
      <c r="E45" s="588"/>
      <c r="F45" s="588"/>
      <c r="G45" s="588"/>
      <c r="H45" s="588"/>
      <c r="I45" s="588"/>
      <c r="J45" s="588"/>
      <c r="K45" s="588"/>
      <c r="L45" s="589"/>
      <c r="M45" s="589">
        <f>SUMIF($AA$43:$AA$43,"industrie",M43:M43)</f>
        <v>0</v>
      </c>
      <c r="N45" s="589">
        <f>SUMIF($AA$43:$AA$43,"industrie",N43:N43)</f>
        <v>0</v>
      </c>
      <c r="O45" s="589">
        <f>SUMIF($AA$43:$AA$43,"industrie",O43:O43)</f>
        <v>0</v>
      </c>
      <c r="P45" s="589">
        <f>SUMIF($AA$43:$AA$43,"industrie",P43:P43)</f>
        <v>0</v>
      </c>
      <c r="Q45" s="589">
        <f>SUMIF($AA$43:$AA$43,"industrie",Q43:Q43)</f>
        <v>0</v>
      </c>
      <c r="R45" s="589">
        <f>SUMIF($AA$43:$AA$43,"industrie",R43:R43)</f>
        <v>0</v>
      </c>
      <c r="S45" s="589">
        <f>SUMIF($AA$43:$AA$43,"industrie",S43:S43)</f>
        <v>0</v>
      </c>
      <c r="T45" s="589">
        <f>SUMIF($AA$43:$AA$43,"industrie",T43:T43)</f>
        <v>0</v>
      </c>
      <c r="U45" s="589">
        <f>SUMIF($AA$43:$AA$43,"industrie",U43:U43)</f>
        <v>0</v>
      </c>
      <c r="V45" s="589">
        <f>SUMIF($AA$43:$AA$43,"industrie",V43:V43)</f>
        <v>0</v>
      </c>
      <c r="W45" s="589">
        <f>SUMIF($AA$43:$AA$43,"industrie",W43:W43)</f>
        <v>0</v>
      </c>
      <c r="X45" s="589"/>
      <c r="Y45" s="590"/>
      <c r="Z45" s="590"/>
      <c r="AA45" s="591"/>
    </row>
    <row r="46" spans="1:27" s="565" customFormat="1">
      <c r="A46" s="587" t="s">
        <v>277</v>
      </c>
      <c r="B46" s="588"/>
      <c r="C46" s="588"/>
      <c r="D46" s="588"/>
      <c r="E46" s="588"/>
      <c r="F46" s="588"/>
      <c r="G46" s="588"/>
      <c r="H46" s="588"/>
      <c r="I46" s="588"/>
      <c r="J46" s="588"/>
      <c r="K46" s="588"/>
      <c r="L46" s="589"/>
      <c r="M46" s="589">
        <f>SUMIF($AA$43:$AA$44,"tertiair",M43:M44)</f>
        <v>275</v>
      </c>
      <c r="N46" s="589">
        <f>SUMIF($AA$43:$AA$44,"tertiair",N43:N44)</f>
        <v>1237.5</v>
      </c>
      <c r="O46" s="589">
        <f>SUMIF($AA$43:$AA$44,"tertiair",O43:O44)</f>
        <v>0</v>
      </c>
      <c r="P46" s="589">
        <f>SUMIF($AA$43:$AA$44,"tertiair",P43:P44)</f>
        <v>0</v>
      </c>
      <c r="Q46" s="589">
        <f>SUMIF($AA$43:$AA$44,"tertiair",Q43:Q44)</f>
        <v>3535.7142857142858</v>
      </c>
      <c r="R46" s="589">
        <f>SUMIF($AA$43:$AA$44,"tertiair",R43:R44)</f>
        <v>0</v>
      </c>
      <c r="S46" s="589">
        <f>SUMIF($AA$43:$AA$44,"tertiair",S43:S44)</f>
        <v>0</v>
      </c>
      <c r="T46" s="589">
        <f>SUMIF($AA$43:$AA$44,"tertiair",T43:T44)</f>
        <v>0</v>
      </c>
      <c r="U46" s="589">
        <f>SUMIF($AA$43:$AA$44,"tertiair",U43:U44)</f>
        <v>0</v>
      </c>
      <c r="V46" s="589">
        <f>SUMIF($AA$43:$AA$44,"tertiair",V43:V44)</f>
        <v>0</v>
      </c>
      <c r="W46" s="589">
        <f>SUMIF($AA$43:$AA$44,"tertiair",W43:W44)</f>
        <v>0</v>
      </c>
      <c r="X46" s="589"/>
      <c r="Y46" s="590"/>
      <c r="Z46" s="590"/>
      <c r="AA46" s="591"/>
    </row>
    <row r="47" spans="1:27" s="565" customFormat="1" ht="15.75" thickBot="1">
      <c r="A47" s="592" t="s">
        <v>278</v>
      </c>
      <c r="B47" s="593"/>
      <c r="C47" s="593"/>
      <c r="D47" s="593"/>
      <c r="E47" s="593"/>
      <c r="F47" s="593"/>
      <c r="G47" s="593"/>
      <c r="H47" s="593"/>
      <c r="I47" s="593"/>
      <c r="J47" s="593"/>
      <c r="K47" s="593"/>
      <c r="L47" s="594"/>
      <c r="M47" s="594">
        <f>SUMIF($AA$43:$AA$45,"landbouw",M43:M45)</f>
        <v>0</v>
      </c>
      <c r="N47" s="594">
        <f>SUMIF($AA$43:$AA$45,"landbouw",N43:N45)</f>
        <v>0</v>
      </c>
      <c r="O47" s="594">
        <f>SUMIF($AA$43:$AA$45,"landbouw",O43:O45)</f>
        <v>0</v>
      </c>
      <c r="P47" s="594">
        <f>SUMIF($AA$43:$AA$45,"landbouw",P43:P45)</f>
        <v>0</v>
      </c>
      <c r="Q47" s="594">
        <f>SUMIF($AA$43:$AA$45,"landbouw",Q43:Q45)</f>
        <v>0</v>
      </c>
      <c r="R47" s="594">
        <f>SUMIF($AA$43:$AA$45,"landbouw",R43:R45)</f>
        <v>0</v>
      </c>
      <c r="S47" s="594">
        <f>SUMIF($AA$43:$AA$45,"landbouw",S43:S45)</f>
        <v>0</v>
      </c>
      <c r="T47" s="594">
        <f>SUMIF($AA$43:$AA$45,"landbouw",T43:T45)</f>
        <v>0</v>
      </c>
      <c r="U47" s="594">
        <f>SUMIF($AA$43:$AA$45,"landbouw",U43:U45)</f>
        <v>0</v>
      </c>
      <c r="V47" s="594">
        <f>SUMIF($AA$43:$AA$45,"landbouw",V43:V45)</f>
        <v>0</v>
      </c>
      <c r="W47" s="594">
        <f>SUMIF($AA$43:$AA$45,"landbouw",W43:W45)</f>
        <v>0</v>
      </c>
      <c r="X47" s="594"/>
      <c r="Y47" s="595"/>
      <c r="Z47" s="595"/>
      <c r="AA47" s="596"/>
    </row>
    <row r="48" spans="1:27" s="601" customFormat="1">
      <c r="A48" s="597"/>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row>
    <row r="49" spans="1:28" s="601" customFormat="1" ht="15.75" thickBot="1">
      <c r="A49" s="597"/>
      <c r="B49" s="581"/>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row>
    <row r="50" spans="1:28">
      <c r="A50" s="602" t="s">
        <v>271</v>
      </c>
      <c r="B50" s="603"/>
      <c r="C50" s="603"/>
      <c r="D50" s="603"/>
      <c r="E50" s="603"/>
      <c r="F50" s="603"/>
      <c r="G50" s="603"/>
      <c r="H50" s="603"/>
      <c r="I50" s="604"/>
      <c r="J50" s="605"/>
      <c r="K50" s="605"/>
      <c r="L50" s="606"/>
      <c r="M50" s="606"/>
      <c r="N50" s="606"/>
      <c r="O50" s="606"/>
      <c r="P50" s="606"/>
    </row>
    <row r="51" spans="1:28">
      <c r="A51" s="608"/>
      <c r="B51" s="598"/>
      <c r="C51" s="598"/>
      <c r="D51" s="598"/>
      <c r="E51" s="598"/>
      <c r="F51" s="598"/>
      <c r="G51" s="598"/>
      <c r="H51" s="598"/>
      <c r="I51" s="609"/>
      <c r="J51" s="598"/>
      <c r="K51" s="598"/>
      <c r="L51" s="606"/>
      <c r="M51" s="606"/>
      <c r="N51" s="606"/>
      <c r="O51" s="606"/>
      <c r="P51" s="606"/>
    </row>
    <row r="52" spans="1:28">
      <c r="A52" s="610"/>
      <c r="B52" s="611" t="s">
        <v>272</v>
      </c>
      <c r="C52" s="611" t="s">
        <v>273</v>
      </c>
      <c r="D52" s="611"/>
      <c r="E52" s="611"/>
      <c r="F52" s="611"/>
      <c r="G52" s="611"/>
      <c r="H52" s="611"/>
      <c r="I52" s="612"/>
      <c r="J52" s="611"/>
      <c r="K52" s="611"/>
      <c r="L52" s="611"/>
      <c r="M52" s="611"/>
      <c r="N52" s="611"/>
      <c r="O52" s="611"/>
      <c r="P52" s="606"/>
    </row>
    <row r="53" spans="1:28">
      <c r="A53" s="608" t="s">
        <v>269</v>
      </c>
      <c r="B53" s="613">
        <f>IF(ISERROR(O37/(O37+N37)),0,O37/(O37+N37))</f>
        <v>0.58823529411764708</v>
      </c>
      <c r="C53" s="614">
        <f>IF(ISERROR(N37/(O37+N37)),0,N37/(N37+O37))</f>
        <v>0.41176470588235292</v>
      </c>
      <c r="D53" s="581"/>
      <c r="E53" s="581"/>
      <c r="F53" s="581"/>
      <c r="G53" s="581"/>
      <c r="H53" s="581"/>
      <c r="I53" s="615"/>
      <c r="J53" s="581"/>
      <c r="K53" s="581"/>
      <c r="L53" s="616"/>
      <c r="M53" s="616"/>
      <c r="N53" s="616"/>
      <c r="O53" s="616"/>
      <c r="P53" s="606"/>
    </row>
    <row r="54" spans="1:28">
      <c r="A54" s="608"/>
      <c r="B54" s="617"/>
      <c r="C54" s="617"/>
      <c r="D54" s="617"/>
      <c r="E54" s="617"/>
      <c r="F54" s="617"/>
      <c r="G54" s="617"/>
      <c r="H54" s="617"/>
      <c r="I54" s="618"/>
      <c r="J54" s="617"/>
      <c r="K54" s="617"/>
      <c r="L54" s="619"/>
      <c r="M54" s="619"/>
      <c r="N54" s="619"/>
      <c r="O54" s="619"/>
      <c r="P54" s="606"/>
    </row>
    <row r="55" spans="1:28" ht="30">
      <c r="A55" s="620"/>
      <c r="B55" s="621" t="s">
        <v>510</v>
      </c>
      <c r="C55" s="621" t="s">
        <v>96</v>
      </c>
      <c r="D55" s="621" t="s">
        <v>97</v>
      </c>
      <c r="E55" s="621" t="s">
        <v>98</v>
      </c>
      <c r="F55" s="621" t="s">
        <v>99</v>
      </c>
      <c r="G55" s="621" t="s">
        <v>100</v>
      </c>
      <c r="H55" s="621" t="s">
        <v>101</v>
      </c>
      <c r="I55" s="622" t="s">
        <v>102</v>
      </c>
      <c r="J55" s="611"/>
      <c r="K55" s="611"/>
      <c r="L55" s="619"/>
      <c r="M55" s="619"/>
      <c r="N55" s="619"/>
      <c r="O55" s="606"/>
      <c r="P55" s="606"/>
    </row>
    <row r="56" spans="1:28">
      <c r="A56" s="610" t="s">
        <v>274</v>
      </c>
      <c r="B56" s="623">
        <f t="shared" ref="B56:I56" si="2">$C$53*P37</f>
        <v>7087.2352941176478</v>
      </c>
      <c r="C56" s="623">
        <f t="shared" si="2"/>
        <v>0</v>
      </c>
      <c r="D56" s="623">
        <f t="shared" si="2"/>
        <v>0</v>
      </c>
      <c r="E56" s="623">
        <f t="shared" si="2"/>
        <v>0</v>
      </c>
      <c r="F56" s="623">
        <f t="shared" si="2"/>
        <v>0</v>
      </c>
      <c r="G56" s="623">
        <f t="shared" si="2"/>
        <v>0</v>
      </c>
      <c r="H56" s="623">
        <f t="shared" si="2"/>
        <v>0</v>
      </c>
      <c r="I56" s="624">
        <f t="shared" si="2"/>
        <v>0</v>
      </c>
      <c r="J56" s="581"/>
      <c r="K56" s="581"/>
      <c r="L56" s="619"/>
      <c r="M56" s="619"/>
      <c r="N56" s="619"/>
      <c r="O56" s="606"/>
      <c r="P56" s="606"/>
    </row>
    <row r="57" spans="1:28" ht="15.75" thickBot="1">
      <c r="A57" s="625" t="s">
        <v>275</v>
      </c>
      <c r="B57" s="626">
        <f t="shared" ref="B57:I57" si="3">$B$53*P37</f>
        <v>10124.621848739498</v>
      </c>
      <c r="C57" s="626">
        <f t="shared" si="3"/>
        <v>0</v>
      </c>
      <c r="D57" s="626">
        <f t="shared" si="3"/>
        <v>0</v>
      </c>
      <c r="E57" s="626">
        <f t="shared" si="3"/>
        <v>0</v>
      </c>
      <c r="F57" s="626">
        <f t="shared" si="3"/>
        <v>0</v>
      </c>
      <c r="G57" s="626">
        <f t="shared" si="3"/>
        <v>0</v>
      </c>
      <c r="H57" s="626">
        <f t="shared" si="3"/>
        <v>0</v>
      </c>
      <c r="I57" s="627">
        <f t="shared" si="3"/>
        <v>0</v>
      </c>
      <c r="J57" s="581"/>
      <c r="K57" s="581"/>
      <c r="L57" s="619"/>
      <c r="M57" s="619"/>
      <c r="N57" s="619"/>
      <c r="O57" s="606"/>
      <c r="P57" s="606"/>
    </row>
    <row r="58" spans="1:28">
      <c r="J58" s="561"/>
      <c r="K58" s="561"/>
      <c r="L58" s="561"/>
      <c r="M58" s="561"/>
      <c r="N58" s="561"/>
    </row>
    <row r="59" spans="1:28">
      <c r="J59" s="561"/>
      <c r="K59" s="561"/>
      <c r="L59" s="561"/>
      <c r="M59" s="561"/>
      <c r="N59"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209106.230507</v>
      </c>
      <c r="D10" s="642">
        <f ca="1">tertiair!C16</f>
        <v>8284.5</v>
      </c>
      <c r="E10" s="642">
        <f ca="1">tertiair!D16</f>
        <v>196469.56386918004</v>
      </c>
      <c r="F10" s="642">
        <f>tertiair!E16</f>
        <v>468.81396499517342</v>
      </c>
      <c r="G10" s="642">
        <f ca="1">tertiair!F16</f>
        <v>32759.647858054377</v>
      </c>
      <c r="H10" s="642">
        <f>tertiair!G16</f>
        <v>0</v>
      </c>
      <c r="I10" s="642">
        <f>tertiair!H16</f>
        <v>0</v>
      </c>
      <c r="J10" s="642">
        <f>tertiair!I16</f>
        <v>0</v>
      </c>
      <c r="K10" s="642">
        <f>tertiair!J16</f>
        <v>0.1669329423273202</v>
      </c>
      <c r="L10" s="642">
        <f>tertiair!K16</f>
        <v>0</v>
      </c>
      <c r="M10" s="642">
        <f ca="1">tertiair!L16</f>
        <v>0</v>
      </c>
      <c r="N10" s="642">
        <f>tertiair!M16</f>
        <v>0</v>
      </c>
      <c r="O10" s="642">
        <f ca="1">tertiair!N16</f>
        <v>2513.8261793416664</v>
      </c>
      <c r="P10" s="642">
        <f>tertiair!O16</f>
        <v>39.178086126729234</v>
      </c>
      <c r="Q10" s="643">
        <f>tertiair!P16</f>
        <v>735.54793629093024</v>
      </c>
      <c r="R10" s="645">
        <f ca="1">SUM(C10:Q10)</f>
        <v>450377.47533393122</v>
      </c>
      <c r="S10" s="67"/>
    </row>
    <row r="11" spans="1:19" s="441" customFormat="1">
      <c r="A11" s="762" t="s">
        <v>214</v>
      </c>
      <c r="B11" s="767"/>
      <c r="C11" s="642">
        <f>huishoudens!B8</f>
        <v>127055.5969229147</v>
      </c>
      <c r="D11" s="642">
        <f>huishoudens!C8</f>
        <v>0</v>
      </c>
      <c r="E11" s="642">
        <f>huishoudens!D8</f>
        <v>306352.87157258339</v>
      </c>
      <c r="F11" s="642">
        <f>huishoudens!E8</f>
        <v>9350.5959273518165</v>
      </c>
      <c r="G11" s="642">
        <f>huishoudens!F8</f>
        <v>153234.59183220181</v>
      </c>
      <c r="H11" s="642">
        <f>huishoudens!G8</f>
        <v>0</v>
      </c>
      <c r="I11" s="642">
        <f>huishoudens!H8</f>
        <v>0</v>
      </c>
      <c r="J11" s="642">
        <f>huishoudens!I8</f>
        <v>0</v>
      </c>
      <c r="K11" s="642">
        <f>huishoudens!J8</f>
        <v>845.77814865584014</v>
      </c>
      <c r="L11" s="642">
        <f>huishoudens!K8</f>
        <v>0</v>
      </c>
      <c r="M11" s="642">
        <f>huishoudens!L8</f>
        <v>0</v>
      </c>
      <c r="N11" s="642">
        <f>huishoudens!M8</f>
        <v>0</v>
      </c>
      <c r="O11" s="642">
        <f>huishoudens!N8</f>
        <v>45802.820799645378</v>
      </c>
      <c r="P11" s="642">
        <f>huishoudens!O8</f>
        <v>1597.0863666065604</v>
      </c>
      <c r="Q11" s="643">
        <f>huishoudens!P8</f>
        <v>3002.1784026902315</v>
      </c>
      <c r="R11" s="645">
        <f>SUM(C11:Q11)</f>
        <v>647241.51997264975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592</v>
      </c>
      <c r="B13" s="771" t="s">
        <v>590</v>
      </c>
      <c r="C13" s="642">
        <f>industrie!B18</f>
        <v>56923.732933999992</v>
      </c>
      <c r="D13" s="642">
        <f>industrie!C18</f>
        <v>321.42857142857144</v>
      </c>
      <c r="E13" s="642">
        <f>industrie!D18</f>
        <v>78501.77248641086</v>
      </c>
      <c r="F13" s="642">
        <f>industrie!E18</f>
        <v>673.52126007498066</v>
      </c>
      <c r="G13" s="642">
        <f>industrie!F18</f>
        <v>17708.644221749109</v>
      </c>
      <c r="H13" s="642">
        <f>industrie!G18</f>
        <v>0</v>
      </c>
      <c r="I13" s="642">
        <f>industrie!H18</f>
        <v>0</v>
      </c>
      <c r="J13" s="642">
        <f>industrie!I18</f>
        <v>0</v>
      </c>
      <c r="K13" s="642">
        <f>industrie!J18</f>
        <v>5.5191852364494931</v>
      </c>
      <c r="L13" s="642">
        <f>industrie!K18</f>
        <v>0</v>
      </c>
      <c r="M13" s="642">
        <f>industrie!L18</f>
        <v>0</v>
      </c>
      <c r="N13" s="642">
        <f>industrie!M18</f>
        <v>0</v>
      </c>
      <c r="O13" s="642">
        <f>industrie!N18</f>
        <v>6497.4119021045381</v>
      </c>
      <c r="P13" s="642">
        <f>industrie!O18</f>
        <v>0</v>
      </c>
      <c r="Q13" s="643">
        <f>industrie!P18</f>
        <v>0</v>
      </c>
      <c r="R13" s="645">
        <f>SUM(C13:Q13)</f>
        <v>160632.03056100447</v>
      </c>
      <c r="S13" s="67"/>
    </row>
    <row r="14" spans="1:19" s="441" customFormat="1">
      <c r="A14" s="762"/>
      <c r="B14" s="771" t="s">
        <v>591</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673</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393085.5603639147</v>
      </c>
      <c r="D16" s="678">
        <f t="shared" ref="D16:R16" ca="1" si="0">SUM(D9:D15)</f>
        <v>8605.9285714285706</v>
      </c>
      <c r="E16" s="678">
        <f t="shared" ca="1" si="0"/>
        <v>581324.20792817429</v>
      </c>
      <c r="F16" s="678">
        <f t="shared" si="0"/>
        <v>10492.93115242197</v>
      </c>
      <c r="G16" s="678">
        <f t="shared" ca="1" si="0"/>
        <v>203702.88391200529</v>
      </c>
      <c r="H16" s="678">
        <f t="shared" si="0"/>
        <v>0</v>
      </c>
      <c r="I16" s="678">
        <f t="shared" si="0"/>
        <v>0</v>
      </c>
      <c r="J16" s="678">
        <f t="shared" si="0"/>
        <v>0</v>
      </c>
      <c r="K16" s="678">
        <f t="shared" si="0"/>
        <v>851.46426683461698</v>
      </c>
      <c r="L16" s="678">
        <f t="shared" si="0"/>
        <v>0</v>
      </c>
      <c r="M16" s="678">
        <f t="shared" ca="1" si="0"/>
        <v>0</v>
      </c>
      <c r="N16" s="678">
        <f t="shared" si="0"/>
        <v>0</v>
      </c>
      <c r="O16" s="678">
        <f t="shared" ca="1" si="0"/>
        <v>54814.058881091587</v>
      </c>
      <c r="P16" s="678">
        <f t="shared" si="0"/>
        <v>1636.2644527332898</v>
      </c>
      <c r="Q16" s="678">
        <f t="shared" si="0"/>
        <v>3737.7263389811615</v>
      </c>
      <c r="R16" s="678">
        <f t="shared" ca="1" si="0"/>
        <v>1258251.0258675856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216.60717302691577</v>
      </c>
      <c r="D19" s="642">
        <f>transport!C54</f>
        <v>0</v>
      </c>
      <c r="E19" s="642">
        <f>transport!D54</f>
        <v>0</v>
      </c>
      <c r="F19" s="642">
        <f>transport!E54</f>
        <v>0</v>
      </c>
      <c r="G19" s="642">
        <f>transport!F54</f>
        <v>0</v>
      </c>
      <c r="H19" s="642">
        <f>transport!G54</f>
        <v>15461.029758198882</v>
      </c>
      <c r="I19" s="642">
        <f>transport!H54</f>
        <v>0</v>
      </c>
      <c r="J19" s="642">
        <f>transport!I54</f>
        <v>0</v>
      </c>
      <c r="K19" s="642">
        <f>transport!J54</f>
        <v>0</v>
      </c>
      <c r="L19" s="642">
        <f>transport!K54</f>
        <v>0</v>
      </c>
      <c r="M19" s="642">
        <f>transport!L54</f>
        <v>0</v>
      </c>
      <c r="N19" s="642">
        <f>transport!M54</f>
        <v>853.73632320307081</v>
      </c>
      <c r="O19" s="642">
        <f>transport!N54</f>
        <v>0</v>
      </c>
      <c r="P19" s="642">
        <f>transport!O54</f>
        <v>0</v>
      </c>
      <c r="Q19" s="643">
        <f>transport!P54</f>
        <v>0</v>
      </c>
      <c r="R19" s="645">
        <f>SUM(C19:Q19)</f>
        <v>16531.373254428869</v>
      </c>
      <c r="S19" s="67"/>
    </row>
    <row r="20" spans="1:19" s="441" customFormat="1">
      <c r="A20" s="762" t="s">
        <v>296</v>
      </c>
      <c r="B20" s="767"/>
      <c r="C20" s="642">
        <f>transport!B14</f>
        <v>1141.3891675332809</v>
      </c>
      <c r="D20" s="642">
        <f>transport!C14</f>
        <v>0</v>
      </c>
      <c r="E20" s="642">
        <f>transport!D14</f>
        <v>1950.884792251808</v>
      </c>
      <c r="F20" s="642">
        <f>transport!E14</f>
        <v>1134.8256595360479</v>
      </c>
      <c r="G20" s="642">
        <f>transport!F14</f>
        <v>0</v>
      </c>
      <c r="H20" s="642">
        <f>transport!G14</f>
        <v>467981.45381566387</v>
      </c>
      <c r="I20" s="642">
        <f>transport!H14</f>
        <v>130313.99856263529</v>
      </c>
      <c r="J20" s="642">
        <f>transport!I14</f>
        <v>0</v>
      </c>
      <c r="K20" s="642">
        <f>transport!J14</f>
        <v>0</v>
      </c>
      <c r="L20" s="642">
        <f>transport!K14</f>
        <v>0</v>
      </c>
      <c r="M20" s="642">
        <f>transport!L14</f>
        <v>0</v>
      </c>
      <c r="N20" s="642">
        <f>transport!M14</f>
        <v>35407.008302051829</v>
      </c>
      <c r="O20" s="642">
        <f>transport!N14</f>
        <v>0</v>
      </c>
      <c r="P20" s="642">
        <f>transport!O14</f>
        <v>0</v>
      </c>
      <c r="Q20" s="643">
        <f>transport!P14</f>
        <v>0</v>
      </c>
      <c r="R20" s="645">
        <f>SUM(C20:Q20)</f>
        <v>637929.56029967207</v>
      </c>
      <c r="S20" s="67"/>
    </row>
    <row r="21" spans="1:19" s="441" customFormat="1" ht="15" thickBot="1">
      <c r="A21" s="784" t="s">
        <v>676</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1357.9963405601966</v>
      </c>
      <c r="D22" s="765">
        <f t="shared" ref="D22:R22" si="1">SUM(D18:D21)</f>
        <v>0</v>
      </c>
      <c r="E22" s="765">
        <f t="shared" si="1"/>
        <v>1950.884792251808</v>
      </c>
      <c r="F22" s="765">
        <f t="shared" si="1"/>
        <v>1134.8256595360479</v>
      </c>
      <c r="G22" s="765">
        <f t="shared" si="1"/>
        <v>0</v>
      </c>
      <c r="H22" s="765">
        <f t="shared" si="1"/>
        <v>483442.48357386276</v>
      </c>
      <c r="I22" s="765">
        <f t="shared" si="1"/>
        <v>130313.99856263529</v>
      </c>
      <c r="J22" s="765">
        <f t="shared" si="1"/>
        <v>0</v>
      </c>
      <c r="K22" s="765">
        <f t="shared" si="1"/>
        <v>0</v>
      </c>
      <c r="L22" s="765">
        <f t="shared" si="1"/>
        <v>0</v>
      </c>
      <c r="M22" s="765">
        <f t="shared" si="1"/>
        <v>0</v>
      </c>
      <c r="N22" s="765">
        <f t="shared" si="1"/>
        <v>36260.744625254898</v>
      </c>
      <c r="O22" s="765">
        <f t="shared" si="1"/>
        <v>0</v>
      </c>
      <c r="P22" s="765">
        <f t="shared" si="1"/>
        <v>0</v>
      </c>
      <c r="Q22" s="765">
        <f t="shared" si="1"/>
        <v>0</v>
      </c>
      <c r="R22" s="765">
        <f t="shared" si="1"/>
        <v>654460.93355410092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587</v>
      </c>
      <c r="B24" s="767"/>
      <c r="C24" s="642">
        <f>+landbouw!B8</f>
        <v>1606.7331449999999</v>
      </c>
      <c r="D24" s="642">
        <f>+landbouw!C8</f>
        <v>0</v>
      </c>
      <c r="E24" s="642">
        <f>+landbouw!D8</f>
        <v>1154.3846330939998</v>
      </c>
      <c r="F24" s="642">
        <f>+landbouw!E8</f>
        <v>47.371035557818004</v>
      </c>
      <c r="G24" s="642">
        <f>+landbouw!F8</f>
        <v>5106.7689503456604</v>
      </c>
      <c r="H24" s="642">
        <f>+landbouw!G8</f>
        <v>0</v>
      </c>
      <c r="I24" s="642">
        <f>+landbouw!H8</f>
        <v>0</v>
      </c>
      <c r="J24" s="642">
        <f>+landbouw!I8</f>
        <v>0</v>
      </c>
      <c r="K24" s="642">
        <f>+landbouw!J8</f>
        <v>405.20823262817322</v>
      </c>
      <c r="L24" s="642">
        <f>+landbouw!K8</f>
        <v>0</v>
      </c>
      <c r="M24" s="642">
        <f>+landbouw!L8</f>
        <v>0</v>
      </c>
      <c r="N24" s="642">
        <f>+landbouw!M8</f>
        <v>0</v>
      </c>
      <c r="O24" s="642">
        <f>+landbouw!N8</f>
        <v>0</v>
      </c>
      <c r="P24" s="642">
        <f>+landbouw!O8</f>
        <v>0</v>
      </c>
      <c r="Q24" s="643">
        <f>+landbouw!P8</f>
        <v>0</v>
      </c>
      <c r="R24" s="645">
        <f>SUM(C24:Q24)</f>
        <v>8320.4659966256513</v>
      </c>
      <c r="S24" s="67"/>
    </row>
    <row r="25" spans="1:19" s="441" customFormat="1" ht="15" thickBot="1">
      <c r="A25" s="784" t="s">
        <v>674</v>
      </c>
      <c r="B25" s="895"/>
      <c r="C25" s="896">
        <f>IF(Onbekend_ele_kWh="---",0,Onbekend_ele_kWh)/1000+IF(REST_rest_ele_kWh="---",0,REST_rest_ele_kWh)/1000</f>
        <v>11605.197886</v>
      </c>
      <c r="D25" s="896"/>
      <c r="E25" s="896">
        <f>IF(onbekend_gas_kWh="---",0,onbekend_gas_kWh)/1000+IF(REST_rest_gas_kWh="---",0,REST_rest_gas_kWh)/1000</f>
        <v>19713.579269999998</v>
      </c>
      <c r="F25" s="896"/>
      <c r="G25" s="896"/>
      <c r="H25" s="896"/>
      <c r="I25" s="896"/>
      <c r="J25" s="896"/>
      <c r="K25" s="896"/>
      <c r="L25" s="896"/>
      <c r="M25" s="896"/>
      <c r="N25" s="896"/>
      <c r="O25" s="896"/>
      <c r="P25" s="896"/>
      <c r="Q25" s="897"/>
      <c r="R25" s="645">
        <f>SUM(C25:Q25)</f>
        <v>31318.777155999996</v>
      </c>
      <c r="S25" s="67"/>
    </row>
    <row r="26" spans="1:19" s="441" customFormat="1" ht="15.75" thickBot="1">
      <c r="A26" s="650" t="s">
        <v>675</v>
      </c>
      <c r="B26" s="770"/>
      <c r="C26" s="765">
        <f>SUM(C24:C25)</f>
        <v>13211.931031</v>
      </c>
      <c r="D26" s="765">
        <f t="shared" ref="D26:R26" si="2">SUM(D24:D25)</f>
        <v>0</v>
      </c>
      <c r="E26" s="765">
        <f t="shared" si="2"/>
        <v>20867.963903093998</v>
      </c>
      <c r="F26" s="765">
        <f t="shared" si="2"/>
        <v>47.371035557818004</v>
      </c>
      <c r="G26" s="765">
        <f t="shared" si="2"/>
        <v>5106.7689503456604</v>
      </c>
      <c r="H26" s="765">
        <f t="shared" si="2"/>
        <v>0</v>
      </c>
      <c r="I26" s="765">
        <f t="shared" si="2"/>
        <v>0</v>
      </c>
      <c r="J26" s="765">
        <f t="shared" si="2"/>
        <v>0</v>
      </c>
      <c r="K26" s="765">
        <f t="shared" si="2"/>
        <v>405.20823262817322</v>
      </c>
      <c r="L26" s="765">
        <f t="shared" si="2"/>
        <v>0</v>
      </c>
      <c r="M26" s="765">
        <f t="shared" si="2"/>
        <v>0</v>
      </c>
      <c r="N26" s="765">
        <f t="shared" si="2"/>
        <v>0</v>
      </c>
      <c r="O26" s="765">
        <f t="shared" si="2"/>
        <v>0</v>
      </c>
      <c r="P26" s="765">
        <f t="shared" si="2"/>
        <v>0</v>
      </c>
      <c r="Q26" s="765">
        <f t="shared" si="2"/>
        <v>0</v>
      </c>
      <c r="R26" s="765">
        <f t="shared" si="2"/>
        <v>39639.243152625648</v>
      </c>
      <c r="S26" s="67"/>
    </row>
    <row r="27" spans="1:19" s="441" customFormat="1" ht="17.25" thickTop="1" thickBot="1">
      <c r="A27" s="651" t="s">
        <v>109</v>
      </c>
      <c r="B27" s="757"/>
      <c r="C27" s="652">
        <f ca="1">C22+C16+C26</f>
        <v>407655.48773547489</v>
      </c>
      <c r="D27" s="652">
        <f t="shared" ref="D27:R27" ca="1" si="3">D22+D16+D26</f>
        <v>8605.9285714285706</v>
      </c>
      <c r="E27" s="652">
        <f t="shared" ca="1" si="3"/>
        <v>604143.0566235201</v>
      </c>
      <c r="F27" s="652">
        <f t="shared" si="3"/>
        <v>11675.127847515836</v>
      </c>
      <c r="G27" s="652">
        <f t="shared" ca="1" si="3"/>
        <v>208809.65286235095</v>
      </c>
      <c r="H27" s="652">
        <f t="shared" si="3"/>
        <v>483442.48357386276</v>
      </c>
      <c r="I27" s="652">
        <f t="shared" si="3"/>
        <v>130313.99856263529</v>
      </c>
      <c r="J27" s="652">
        <f t="shared" si="3"/>
        <v>0</v>
      </c>
      <c r="K27" s="652">
        <f t="shared" si="3"/>
        <v>1256.6724994627903</v>
      </c>
      <c r="L27" s="652">
        <f t="shared" si="3"/>
        <v>0</v>
      </c>
      <c r="M27" s="652">
        <f t="shared" ca="1" si="3"/>
        <v>0</v>
      </c>
      <c r="N27" s="652">
        <f t="shared" si="3"/>
        <v>36260.744625254898</v>
      </c>
      <c r="O27" s="652">
        <f t="shared" ca="1" si="3"/>
        <v>54814.058881091587</v>
      </c>
      <c r="P27" s="652">
        <f t="shared" si="3"/>
        <v>1636.2644527332898</v>
      </c>
      <c r="Q27" s="652">
        <f t="shared" si="3"/>
        <v>3737.7263389811615</v>
      </c>
      <c r="R27" s="652">
        <f t="shared" ca="1" si="3"/>
        <v>1952351.202574312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40774.98701706608</v>
      </c>
      <c r="D40" s="642">
        <f ca="1">tertiair!C20</f>
        <v>1968.7870588235303</v>
      </c>
      <c r="E40" s="642">
        <f ca="1">tertiair!D20</f>
        <v>39686.851901574373</v>
      </c>
      <c r="F40" s="642">
        <f>tertiair!E20</f>
        <v>106.42077005390438</v>
      </c>
      <c r="G40" s="642">
        <f ca="1">tertiair!F20</f>
        <v>8746.8259781005199</v>
      </c>
      <c r="H40" s="642">
        <f>tertiair!G20</f>
        <v>0</v>
      </c>
      <c r="I40" s="642">
        <f>tertiair!H20</f>
        <v>0</v>
      </c>
      <c r="J40" s="642">
        <f>tertiair!I20</f>
        <v>0</v>
      </c>
      <c r="K40" s="642">
        <f>tertiair!J20</f>
        <v>5.9094261583871349E-2</v>
      </c>
      <c r="L40" s="642">
        <f>tertiair!K20</f>
        <v>0</v>
      </c>
      <c r="M40" s="642">
        <f ca="1">tertiair!L20</f>
        <v>0</v>
      </c>
      <c r="N40" s="642">
        <f>tertiair!M20</f>
        <v>0</v>
      </c>
      <c r="O40" s="642">
        <f ca="1">tertiair!N20</f>
        <v>0</v>
      </c>
      <c r="P40" s="642">
        <f>tertiair!O20</f>
        <v>0</v>
      </c>
      <c r="Q40" s="725">
        <f>tertiair!P20</f>
        <v>0</v>
      </c>
      <c r="R40" s="803">
        <f t="shared" ca="1" si="4"/>
        <v>91283.931819879988</v>
      </c>
    </row>
    <row r="41" spans="1:18">
      <c r="A41" s="775" t="s">
        <v>214</v>
      </c>
      <c r="B41" s="782"/>
      <c r="C41" s="642">
        <f ca="1">huishoudens!B12</f>
        <v>24775.399099377861</v>
      </c>
      <c r="D41" s="642">
        <f ca="1">huishoudens!C12</f>
        <v>0</v>
      </c>
      <c r="E41" s="642">
        <f>huishoudens!D12</f>
        <v>61883.280057661847</v>
      </c>
      <c r="F41" s="642">
        <f>huishoudens!E12</f>
        <v>2122.5852755088622</v>
      </c>
      <c r="G41" s="642">
        <f>huishoudens!F12</f>
        <v>40913.636019197889</v>
      </c>
      <c r="H41" s="642">
        <f>huishoudens!G12</f>
        <v>0</v>
      </c>
      <c r="I41" s="642">
        <f>huishoudens!H12</f>
        <v>0</v>
      </c>
      <c r="J41" s="642">
        <f>huishoudens!I12</f>
        <v>0</v>
      </c>
      <c r="K41" s="642">
        <f>huishoudens!J12</f>
        <v>299.40546462416739</v>
      </c>
      <c r="L41" s="642">
        <f>huishoudens!K12</f>
        <v>0</v>
      </c>
      <c r="M41" s="642">
        <f>huishoudens!L12</f>
        <v>0</v>
      </c>
      <c r="N41" s="642">
        <f>huishoudens!M12</f>
        <v>0</v>
      </c>
      <c r="O41" s="642">
        <f>huishoudens!N12</f>
        <v>0</v>
      </c>
      <c r="P41" s="642">
        <f>huishoudens!O12</f>
        <v>0</v>
      </c>
      <c r="Q41" s="725">
        <f>huishoudens!P12</f>
        <v>0</v>
      </c>
      <c r="R41" s="803">
        <f t="shared" ca="1" si="4"/>
        <v>129994.30591637062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593</v>
      </c>
      <c r="B43" s="790" t="s">
        <v>590</v>
      </c>
      <c r="C43" s="642">
        <f ca="1">industrie!B22</f>
        <v>11099.929761629397</v>
      </c>
      <c r="D43" s="642">
        <f ca="1">industrie!C22</f>
        <v>76.386554621848774</v>
      </c>
      <c r="E43" s="642">
        <f>industrie!D22</f>
        <v>15857.358042254995</v>
      </c>
      <c r="F43" s="642">
        <f>industrie!E22</f>
        <v>152.88932603702062</v>
      </c>
      <c r="G43" s="642">
        <f>industrie!F22</f>
        <v>4728.2080072070121</v>
      </c>
      <c r="H43" s="642">
        <f>industrie!G22</f>
        <v>0</v>
      </c>
      <c r="I43" s="642">
        <f>industrie!H22</f>
        <v>0</v>
      </c>
      <c r="J43" s="642">
        <f>industrie!I22</f>
        <v>0</v>
      </c>
      <c r="K43" s="642">
        <f>industrie!J22</f>
        <v>1.9537915737031204</v>
      </c>
      <c r="L43" s="642">
        <f>industrie!K22</f>
        <v>0</v>
      </c>
      <c r="M43" s="642">
        <f>industrie!L22</f>
        <v>0</v>
      </c>
      <c r="N43" s="642">
        <f>industrie!M22</f>
        <v>0</v>
      </c>
      <c r="O43" s="642">
        <f>industrie!N22</f>
        <v>0</v>
      </c>
      <c r="P43" s="642">
        <f>industrie!O22</f>
        <v>0</v>
      </c>
      <c r="Q43" s="725">
        <f>industrie!P22</f>
        <v>0</v>
      </c>
      <c r="R43" s="802">
        <f t="shared" ca="1" si="4"/>
        <v>31916.725483323979</v>
      </c>
    </row>
    <row r="44" spans="1:18">
      <c r="A44" s="775"/>
      <c r="B44" s="782" t="s">
        <v>591</v>
      </c>
      <c r="C44" s="642"/>
      <c r="D44" s="642"/>
      <c r="E44" s="642"/>
      <c r="F44" s="642"/>
      <c r="G44" s="642"/>
      <c r="H44" s="642"/>
      <c r="I44" s="642"/>
      <c r="J44" s="642"/>
      <c r="K44" s="642"/>
      <c r="L44" s="642"/>
      <c r="M44" s="642"/>
      <c r="N44" s="642"/>
      <c r="O44" s="642"/>
      <c r="P44" s="642"/>
      <c r="Q44" s="725"/>
      <c r="R44" s="803">
        <f t="shared" si="4"/>
        <v>0</v>
      </c>
    </row>
    <row r="45" spans="1:18" ht="15" thickBot="1">
      <c r="A45" s="894" t="s">
        <v>673</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76650.315878073336</v>
      </c>
      <c r="D46" s="678">
        <f t="shared" ref="D46:Q46" ca="1" si="5">SUM(D39:D45)</f>
        <v>2045.173613445379</v>
      </c>
      <c r="E46" s="678">
        <f t="shared" ca="1" si="5"/>
        <v>117427.49000149123</v>
      </c>
      <c r="F46" s="678">
        <f t="shared" si="5"/>
        <v>2381.8953715997873</v>
      </c>
      <c r="G46" s="678">
        <f t="shared" ca="1" si="5"/>
        <v>54388.670004505417</v>
      </c>
      <c r="H46" s="678">
        <f t="shared" si="5"/>
        <v>0</v>
      </c>
      <c r="I46" s="678">
        <f t="shared" si="5"/>
        <v>0</v>
      </c>
      <c r="J46" s="678">
        <f t="shared" si="5"/>
        <v>0</v>
      </c>
      <c r="K46" s="678">
        <f t="shared" si="5"/>
        <v>301.41835045945442</v>
      </c>
      <c r="L46" s="678">
        <f t="shared" si="5"/>
        <v>0</v>
      </c>
      <c r="M46" s="678">
        <f t="shared" ca="1" si="5"/>
        <v>0</v>
      </c>
      <c r="N46" s="678">
        <f t="shared" si="5"/>
        <v>0</v>
      </c>
      <c r="O46" s="678">
        <f t="shared" ca="1" si="5"/>
        <v>0</v>
      </c>
      <c r="P46" s="678">
        <f t="shared" si="5"/>
        <v>0</v>
      </c>
      <c r="Q46" s="678">
        <f t="shared" si="5"/>
        <v>0</v>
      </c>
      <c r="R46" s="678">
        <f ca="1">SUM(R39:R45)</f>
        <v>253194.96321957459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42.237644696484601</v>
      </c>
      <c r="D49" s="642">
        <f ca="1">transport!C58</f>
        <v>0</v>
      </c>
      <c r="E49" s="642">
        <f>transport!D58</f>
        <v>0</v>
      </c>
      <c r="F49" s="642">
        <f>transport!E58</f>
        <v>0</v>
      </c>
      <c r="G49" s="642">
        <f>transport!F58</f>
        <v>0</v>
      </c>
      <c r="H49" s="642">
        <f>transport!G58</f>
        <v>4128.094945439102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4170.3325901355865</v>
      </c>
    </row>
    <row r="50" spans="1:18">
      <c r="A50" s="778" t="s">
        <v>296</v>
      </c>
      <c r="B50" s="788"/>
      <c r="C50" s="648">
        <f ca="1">transport!B18</f>
        <v>222.56691431311233</v>
      </c>
      <c r="D50" s="648">
        <f>transport!C18</f>
        <v>0</v>
      </c>
      <c r="E50" s="648">
        <f>transport!D18</f>
        <v>394.07872803486526</v>
      </c>
      <c r="F50" s="648">
        <f>transport!E18</f>
        <v>257.6054247146829</v>
      </c>
      <c r="G50" s="648">
        <f>transport!F18</f>
        <v>0</v>
      </c>
      <c r="H50" s="648">
        <f>transport!G18</f>
        <v>124951.04816878226</v>
      </c>
      <c r="I50" s="648">
        <f>transport!H18</f>
        <v>32448.185642096185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158273.48487794111</v>
      </c>
    </row>
    <row r="51" spans="1:18" ht="15" thickBot="1">
      <c r="A51" s="775" t="s">
        <v>676</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264.80455900959691</v>
      </c>
      <c r="D52" s="678">
        <f t="shared" ref="D52:Q52" ca="1" si="6">SUM(D48:D51)</f>
        <v>0</v>
      </c>
      <c r="E52" s="678">
        <f t="shared" si="6"/>
        <v>394.07872803486526</v>
      </c>
      <c r="F52" s="678">
        <f t="shared" si="6"/>
        <v>257.6054247146829</v>
      </c>
      <c r="G52" s="678">
        <f t="shared" si="6"/>
        <v>0</v>
      </c>
      <c r="H52" s="678">
        <f t="shared" si="6"/>
        <v>129079.14311422137</v>
      </c>
      <c r="I52" s="678">
        <f t="shared" si="6"/>
        <v>32448.185642096185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162443.81746807671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587</v>
      </c>
      <c r="B54" s="788"/>
      <c r="C54" s="648">
        <f ca="1">+landbouw!B12</f>
        <v>313.30736998327552</v>
      </c>
      <c r="D54" s="648">
        <f ca="1">+landbouw!C12</f>
        <v>0</v>
      </c>
      <c r="E54" s="648">
        <f>+landbouw!D12</f>
        <v>233.18569588498798</v>
      </c>
      <c r="F54" s="648">
        <f>+landbouw!E12</f>
        <v>10.753225071624687</v>
      </c>
      <c r="G54" s="648">
        <f>+landbouw!F12</f>
        <v>1363.5073097422915</v>
      </c>
      <c r="H54" s="648">
        <f>+landbouw!G12</f>
        <v>0</v>
      </c>
      <c r="I54" s="648">
        <f>+landbouw!H12</f>
        <v>0</v>
      </c>
      <c r="J54" s="648">
        <f>+landbouw!I12</f>
        <v>0</v>
      </c>
      <c r="K54" s="648">
        <f>+landbouw!J12</f>
        <v>143.44371435037331</v>
      </c>
      <c r="L54" s="648">
        <f>+landbouw!K12</f>
        <v>0</v>
      </c>
      <c r="M54" s="648">
        <f>+landbouw!L12</f>
        <v>0</v>
      </c>
      <c r="N54" s="648">
        <f>+landbouw!M12</f>
        <v>0</v>
      </c>
      <c r="O54" s="648">
        <f>+landbouw!N12</f>
        <v>0</v>
      </c>
      <c r="P54" s="648">
        <f>+landbouw!O12</f>
        <v>0</v>
      </c>
      <c r="Q54" s="649">
        <f>+landbouw!P12</f>
        <v>0</v>
      </c>
      <c r="R54" s="677">
        <f ca="1">SUM(C54:Q54)</f>
        <v>2064.197315032553</v>
      </c>
    </row>
    <row r="55" spans="1:18" ht="15" thickBot="1">
      <c r="A55" s="778" t="s">
        <v>674</v>
      </c>
      <c r="B55" s="788"/>
      <c r="C55" s="648">
        <f ca="1">C25*'EF ele_warmte'!B12</f>
        <v>2262.9731882441056</v>
      </c>
      <c r="D55" s="648"/>
      <c r="E55" s="648">
        <f>E25*EF_CO2_aardgas</f>
        <v>3982.1430125399997</v>
      </c>
      <c r="F55" s="648"/>
      <c r="G55" s="648"/>
      <c r="H55" s="648"/>
      <c r="I55" s="648"/>
      <c r="J55" s="648"/>
      <c r="K55" s="648"/>
      <c r="L55" s="648"/>
      <c r="M55" s="648"/>
      <c r="N55" s="648"/>
      <c r="O55" s="648"/>
      <c r="P55" s="648"/>
      <c r="Q55" s="649"/>
      <c r="R55" s="677">
        <f ca="1">SUM(C55:Q55)</f>
        <v>6245.1162007841049</v>
      </c>
    </row>
    <row r="56" spans="1:18" ht="15.75" thickBot="1">
      <c r="A56" s="776" t="s">
        <v>675</v>
      </c>
      <c r="B56" s="789"/>
      <c r="C56" s="678">
        <f ca="1">SUM(C54:C55)</f>
        <v>2576.2805582273813</v>
      </c>
      <c r="D56" s="678">
        <f t="shared" ref="D56:Q56" ca="1" si="7">SUM(D54:D55)</f>
        <v>0</v>
      </c>
      <c r="E56" s="678">
        <f t="shared" si="7"/>
        <v>4215.3287084249878</v>
      </c>
      <c r="F56" s="678">
        <f t="shared" si="7"/>
        <v>10.753225071624687</v>
      </c>
      <c r="G56" s="678">
        <f t="shared" si="7"/>
        <v>1363.5073097422915</v>
      </c>
      <c r="H56" s="678">
        <f t="shared" si="7"/>
        <v>0</v>
      </c>
      <c r="I56" s="678">
        <f t="shared" si="7"/>
        <v>0</v>
      </c>
      <c r="J56" s="678">
        <f t="shared" si="7"/>
        <v>0</v>
      </c>
      <c r="K56" s="678">
        <f t="shared" si="7"/>
        <v>143.44371435037331</v>
      </c>
      <c r="L56" s="678">
        <f t="shared" si="7"/>
        <v>0</v>
      </c>
      <c r="M56" s="678">
        <f t="shared" si="7"/>
        <v>0</v>
      </c>
      <c r="N56" s="678">
        <f t="shared" si="7"/>
        <v>0</v>
      </c>
      <c r="O56" s="678">
        <f t="shared" si="7"/>
        <v>0</v>
      </c>
      <c r="P56" s="678">
        <f t="shared" si="7"/>
        <v>0</v>
      </c>
      <c r="Q56" s="679">
        <f t="shared" si="7"/>
        <v>0</v>
      </c>
      <c r="R56" s="680">
        <f ca="1">SUM(R54:R55)</f>
        <v>8309.3135158166588</v>
      </c>
    </row>
    <row r="57" spans="1:18" ht="15.75">
      <c r="A57" s="756" t="s">
        <v>588</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79491.400995310323</v>
      </c>
      <c r="D61" s="686">
        <f t="shared" ref="D61:Q61" ca="1" si="8">D46+D52+D56</f>
        <v>2045.173613445379</v>
      </c>
      <c r="E61" s="686">
        <f t="shared" ca="1" si="8"/>
        <v>122036.89743795108</v>
      </c>
      <c r="F61" s="686">
        <f t="shared" si="8"/>
        <v>2650.2540213860952</v>
      </c>
      <c r="G61" s="686">
        <f t="shared" ca="1" si="8"/>
        <v>55752.17731424771</v>
      </c>
      <c r="H61" s="686">
        <f t="shared" si="8"/>
        <v>129079.14311422137</v>
      </c>
      <c r="I61" s="686">
        <f t="shared" si="8"/>
        <v>32448.185642096185</v>
      </c>
      <c r="J61" s="686">
        <f t="shared" si="8"/>
        <v>0</v>
      </c>
      <c r="K61" s="686">
        <f t="shared" si="8"/>
        <v>444.86206480982776</v>
      </c>
      <c r="L61" s="686">
        <f t="shared" si="8"/>
        <v>0</v>
      </c>
      <c r="M61" s="686">
        <f t="shared" ca="1" si="8"/>
        <v>0</v>
      </c>
      <c r="N61" s="686">
        <f t="shared" si="8"/>
        <v>0</v>
      </c>
      <c r="O61" s="686">
        <f t="shared" ca="1" si="8"/>
        <v>0</v>
      </c>
      <c r="P61" s="686">
        <f t="shared" si="8"/>
        <v>0</v>
      </c>
      <c r="Q61" s="686">
        <f t="shared" si="8"/>
        <v>0</v>
      </c>
      <c r="R61" s="686">
        <f ca="1">R46+R52+R56</f>
        <v>423948.09420346795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0.19499651884213515</v>
      </c>
      <c r="D63" s="732">
        <f t="shared" ca="1" si="9"/>
        <v>0.23764705882352954</v>
      </c>
      <c r="E63" s="921">
        <f t="shared" ca="1" si="9"/>
        <v>0.20200000000000004</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596</v>
      </c>
      <c r="Q69" s="1042" t="s">
        <v>595</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594</v>
      </c>
      <c r="C71" s="888" t="s">
        <v>678</v>
      </c>
      <c r="D71" s="901" t="s">
        <v>192</v>
      </c>
      <c r="E71" s="902" t="s">
        <v>193</v>
      </c>
      <c r="F71" s="883" t="s">
        <v>194</v>
      </c>
      <c r="G71" s="882" t="s">
        <v>196</v>
      </c>
      <c r="H71" s="903" t="s">
        <v>197</v>
      </c>
      <c r="I71" s="884"/>
      <c r="J71" s="884"/>
      <c r="K71" s="884"/>
      <c r="L71" s="884"/>
      <c r="M71" s="698"/>
      <c r="N71" s="884"/>
      <c r="O71" s="889"/>
      <c r="P71" s="911"/>
      <c r="Q71" s="890" t="s">
        <v>597</v>
      </c>
      <c r="R71" s="889" t="s">
        <v>598</v>
      </c>
    </row>
    <row r="72" spans="1:18" ht="15.75" thickTop="1">
      <c r="A72" s="699" t="s">
        <v>238</v>
      </c>
      <c r="B72" s="796">
        <f>'lokale energieproductie'!B4</f>
        <v>16039.624472918733</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31142.541471160032</v>
      </c>
      <c r="C74" s="1047"/>
      <c r="D74" s="1047"/>
      <c r="E74" s="1054"/>
      <c r="F74" s="1054"/>
      <c r="G74" s="1061"/>
      <c r="H74" s="1064"/>
      <c r="I74" s="1047"/>
      <c r="J74" s="887"/>
      <c r="K74" s="1054"/>
      <c r="L74" s="1054"/>
      <c r="M74" s="1054"/>
      <c r="N74" s="1054"/>
      <c r="O74" s="1057"/>
      <c r="P74" s="805">
        <v>0</v>
      </c>
      <c r="Q74" s="811"/>
      <c r="R74" s="805">
        <v>0</v>
      </c>
    </row>
    <row r="75" spans="1:18" ht="15.75" thickBot="1">
      <c r="A75" s="700" t="s">
        <v>677</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6024.15</v>
      </c>
      <c r="D76" s="904">
        <f>'lokale energieproductie'!C8</f>
        <v>7087.2352941176478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1431.6215294117649</v>
      </c>
      <c r="R76" s="805">
        <v>0</v>
      </c>
    </row>
    <row r="77" spans="1:18" ht="15.75" thickBot="1">
      <c r="A77" s="702" t="s">
        <v>719</v>
      </c>
      <c r="B77" s="699">
        <f>'lokale energieproductie'!B9*IFERROR(SUM(I77:O77)/SUM(D77:O77),0)</f>
        <v>1237.5</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3535.7142857142858</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48419.665944078763</v>
      </c>
      <c r="C78" s="704">
        <f>SUM(C72:C77)</f>
        <v>6024.15</v>
      </c>
      <c r="D78" s="705">
        <f t="shared" ref="D78:H78" si="10">SUM(D76:D77)</f>
        <v>7087.2352941176478</v>
      </c>
      <c r="E78" s="705">
        <f t="shared" si="10"/>
        <v>0</v>
      </c>
      <c r="F78" s="705">
        <f t="shared" si="10"/>
        <v>0</v>
      </c>
      <c r="G78" s="705">
        <f t="shared" si="10"/>
        <v>0</v>
      </c>
      <c r="H78" s="705">
        <f t="shared" si="10"/>
        <v>0</v>
      </c>
      <c r="I78" s="705">
        <f>SUM(I76:I77)</f>
        <v>0</v>
      </c>
      <c r="J78" s="705">
        <f>SUM(J76:J77)</f>
        <v>3535.7142857142858</v>
      </c>
      <c r="K78" s="705">
        <f t="shared" ref="K78:L78" si="11">SUM(K76:K77)</f>
        <v>0</v>
      </c>
      <c r="L78" s="705">
        <f t="shared" si="11"/>
        <v>0</v>
      </c>
      <c r="M78" s="705">
        <f>SUM(M76:M77)</f>
        <v>0</v>
      </c>
      <c r="N78" s="705">
        <f>SUM(N76:N77)</f>
        <v>0</v>
      </c>
      <c r="O78" s="813">
        <f>SUM(O76:O77)</f>
        <v>0</v>
      </c>
      <c r="P78" s="706">
        <v>0</v>
      </c>
      <c r="Q78" s="706">
        <f>SUM(Q76:Q77)</f>
        <v>1431.6215294117649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596</v>
      </c>
      <c r="Q84" s="1070" t="s">
        <v>595</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594</v>
      </c>
      <c r="C86" s="797" t="s">
        <v>678</v>
      </c>
      <c r="D86" s="713" t="s">
        <v>192</v>
      </c>
      <c r="E86" s="697" t="s">
        <v>193</v>
      </c>
      <c r="F86" s="714" t="s">
        <v>194</v>
      </c>
      <c r="G86" s="697" t="s">
        <v>196</v>
      </c>
      <c r="H86" s="715" t="s">
        <v>197</v>
      </c>
      <c r="I86" s="1079"/>
      <c r="J86" s="1075"/>
      <c r="K86" s="1045"/>
      <c r="L86" s="1045"/>
      <c r="M86" s="1091"/>
      <c r="N86" s="1045"/>
      <c r="O86" s="1077"/>
      <c r="P86" s="911"/>
      <c r="Q86" s="750" t="s">
        <v>597</v>
      </c>
      <c r="R86" s="748" t="s">
        <v>598</v>
      </c>
    </row>
    <row r="87" spans="1:19" ht="15.75" thickTop="1">
      <c r="A87" s="716" t="s">
        <v>241</v>
      </c>
      <c r="B87" s="717">
        <f>'lokale energieproductie'!B17*IFERROR(SUM(I87:O87)/SUM(D87:O87),0)</f>
        <v>0</v>
      </c>
      <c r="C87" s="717">
        <f>'lokale energieproductie'!B17*IFERROR(SUM(D87:H87)/SUM(D87:O87),0)</f>
        <v>8605.9285714285725</v>
      </c>
      <c r="D87" s="728">
        <f>'lokale energieproductie'!C17</f>
        <v>10124.621848739498</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2045.1736134453788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8605.9285714285725</v>
      </c>
      <c r="D90" s="704">
        <f t="shared" ref="D90:H90" si="12">SUM(D87:D89)</f>
        <v>10124.621848739498</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2045.1736134453788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756</v>
      </c>
      <c r="B2" s="1023" t="s">
        <v>818</v>
      </c>
      <c r="C2" s="1022" t="s">
        <v>604</v>
      </c>
      <c r="D2" s="1022" t="s">
        <v>757</v>
      </c>
      <c r="E2" s="341"/>
      <c r="F2" s="850" t="s">
        <v>642</v>
      </c>
      <c r="G2" s="850" t="s">
        <v>641</v>
      </c>
      <c r="H2" s="850" t="s">
        <v>643</v>
      </c>
    </row>
    <row r="3" spans="1:8" s="11" customFormat="1">
      <c r="A3" s="1022" t="s">
        <v>827</v>
      </c>
      <c r="B3" s="1023" t="s">
        <v>828</v>
      </c>
      <c r="C3" s="1022" t="s">
        <v>186</v>
      </c>
      <c r="D3" s="1024" t="s">
        <v>829</v>
      </c>
      <c r="E3" s="341"/>
      <c r="F3" s="850" t="s">
        <v>642</v>
      </c>
      <c r="G3" s="850" t="s">
        <v>641</v>
      </c>
      <c r="H3" s="850" t="s">
        <v>643</v>
      </c>
    </row>
    <row r="4" spans="1:8" s="11" customFormat="1">
      <c r="A4" s="340" t="s">
        <v>383</v>
      </c>
      <c r="B4" s="752">
        <v>2020</v>
      </c>
      <c r="C4" s="340" t="s">
        <v>383</v>
      </c>
      <c r="D4" s="340" t="s">
        <v>649</v>
      </c>
      <c r="E4" s="341"/>
      <c r="F4" s="850" t="s">
        <v>638</v>
      </c>
      <c r="G4" s="850" t="s">
        <v>639</v>
      </c>
      <c r="H4" s="850" t="s">
        <v>640</v>
      </c>
    </row>
    <row r="5" spans="1:8">
      <c r="A5" s="335" t="s">
        <v>739</v>
      </c>
      <c r="B5" s="847" t="s">
        <v>758</v>
      </c>
      <c r="C5" s="335" t="s">
        <v>739</v>
      </c>
      <c r="D5" s="335" t="s">
        <v>650</v>
      </c>
      <c r="E5" s="337"/>
      <c r="F5" s="338"/>
      <c r="G5" s="338"/>
      <c r="H5" s="339"/>
    </row>
    <row r="6" spans="1:8">
      <c r="A6" s="340" t="s">
        <v>407</v>
      </c>
      <c r="B6" s="343" t="s">
        <v>408</v>
      </c>
      <c r="C6" s="340" t="s">
        <v>410</v>
      </c>
      <c r="D6" s="340" t="s">
        <v>406</v>
      </c>
      <c r="E6" s="337" t="s">
        <v>409</v>
      </c>
      <c r="F6" s="338"/>
      <c r="G6" s="338"/>
      <c r="H6" s="339"/>
    </row>
    <row r="7" spans="1:8" s="11" customFormat="1">
      <c r="A7" s="340" t="s">
        <v>644</v>
      </c>
      <c r="B7" s="752">
        <v>2019</v>
      </c>
      <c r="C7" s="340" t="s">
        <v>383</v>
      </c>
      <c r="D7" s="340" t="s">
        <v>796</v>
      </c>
      <c r="E7" s="341" t="s">
        <v>645</v>
      </c>
      <c r="F7" s="850"/>
      <c r="G7" s="850"/>
      <c r="H7" s="1010"/>
    </row>
    <row r="8" spans="1:8" s="841" customFormat="1">
      <c r="A8" s="340" t="s">
        <v>655</v>
      </c>
      <c r="B8" s="752">
        <v>2017</v>
      </c>
      <c r="C8" s="340" t="s">
        <v>657</v>
      </c>
      <c r="D8" s="340" t="s">
        <v>656</v>
      </c>
      <c r="E8" s="342" t="s">
        <v>654</v>
      </c>
      <c r="F8" s="338"/>
      <c r="G8" s="338"/>
      <c r="H8" s="339"/>
    </row>
    <row r="9" spans="1:8" s="11" customFormat="1">
      <c r="A9" s="340" t="s">
        <v>581</v>
      </c>
      <c r="B9" s="752" t="s">
        <v>759</v>
      </c>
      <c r="C9" s="340" t="s">
        <v>582</v>
      </c>
      <c r="D9" s="340" t="s">
        <v>583</v>
      </c>
      <c r="E9" s="341"/>
      <c r="F9" s="850" t="s">
        <v>762</v>
      </c>
      <c r="G9" s="850"/>
      <c r="H9" s="1001" t="s">
        <v>763</v>
      </c>
    </row>
    <row r="10" spans="1:8">
      <c r="A10" s="335" t="s">
        <v>633</v>
      </c>
      <c r="B10" s="847" t="s">
        <v>663</v>
      </c>
      <c r="C10" s="335" t="s">
        <v>634</v>
      </c>
      <c r="D10" s="335" t="s">
        <v>716</v>
      </c>
      <c r="E10" s="641"/>
      <c r="F10" s="338" t="s">
        <v>637</v>
      </c>
      <c r="G10" s="338" t="s">
        <v>635</v>
      </c>
      <c r="H10" s="339" t="s">
        <v>636</v>
      </c>
    </row>
    <row r="11" spans="1:8" s="841" customFormat="1">
      <c r="A11" s="340" t="s">
        <v>648</v>
      </c>
      <c r="B11" s="752">
        <v>2017</v>
      </c>
      <c r="C11" s="340" t="s">
        <v>401</v>
      </c>
      <c r="D11" s="340" t="s">
        <v>647</v>
      </c>
      <c r="E11" s="337"/>
      <c r="F11" s="338" t="s">
        <v>646</v>
      </c>
      <c r="G11" s="338" t="s">
        <v>651</v>
      </c>
      <c r="H11" s="339" t="s">
        <v>652</v>
      </c>
    </row>
    <row r="12" spans="1:8" s="10" customFormat="1">
      <c r="A12" s="340" t="s">
        <v>385</v>
      </c>
      <c r="B12" s="336" t="s">
        <v>400</v>
      </c>
      <c r="C12" s="335"/>
      <c r="D12" s="344" t="s">
        <v>399</v>
      </c>
      <c r="E12" s="337"/>
      <c r="F12" s="338"/>
      <c r="G12" s="338"/>
      <c r="H12" s="339"/>
    </row>
    <row r="13" spans="1:8">
      <c r="A13" s="335" t="s">
        <v>379</v>
      </c>
      <c r="B13" s="336" t="s">
        <v>765</v>
      </c>
      <c r="C13" s="335" t="s">
        <v>628</v>
      </c>
      <c r="D13" s="335" t="s">
        <v>760</v>
      </c>
      <c r="E13" s="342" t="s">
        <v>380</v>
      </c>
      <c r="F13" s="338" t="s">
        <v>381</v>
      </c>
      <c r="G13" s="338" t="s">
        <v>743</v>
      </c>
      <c r="H13" s="338" t="s">
        <v>382</v>
      </c>
    </row>
    <row r="14" spans="1:8" s="11" customFormat="1">
      <c r="A14" s="340" t="s">
        <v>384</v>
      </c>
      <c r="B14" s="1014" t="s">
        <v>740</v>
      </c>
      <c r="C14" s="340" t="s">
        <v>384</v>
      </c>
      <c r="D14" s="340" t="s">
        <v>398</v>
      </c>
      <c r="E14" s="341"/>
      <c r="F14" s="850" t="s">
        <v>667</v>
      </c>
      <c r="G14" s="850" t="s">
        <v>744</v>
      </c>
      <c r="H14" s="850" t="s">
        <v>671</v>
      </c>
    </row>
    <row r="15" spans="1:8" s="11" customFormat="1">
      <c r="A15" s="340" t="s">
        <v>484</v>
      </c>
      <c r="B15" s="343" t="s">
        <v>803</v>
      </c>
      <c r="C15" s="340" t="s">
        <v>664</v>
      </c>
      <c r="D15" s="1015" t="s">
        <v>802</v>
      </c>
      <c r="E15" s="341" t="s">
        <v>365</v>
      </c>
      <c r="F15" s="850" t="s">
        <v>629</v>
      </c>
      <c r="G15" s="850" t="s">
        <v>631</v>
      </c>
      <c r="H15" s="1010" t="s">
        <v>632</v>
      </c>
    </row>
    <row r="16" spans="1:8" s="11" customFormat="1">
      <c r="A16" s="340" t="s">
        <v>484</v>
      </c>
      <c r="B16" s="343" t="s">
        <v>801</v>
      </c>
      <c r="C16" s="340" t="s">
        <v>664</v>
      </c>
      <c r="D16" s="1015" t="s">
        <v>804</v>
      </c>
      <c r="E16" s="341"/>
      <c r="F16" s="850" t="s">
        <v>629</v>
      </c>
      <c r="G16" s="850" t="s">
        <v>631</v>
      </c>
      <c r="H16" s="1010" t="s">
        <v>632</v>
      </c>
    </row>
    <row r="17" spans="1:8" s="11" customFormat="1">
      <c r="A17" s="340" t="s">
        <v>483</v>
      </c>
      <c r="B17" s="343" t="s">
        <v>759</v>
      </c>
      <c r="C17" s="340" t="s">
        <v>401</v>
      </c>
      <c r="D17" s="340" t="s">
        <v>761</v>
      </c>
      <c r="E17" s="1009" t="s">
        <v>630</v>
      </c>
      <c r="F17" s="850" t="s">
        <v>629</v>
      </c>
      <c r="G17" s="850" t="s">
        <v>631</v>
      </c>
      <c r="H17" s="1010" t="s">
        <v>632</v>
      </c>
    </row>
    <row r="18" spans="1:8" s="11" customFormat="1">
      <c r="A18" s="340" t="s">
        <v>847</v>
      </c>
      <c r="B18" s="343" t="s">
        <v>848</v>
      </c>
      <c r="C18" s="340"/>
      <c r="D18" s="340"/>
      <c r="E18" s="342" t="s">
        <v>849</v>
      </c>
      <c r="F18" s="850"/>
      <c r="G18" s="850"/>
      <c r="H18" s="1010"/>
    </row>
    <row r="19" spans="1:8">
      <c r="A19" s="340" t="s">
        <v>186</v>
      </c>
      <c r="B19" s="752" t="s">
        <v>758</v>
      </c>
      <c r="C19" s="340" t="s">
        <v>402</v>
      </c>
      <c r="D19" s="340" t="s">
        <v>764</v>
      </c>
      <c r="E19" s="337"/>
      <c r="F19" s="338" t="s">
        <v>403</v>
      </c>
      <c r="G19" s="338" t="s">
        <v>404</v>
      </c>
      <c r="H19" s="339" t="s">
        <v>405</v>
      </c>
    </row>
    <row r="20" spans="1:8" s="999" customFormat="1">
      <c r="A20" s="1027" t="s">
        <v>851</v>
      </c>
      <c r="B20" s="1028" t="s">
        <v>852</v>
      </c>
      <c r="C20" s="1027" t="s">
        <v>186</v>
      </c>
      <c r="D20" s="1027" t="s">
        <v>853</v>
      </c>
      <c r="E20" s="1000"/>
      <c r="F20" s="850" t="s">
        <v>642</v>
      </c>
      <c r="G20" s="850" t="s">
        <v>641</v>
      </c>
      <c r="H20" s="850" t="s">
        <v>643</v>
      </c>
    </row>
    <row r="21" spans="1:8" s="11" customFormat="1">
      <c r="A21" s="340" t="s">
        <v>384</v>
      </c>
      <c r="B21" s="752" t="s">
        <v>797</v>
      </c>
      <c r="C21" s="340" t="s">
        <v>384</v>
      </c>
      <c r="D21" s="340" t="s">
        <v>799</v>
      </c>
      <c r="E21" s="341"/>
      <c r="F21" s="850" t="s">
        <v>666</v>
      </c>
      <c r="G21" s="850" t="s">
        <v>745</v>
      </c>
      <c r="H21" s="1010" t="s">
        <v>670</v>
      </c>
    </row>
    <row r="22" spans="1:8" s="11" customFormat="1">
      <c r="A22" s="340" t="s">
        <v>384</v>
      </c>
      <c r="B22" s="752" t="s">
        <v>765</v>
      </c>
      <c r="C22" s="340" t="s">
        <v>384</v>
      </c>
      <c r="D22" s="340" t="s">
        <v>798</v>
      </c>
      <c r="E22" s="341"/>
      <c r="F22" s="850" t="s">
        <v>666</v>
      </c>
      <c r="G22" s="850" t="s">
        <v>745</v>
      </c>
      <c r="H22" s="1010" t="s">
        <v>670</v>
      </c>
    </row>
    <row r="23" spans="1:8" s="11" customFormat="1">
      <c r="A23" s="340" t="s">
        <v>384</v>
      </c>
      <c r="B23" s="752" t="s">
        <v>805</v>
      </c>
      <c r="C23" s="340" t="s">
        <v>384</v>
      </c>
      <c r="D23" s="340" t="s">
        <v>665</v>
      </c>
      <c r="E23" s="341"/>
      <c r="F23" s="850" t="s">
        <v>741</v>
      </c>
      <c r="G23" s="850" t="s">
        <v>746</v>
      </c>
      <c r="H23" s="1010" t="s">
        <v>742</v>
      </c>
    </row>
    <row r="24" spans="1:8" s="11" customFormat="1">
      <c r="A24" s="340" t="s">
        <v>384</v>
      </c>
      <c r="B24" s="1014" t="s">
        <v>800</v>
      </c>
      <c r="C24" s="340" t="s">
        <v>384</v>
      </c>
      <c r="D24" s="340" t="s">
        <v>606</v>
      </c>
      <c r="E24" s="341"/>
      <c r="F24" s="850" t="s">
        <v>669</v>
      </c>
      <c r="G24" s="850" t="s">
        <v>747</v>
      </c>
      <c r="H24" s="850" t="s">
        <v>668</v>
      </c>
    </row>
    <row r="25" spans="1:8" s="11" customFormat="1">
      <c r="A25" s="340" t="s">
        <v>384</v>
      </c>
      <c r="B25" s="1014" t="s">
        <v>800</v>
      </c>
      <c r="C25" s="340" t="s">
        <v>384</v>
      </c>
      <c r="D25" s="1015" t="s">
        <v>586</v>
      </c>
      <c r="E25" s="341"/>
      <c r="F25" s="850" t="s">
        <v>669</v>
      </c>
      <c r="G25" s="850" t="s">
        <v>747</v>
      </c>
      <c r="H25" s="1010" t="s">
        <v>668</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571</v>
      </c>
      <c r="B1" s="851" t="s">
        <v>572</v>
      </c>
      <c r="C1" s="851" t="s">
        <v>574</v>
      </c>
      <c r="D1" s="851" t="s">
        <v>573</v>
      </c>
    </row>
    <row r="2" spans="1:4" s="842" customFormat="1">
      <c r="A2" s="970" t="s">
        <v>750</v>
      </c>
      <c r="B2" s="860">
        <v>43944</v>
      </c>
      <c r="C2" s="1004" t="s">
        <v>778</v>
      </c>
      <c r="D2" s="1007" t="s">
        <v>771</v>
      </c>
    </row>
    <row r="3" spans="1:4" s="842" customFormat="1">
      <c r="A3" s="970" t="s">
        <v>750</v>
      </c>
      <c r="B3" s="1005">
        <v>43944</v>
      </c>
      <c r="C3" s="1003" t="s">
        <v>776</v>
      </c>
      <c r="D3" s="1006" t="s">
        <v>772</v>
      </c>
    </row>
    <row r="4" spans="1:4" s="842" customFormat="1">
      <c r="A4" s="970" t="s">
        <v>750</v>
      </c>
      <c r="B4" s="1005">
        <v>43944</v>
      </c>
      <c r="C4" s="1004" t="s">
        <v>777</v>
      </c>
      <c r="D4" s="1008" t="s">
        <v>773</v>
      </c>
    </row>
    <row r="5" spans="1:4" s="842" customFormat="1">
      <c r="A5" s="970" t="s">
        <v>750</v>
      </c>
      <c r="B5" s="1005">
        <v>43944</v>
      </c>
      <c r="C5" s="1004" t="s">
        <v>775</v>
      </c>
      <c r="D5" s="1006" t="s">
        <v>774</v>
      </c>
    </row>
    <row r="6" spans="1:4" s="842" customFormat="1">
      <c r="A6" s="970" t="s">
        <v>750</v>
      </c>
      <c r="B6" s="874">
        <v>43951</v>
      </c>
      <c r="C6" s="1004" t="s">
        <v>781</v>
      </c>
      <c r="D6" s="1004" t="s">
        <v>779</v>
      </c>
    </row>
    <row r="7" spans="1:4" s="842" customFormat="1">
      <c r="A7" s="970" t="s">
        <v>750</v>
      </c>
      <c r="B7" s="874">
        <v>43943</v>
      </c>
      <c r="C7" s="1004" t="s">
        <v>780</v>
      </c>
      <c r="D7" s="1006" t="s">
        <v>782</v>
      </c>
    </row>
    <row r="8" spans="1:4" s="842" customFormat="1">
      <c r="A8" s="970" t="s">
        <v>750</v>
      </c>
      <c r="B8" s="874">
        <v>43943</v>
      </c>
      <c r="C8" s="1004" t="s">
        <v>792</v>
      </c>
      <c r="D8" s="878" t="s">
        <v>783</v>
      </c>
    </row>
    <row r="9" spans="1:4" s="7" customFormat="1">
      <c r="A9" s="970" t="s">
        <v>750</v>
      </c>
      <c r="B9" s="874">
        <v>43951</v>
      </c>
      <c r="C9" s="1011" t="s">
        <v>791</v>
      </c>
      <c r="D9" s="878" t="s">
        <v>790</v>
      </c>
    </row>
    <row r="10" spans="1:4" s="7" customFormat="1">
      <c r="A10" s="970" t="s">
        <v>750</v>
      </c>
      <c r="B10" s="860">
        <v>43965</v>
      </c>
      <c r="C10" s="860" t="s">
        <v>793</v>
      </c>
      <c r="D10" s="878" t="s">
        <v>794</v>
      </c>
    </row>
    <row r="11" spans="1:4" s="7" customFormat="1">
      <c r="A11" s="970" t="s">
        <v>806</v>
      </c>
      <c r="B11" s="860">
        <v>44309</v>
      </c>
      <c r="C11" s="860" t="s">
        <v>807</v>
      </c>
      <c r="D11" s="875"/>
    </row>
    <row r="12" spans="1:4" s="7" customFormat="1">
      <c r="A12" s="970" t="s">
        <v>806</v>
      </c>
      <c r="B12" s="860">
        <v>44309</v>
      </c>
      <c r="C12" s="860" t="s">
        <v>808</v>
      </c>
      <c r="D12" s="875"/>
    </row>
    <row r="13" spans="1:4" s="7" customFormat="1">
      <c r="A13" s="970" t="s">
        <v>806</v>
      </c>
      <c r="B13" s="860">
        <v>44315</v>
      </c>
      <c r="C13" s="860" t="s">
        <v>810</v>
      </c>
      <c r="D13" s="1006" t="s">
        <v>782</v>
      </c>
    </row>
    <row r="14" spans="1:4" s="7" customFormat="1">
      <c r="A14" s="970" t="s">
        <v>806</v>
      </c>
      <c r="B14" s="860">
        <v>44326</v>
      </c>
      <c r="C14" s="860" t="s">
        <v>819</v>
      </c>
      <c r="D14" s="1025" t="s">
        <v>823</v>
      </c>
    </row>
    <row r="15" spans="1:4" s="7" customFormat="1">
      <c r="A15" s="970" t="s">
        <v>806</v>
      </c>
      <c r="B15" s="860">
        <v>44326</v>
      </c>
      <c r="C15" s="860" t="s">
        <v>820</v>
      </c>
      <c r="D15" s="1025" t="s">
        <v>824</v>
      </c>
    </row>
    <row r="16" spans="1:4" s="7" customFormat="1">
      <c r="A16" s="970" t="s">
        <v>806</v>
      </c>
      <c r="B16" s="860">
        <v>44326</v>
      </c>
      <c r="C16" s="860" t="s">
        <v>821</v>
      </c>
      <c r="D16" s="1026" t="s">
        <v>826</v>
      </c>
    </row>
    <row r="17" spans="1:4" s="7" customFormat="1">
      <c r="A17" s="970" t="s">
        <v>806</v>
      </c>
      <c r="B17" s="998">
        <v>44326</v>
      </c>
      <c r="C17" s="998" t="s">
        <v>822</v>
      </c>
      <c r="D17" s="1025" t="s">
        <v>825</v>
      </c>
    </row>
    <row r="18" spans="1:4" s="7" customFormat="1">
      <c r="A18" s="970" t="s">
        <v>843</v>
      </c>
      <c r="B18" s="1005">
        <v>44698</v>
      </c>
      <c r="C18" s="860" t="s">
        <v>842</v>
      </c>
      <c r="D18" s="875"/>
    </row>
    <row r="19" spans="1:4" s="7" customFormat="1">
      <c r="A19" s="970" t="s">
        <v>843</v>
      </c>
      <c r="B19" s="1005">
        <v>44699</v>
      </c>
      <c r="C19" s="1032" t="s">
        <v>844</v>
      </c>
      <c r="D19" s="849"/>
    </row>
    <row r="20" spans="1:4">
      <c r="A20" s="970" t="s">
        <v>843</v>
      </c>
      <c r="B20" s="1005">
        <v>44699</v>
      </c>
      <c r="C20" s="1005" t="s">
        <v>846</v>
      </c>
    </row>
    <row r="21" spans="1:4">
      <c r="A21" s="970" t="s">
        <v>843</v>
      </c>
      <c r="B21" s="874">
        <v>44768</v>
      </c>
      <c r="C21" s="1033" t="s">
        <v>854</v>
      </c>
      <c r="D21" s="1026" t="s">
        <v>826</v>
      </c>
    </row>
    <row r="22" spans="1:4">
      <c r="A22" s="970" t="s">
        <v>843</v>
      </c>
      <c r="B22" s="874">
        <v>44768</v>
      </c>
      <c r="C22" s="1033" t="s">
        <v>855</v>
      </c>
      <c r="D22" s="1025" t="s">
        <v>825</v>
      </c>
    </row>
    <row r="23" spans="1:4">
      <c r="A23" s="970" t="s">
        <v>843</v>
      </c>
      <c r="B23" s="874">
        <v>44768</v>
      </c>
      <c r="C23" s="874" t="s">
        <v>857</v>
      </c>
      <c r="D23" s="1026" t="s">
        <v>858</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527</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127055.5969229147</v>
      </c>
      <c r="C4" s="445">
        <f>huishoudens!C8</f>
        <v>0</v>
      </c>
      <c r="D4" s="445">
        <f>huishoudens!D8</f>
        <v>306352.87157258339</v>
      </c>
      <c r="E4" s="445">
        <f>huishoudens!E8</f>
        <v>9350.5959273518165</v>
      </c>
      <c r="F4" s="445">
        <f>huishoudens!F8</f>
        <v>153234.59183220181</v>
      </c>
      <c r="G4" s="445">
        <f>huishoudens!G8</f>
        <v>0</v>
      </c>
      <c r="H4" s="445">
        <f>huishoudens!H8</f>
        <v>0</v>
      </c>
      <c r="I4" s="445">
        <f>huishoudens!I8</f>
        <v>0</v>
      </c>
      <c r="J4" s="445">
        <f>huishoudens!J8</f>
        <v>845.77814865584014</v>
      </c>
      <c r="K4" s="445">
        <f>huishoudens!K8</f>
        <v>0</v>
      </c>
      <c r="L4" s="445">
        <f>huishoudens!L8</f>
        <v>0</v>
      </c>
      <c r="M4" s="445">
        <f>huishoudens!M8</f>
        <v>0</v>
      </c>
      <c r="N4" s="445">
        <f>huishoudens!N8</f>
        <v>45802.820799645378</v>
      </c>
      <c r="O4" s="445">
        <f>huishoudens!O8</f>
        <v>1597.0863666065604</v>
      </c>
      <c r="P4" s="446">
        <f>huishoudens!P8</f>
        <v>3002.1784026902315</v>
      </c>
      <c r="Q4" s="447">
        <f>SUM(B4:P4)</f>
        <v>647241.51997264975</v>
      </c>
    </row>
    <row r="5" spans="1:17">
      <c r="A5" s="444" t="s">
        <v>149</v>
      </c>
      <c r="B5" s="445">
        <f ca="1">tertiair!B16</f>
        <v>204083.908563</v>
      </c>
      <c r="C5" s="445">
        <f ca="1">tertiair!C16</f>
        <v>8284.5</v>
      </c>
      <c r="D5" s="445">
        <f ca="1">tertiair!D16</f>
        <v>196469.56386918004</v>
      </c>
      <c r="E5" s="445">
        <f>tertiair!E16</f>
        <v>468.81396499517342</v>
      </c>
      <c r="F5" s="445">
        <f ca="1">tertiair!F16</f>
        <v>32759.647858054377</v>
      </c>
      <c r="G5" s="445">
        <f>tertiair!G16</f>
        <v>0</v>
      </c>
      <c r="H5" s="445">
        <f>tertiair!H16</f>
        <v>0</v>
      </c>
      <c r="I5" s="445">
        <f>tertiair!I16</f>
        <v>0</v>
      </c>
      <c r="J5" s="445">
        <f>tertiair!J16</f>
        <v>0.1669329423273202</v>
      </c>
      <c r="K5" s="445">
        <f>tertiair!K16</f>
        <v>0</v>
      </c>
      <c r="L5" s="445">
        <f ca="1">tertiair!L16</f>
        <v>0</v>
      </c>
      <c r="M5" s="445">
        <f>tertiair!M16</f>
        <v>0</v>
      </c>
      <c r="N5" s="445">
        <f ca="1">tertiair!N16</f>
        <v>2513.8261793416664</v>
      </c>
      <c r="O5" s="445">
        <f>tertiair!O16</f>
        <v>39.178086126729234</v>
      </c>
      <c r="P5" s="446">
        <f>tertiair!P16</f>
        <v>735.54793629093024</v>
      </c>
      <c r="Q5" s="444">
        <f t="shared" ref="Q5:Q14" ca="1" si="0">SUM(B5:P5)</f>
        <v>445355.15338993125</v>
      </c>
    </row>
    <row r="6" spans="1:17">
      <c r="A6" s="444" t="s">
        <v>187</v>
      </c>
      <c r="B6" s="445">
        <f>'openbare verlichting'!B8</f>
        <v>5022.3219440000003</v>
      </c>
      <c r="C6" s="445"/>
      <c r="D6" s="445"/>
      <c r="E6" s="445"/>
      <c r="F6" s="445"/>
      <c r="G6" s="445"/>
      <c r="H6" s="445"/>
      <c r="I6" s="445"/>
      <c r="J6" s="445"/>
      <c r="K6" s="445"/>
      <c r="L6" s="445"/>
      <c r="M6" s="445"/>
      <c r="N6" s="445"/>
      <c r="O6" s="445"/>
      <c r="P6" s="446"/>
      <c r="Q6" s="444">
        <f t="shared" si="0"/>
        <v>5022.3219440000003</v>
      </c>
    </row>
    <row r="7" spans="1:17">
      <c r="A7" s="444" t="s">
        <v>105</v>
      </c>
      <c r="B7" s="445">
        <f>landbouw!B8</f>
        <v>1606.7331449999999</v>
      </c>
      <c r="C7" s="445">
        <f>landbouw!C8</f>
        <v>0</v>
      </c>
      <c r="D7" s="445">
        <f>landbouw!D8</f>
        <v>1154.3846330939998</v>
      </c>
      <c r="E7" s="445">
        <f>landbouw!E8</f>
        <v>47.371035557818004</v>
      </c>
      <c r="F7" s="445">
        <f>landbouw!F8</f>
        <v>5106.7689503456604</v>
      </c>
      <c r="G7" s="445">
        <f>landbouw!G8</f>
        <v>0</v>
      </c>
      <c r="H7" s="445">
        <f>landbouw!H8</f>
        <v>0</v>
      </c>
      <c r="I7" s="445">
        <f>landbouw!I8</f>
        <v>0</v>
      </c>
      <c r="J7" s="445">
        <f>landbouw!J8</f>
        <v>405.20823262817322</v>
      </c>
      <c r="K7" s="445">
        <f>landbouw!K8</f>
        <v>0</v>
      </c>
      <c r="L7" s="445">
        <f>landbouw!L8</f>
        <v>0</v>
      </c>
      <c r="M7" s="445">
        <f>landbouw!M8</f>
        <v>0</v>
      </c>
      <c r="N7" s="445">
        <f>landbouw!N8</f>
        <v>0</v>
      </c>
      <c r="O7" s="445">
        <f>landbouw!O8</f>
        <v>0</v>
      </c>
      <c r="P7" s="446">
        <f>landbouw!P8</f>
        <v>0</v>
      </c>
      <c r="Q7" s="444">
        <f t="shared" si="0"/>
        <v>8320.4659966256513</v>
      </c>
    </row>
    <row r="8" spans="1:17">
      <c r="A8" s="444" t="s">
        <v>589</v>
      </c>
      <c r="B8" s="445">
        <f>industrie!B18</f>
        <v>56923.732933999992</v>
      </c>
      <c r="C8" s="445">
        <f>industrie!C18</f>
        <v>321.42857142857144</v>
      </c>
      <c r="D8" s="445">
        <f>industrie!D18</f>
        <v>78501.77248641086</v>
      </c>
      <c r="E8" s="445">
        <f>industrie!E18</f>
        <v>673.52126007498066</v>
      </c>
      <c r="F8" s="445">
        <f>industrie!F18</f>
        <v>17708.644221749109</v>
      </c>
      <c r="G8" s="445">
        <f>industrie!G18</f>
        <v>0</v>
      </c>
      <c r="H8" s="445">
        <f>industrie!H18</f>
        <v>0</v>
      </c>
      <c r="I8" s="445">
        <f>industrie!I18</f>
        <v>0</v>
      </c>
      <c r="J8" s="445">
        <f>industrie!J18</f>
        <v>5.5191852364494931</v>
      </c>
      <c r="K8" s="445">
        <f>industrie!K18</f>
        <v>0</v>
      </c>
      <c r="L8" s="445">
        <f>industrie!L18</f>
        <v>0</v>
      </c>
      <c r="M8" s="445">
        <f>industrie!M18</f>
        <v>0</v>
      </c>
      <c r="N8" s="445">
        <f>industrie!N18</f>
        <v>6497.4119021045381</v>
      </c>
      <c r="O8" s="445">
        <f>industrie!O18</f>
        <v>0</v>
      </c>
      <c r="P8" s="446">
        <f>industrie!P18</f>
        <v>0</v>
      </c>
      <c r="Q8" s="444">
        <f t="shared" si="0"/>
        <v>160632.03056100447</v>
      </c>
    </row>
    <row r="9" spans="1:17" s="450" customFormat="1">
      <c r="A9" s="448" t="s">
        <v>538</v>
      </c>
      <c r="B9" s="449">
        <f>transport!B14</f>
        <v>1141.3891675332809</v>
      </c>
      <c r="C9" s="449">
        <f>transport!C14</f>
        <v>0</v>
      </c>
      <c r="D9" s="449">
        <f>transport!D14</f>
        <v>1950.884792251808</v>
      </c>
      <c r="E9" s="449">
        <f>transport!E14</f>
        <v>1134.8256595360479</v>
      </c>
      <c r="F9" s="449">
        <f>transport!F14</f>
        <v>0</v>
      </c>
      <c r="G9" s="449">
        <f>transport!G14</f>
        <v>467981.45381566387</v>
      </c>
      <c r="H9" s="449">
        <f>transport!H14</f>
        <v>130313.99856263529</v>
      </c>
      <c r="I9" s="449">
        <f>transport!I14</f>
        <v>0</v>
      </c>
      <c r="J9" s="449">
        <f>transport!J14</f>
        <v>0</v>
      </c>
      <c r="K9" s="449">
        <f>transport!K14</f>
        <v>0</v>
      </c>
      <c r="L9" s="449">
        <f>transport!L14</f>
        <v>0</v>
      </c>
      <c r="M9" s="449">
        <f>transport!M14</f>
        <v>35407.008302051829</v>
      </c>
      <c r="N9" s="449">
        <f>transport!N14</f>
        <v>0</v>
      </c>
      <c r="O9" s="449">
        <f>transport!O14</f>
        <v>0</v>
      </c>
      <c r="P9" s="449">
        <f>transport!P14</f>
        <v>0</v>
      </c>
      <c r="Q9" s="448">
        <f>SUM(B9:P9)</f>
        <v>637929.56029967207</v>
      </c>
    </row>
    <row r="10" spans="1:17">
      <c r="A10" s="444" t="s">
        <v>528</v>
      </c>
      <c r="B10" s="445">
        <f>transport!B54</f>
        <v>216.60717302691577</v>
      </c>
      <c r="C10" s="445">
        <f>transport!C54</f>
        <v>0</v>
      </c>
      <c r="D10" s="445">
        <f>transport!D54</f>
        <v>0</v>
      </c>
      <c r="E10" s="445">
        <f>transport!E54</f>
        <v>0</v>
      </c>
      <c r="F10" s="445">
        <f>transport!F54</f>
        <v>0</v>
      </c>
      <c r="G10" s="445">
        <f>transport!G54</f>
        <v>15461.029758198882</v>
      </c>
      <c r="H10" s="445">
        <f>transport!H54</f>
        <v>0</v>
      </c>
      <c r="I10" s="445">
        <f>transport!I54</f>
        <v>0</v>
      </c>
      <c r="J10" s="445">
        <f>transport!J54</f>
        <v>0</v>
      </c>
      <c r="K10" s="445">
        <f>transport!K54</f>
        <v>0</v>
      </c>
      <c r="L10" s="445">
        <f>transport!L54</f>
        <v>0</v>
      </c>
      <c r="M10" s="445">
        <f>transport!M54</f>
        <v>853.73632320307081</v>
      </c>
      <c r="N10" s="445">
        <f>transport!N54</f>
        <v>0</v>
      </c>
      <c r="O10" s="445">
        <f>transport!O54</f>
        <v>0</v>
      </c>
      <c r="P10" s="446">
        <f>transport!P54</f>
        <v>0</v>
      </c>
      <c r="Q10" s="444">
        <f t="shared" si="0"/>
        <v>16531.373254428869</v>
      </c>
    </row>
    <row r="11" spans="1:17">
      <c r="A11" s="444" t="s">
        <v>529</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530</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531</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711</v>
      </c>
      <c r="B14" s="452">
        <f>'SEAP template'!C25</f>
        <v>11605.197886</v>
      </c>
      <c r="C14" s="452"/>
      <c r="D14" s="452">
        <f>'SEAP template'!E25</f>
        <v>19713.579269999998</v>
      </c>
      <c r="E14" s="452"/>
      <c r="F14" s="452"/>
      <c r="G14" s="452"/>
      <c r="H14" s="452"/>
      <c r="I14" s="452"/>
      <c r="J14" s="452"/>
      <c r="K14" s="452"/>
      <c r="L14" s="452"/>
      <c r="M14" s="452"/>
      <c r="N14" s="452"/>
      <c r="O14" s="452"/>
      <c r="P14" s="453"/>
      <c r="Q14" s="444">
        <f t="shared" si="0"/>
        <v>31318.777155999996</v>
      </c>
    </row>
    <row r="15" spans="1:17" s="456" customFormat="1">
      <c r="A15" s="454" t="s">
        <v>532</v>
      </c>
      <c r="B15" s="455">
        <f ca="1">SUM(B4:B14)</f>
        <v>407655.48773547483</v>
      </c>
      <c r="C15" s="455">
        <f t="shared" ref="C15:Q15" ca="1" si="1">SUM(C4:C14)</f>
        <v>8605.9285714285706</v>
      </c>
      <c r="D15" s="455">
        <f t="shared" ca="1" si="1"/>
        <v>604143.0566235201</v>
      </c>
      <c r="E15" s="455">
        <f t="shared" si="1"/>
        <v>11675.127847515836</v>
      </c>
      <c r="F15" s="455">
        <f t="shared" ca="1" si="1"/>
        <v>208809.65286235095</v>
      </c>
      <c r="G15" s="455">
        <f t="shared" si="1"/>
        <v>483442.48357386276</v>
      </c>
      <c r="H15" s="455">
        <f t="shared" si="1"/>
        <v>130313.99856263529</v>
      </c>
      <c r="I15" s="455">
        <f t="shared" si="1"/>
        <v>0</v>
      </c>
      <c r="J15" s="455">
        <f t="shared" si="1"/>
        <v>1256.67249946279</v>
      </c>
      <c r="K15" s="455">
        <f t="shared" si="1"/>
        <v>0</v>
      </c>
      <c r="L15" s="455">
        <f t="shared" ca="1" si="1"/>
        <v>0</v>
      </c>
      <c r="M15" s="455">
        <f t="shared" si="1"/>
        <v>36260.744625254898</v>
      </c>
      <c r="N15" s="455">
        <f t="shared" ca="1" si="1"/>
        <v>54814.058881091587</v>
      </c>
      <c r="O15" s="455">
        <f t="shared" si="1"/>
        <v>1636.2644527332898</v>
      </c>
      <c r="P15" s="455">
        <f t="shared" si="1"/>
        <v>3737.7263389811615</v>
      </c>
      <c r="Q15" s="455">
        <f t="shared" ca="1" si="1"/>
        <v>1952351.202574312</v>
      </c>
    </row>
    <row r="17" spans="1:17">
      <c r="A17" s="457" t="s">
        <v>533</v>
      </c>
      <c r="B17" s="737">
        <f ca="1">huishoudens!B10</f>
        <v>0.19499651884213512</v>
      </c>
      <c r="C17" s="737">
        <f ca="1">huishoudens!C10</f>
        <v>0.23764705882352952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535</v>
      </c>
      <c r="B19" s="1129" t="s">
        <v>534</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24775.399099377861</v>
      </c>
      <c r="C22" s="445">
        <f t="shared" ref="C22:C32" ca="1" si="3">C4*$C$17</f>
        <v>0</v>
      </c>
      <c r="D22" s="445">
        <f t="shared" ref="D22:D32" si="4">D4*$D$17</f>
        <v>61883.280057661847</v>
      </c>
      <c r="E22" s="445">
        <f t="shared" ref="E22:E32" si="5">E4*$E$17</f>
        <v>2122.5852755088622</v>
      </c>
      <c r="F22" s="445">
        <f t="shared" ref="F22:F32" si="6">F4*$F$17</f>
        <v>40913.636019197889</v>
      </c>
      <c r="G22" s="445">
        <f t="shared" ref="G22:G32" si="7">G4*$G$17</f>
        <v>0</v>
      </c>
      <c r="H22" s="445">
        <f t="shared" ref="H22:H32" si="8">H4*$H$17</f>
        <v>0</v>
      </c>
      <c r="I22" s="445">
        <f t="shared" ref="I22:I32" si="9">I4*$I$17</f>
        <v>0</v>
      </c>
      <c r="J22" s="445">
        <f t="shared" ref="J22:J32" si="10">J4*$J$17</f>
        <v>299.40546462416739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129994.30591637062</v>
      </c>
    </row>
    <row r="23" spans="1:17">
      <c r="A23" s="444" t="s">
        <v>149</v>
      </c>
      <c r="B23" s="445">
        <f t="shared" ca="1" si="2"/>
        <v>39795.651721481612</v>
      </c>
      <c r="C23" s="445">
        <f t="shared" ca="1" si="3"/>
        <v>1968.7870588235303</v>
      </c>
      <c r="D23" s="445">
        <f t="shared" ca="1" si="4"/>
        <v>39686.851901574373</v>
      </c>
      <c r="E23" s="445">
        <f t="shared" si="5"/>
        <v>106.42077005390438</v>
      </c>
      <c r="F23" s="445">
        <f t="shared" ca="1" si="6"/>
        <v>8746.8259781005199</v>
      </c>
      <c r="G23" s="445">
        <f t="shared" si="7"/>
        <v>0</v>
      </c>
      <c r="H23" s="445">
        <f t="shared" si="8"/>
        <v>0</v>
      </c>
      <c r="I23" s="445">
        <f t="shared" si="9"/>
        <v>0</v>
      </c>
      <c r="J23" s="445">
        <f t="shared" si="10"/>
        <v>5.9094261583871349E-2</v>
      </c>
      <c r="K23" s="445">
        <f t="shared" si="11"/>
        <v>0</v>
      </c>
      <c r="L23" s="445">
        <f t="shared" ca="1" si="12"/>
        <v>0</v>
      </c>
      <c r="M23" s="445">
        <f t="shared" si="13"/>
        <v>0</v>
      </c>
      <c r="N23" s="445">
        <f t="shared" ca="1" si="14"/>
        <v>0</v>
      </c>
      <c r="O23" s="445">
        <f t="shared" si="15"/>
        <v>0</v>
      </c>
      <c r="P23" s="446">
        <f t="shared" si="16"/>
        <v>0</v>
      </c>
      <c r="Q23" s="444">
        <f t="shared" ref="Q23:Q31" ca="1" si="17">SUM(B23:P23)</f>
        <v>90304.596524295514</v>
      </c>
    </row>
    <row r="24" spans="1:17">
      <c r="A24" s="444" t="s">
        <v>187</v>
      </c>
      <c r="B24" s="445">
        <f t="shared" ca="1" si="2"/>
        <v>979.33529558446469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979.33529558446469</v>
      </c>
    </row>
    <row r="25" spans="1:17">
      <c r="A25" s="444" t="s">
        <v>105</v>
      </c>
      <c r="B25" s="445">
        <f t="shared" ca="1" si="2"/>
        <v>313.30736998327552</v>
      </c>
      <c r="C25" s="445">
        <f t="shared" ca="1" si="3"/>
        <v>0</v>
      </c>
      <c r="D25" s="445">
        <f t="shared" si="4"/>
        <v>233.18569588498798</v>
      </c>
      <c r="E25" s="445">
        <f t="shared" si="5"/>
        <v>10.753225071624687</v>
      </c>
      <c r="F25" s="445">
        <f t="shared" si="6"/>
        <v>1363.5073097422915</v>
      </c>
      <c r="G25" s="445">
        <f t="shared" si="7"/>
        <v>0</v>
      </c>
      <c r="H25" s="445">
        <f t="shared" si="8"/>
        <v>0</v>
      </c>
      <c r="I25" s="445">
        <f t="shared" si="9"/>
        <v>0</v>
      </c>
      <c r="J25" s="445">
        <f t="shared" si="10"/>
        <v>143.44371435037331</v>
      </c>
      <c r="K25" s="445">
        <f t="shared" si="11"/>
        <v>0</v>
      </c>
      <c r="L25" s="445">
        <f t="shared" si="12"/>
        <v>0</v>
      </c>
      <c r="M25" s="445">
        <f t="shared" si="13"/>
        <v>0</v>
      </c>
      <c r="N25" s="445">
        <f t="shared" si="14"/>
        <v>0</v>
      </c>
      <c r="O25" s="445">
        <f t="shared" si="15"/>
        <v>0</v>
      </c>
      <c r="P25" s="446">
        <f t="shared" si="16"/>
        <v>0</v>
      </c>
      <c r="Q25" s="444">
        <f t="shared" ca="1" si="17"/>
        <v>2064.197315032553</v>
      </c>
    </row>
    <row r="26" spans="1:17">
      <c r="A26" s="444" t="s">
        <v>589</v>
      </c>
      <c r="B26" s="445">
        <f t="shared" ca="1" si="2"/>
        <v>11099.929761629397</v>
      </c>
      <c r="C26" s="445">
        <f t="shared" ca="1" si="3"/>
        <v>76.386554621848774</v>
      </c>
      <c r="D26" s="445">
        <f t="shared" si="4"/>
        <v>15857.358042254995</v>
      </c>
      <c r="E26" s="445">
        <f t="shared" si="5"/>
        <v>152.88932603702062</v>
      </c>
      <c r="F26" s="445">
        <f t="shared" si="6"/>
        <v>4728.2080072070121</v>
      </c>
      <c r="G26" s="445">
        <f t="shared" si="7"/>
        <v>0</v>
      </c>
      <c r="H26" s="445">
        <f t="shared" si="8"/>
        <v>0</v>
      </c>
      <c r="I26" s="445">
        <f t="shared" si="9"/>
        <v>0</v>
      </c>
      <c r="J26" s="445">
        <f t="shared" si="10"/>
        <v>1.9537915737031204</v>
      </c>
      <c r="K26" s="445">
        <f t="shared" si="11"/>
        <v>0</v>
      </c>
      <c r="L26" s="445">
        <f t="shared" si="12"/>
        <v>0</v>
      </c>
      <c r="M26" s="445">
        <f t="shared" si="13"/>
        <v>0</v>
      </c>
      <c r="N26" s="445">
        <f t="shared" si="14"/>
        <v>0</v>
      </c>
      <c r="O26" s="445">
        <f t="shared" si="15"/>
        <v>0</v>
      </c>
      <c r="P26" s="446">
        <f t="shared" si="16"/>
        <v>0</v>
      </c>
      <c r="Q26" s="444">
        <f t="shared" ca="1" si="17"/>
        <v>31916.725483323979</v>
      </c>
    </row>
    <row r="27" spans="1:17" s="450" customFormat="1">
      <c r="A27" s="448" t="s">
        <v>538</v>
      </c>
      <c r="B27" s="731">
        <f t="shared" ca="1" si="2"/>
        <v>222.56691431311233</v>
      </c>
      <c r="C27" s="449">
        <f t="shared" ca="1" si="3"/>
        <v>0</v>
      </c>
      <c r="D27" s="449">
        <f t="shared" si="4"/>
        <v>394.07872803486526</v>
      </c>
      <c r="E27" s="449">
        <f t="shared" si="5"/>
        <v>257.6054247146829</v>
      </c>
      <c r="F27" s="449">
        <f t="shared" si="6"/>
        <v>0</v>
      </c>
      <c r="G27" s="449">
        <f t="shared" si="7"/>
        <v>124951.04816878226</v>
      </c>
      <c r="H27" s="449">
        <f t="shared" si="8"/>
        <v>32448.185642096185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158273.48487794111</v>
      </c>
    </row>
    <row r="28" spans="1:17" ht="16.5" customHeight="1">
      <c r="A28" s="444" t="s">
        <v>528</v>
      </c>
      <c r="B28" s="445">
        <f t="shared" ca="1" si="2"/>
        <v>42.237644696484601</v>
      </c>
      <c r="C28" s="445">
        <f t="shared" ca="1" si="3"/>
        <v>0</v>
      </c>
      <c r="D28" s="445">
        <f t="shared" si="4"/>
        <v>0</v>
      </c>
      <c r="E28" s="445">
        <f t="shared" si="5"/>
        <v>0</v>
      </c>
      <c r="F28" s="445">
        <f t="shared" si="6"/>
        <v>0</v>
      </c>
      <c r="G28" s="445">
        <f t="shared" si="7"/>
        <v>4128.094945439102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4170.3325901355865</v>
      </c>
    </row>
    <row r="29" spans="1:17">
      <c r="A29" s="444" t="s">
        <v>529</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530</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531</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711</v>
      </c>
      <c r="B32" s="445">
        <f t="shared" ca="1" si="2"/>
        <v>2262.9731882441056</v>
      </c>
      <c r="C32" s="445">
        <f t="shared" ca="1" si="3"/>
        <v>0</v>
      </c>
      <c r="D32" s="445">
        <f t="shared" si="4"/>
        <v>3982.1430125399997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6245.1162007841049</v>
      </c>
    </row>
    <row r="33" spans="1:17" s="456" customFormat="1">
      <c r="A33" s="454" t="s">
        <v>532</v>
      </c>
      <c r="B33" s="455">
        <f ca="1">SUM(B22:B32)</f>
        <v>79491.400995310309</v>
      </c>
      <c r="C33" s="455">
        <f t="shared" ref="C33:Q33" ca="1" si="19">SUM(C22:C32)</f>
        <v>2045.173613445379</v>
      </c>
      <c r="D33" s="455">
        <f t="shared" ca="1" si="19"/>
        <v>122036.89743795106</v>
      </c>
      <c r="E33" s="455">
        <f t="shared" si="19"/>
        <v>2650.2540213860952</v>
      </c>
      <c r="F33" s="455">
        <f t="shared" ca="1" si="19"/>
        <v>55752.17731424771</v>
      </c>
      <c r="G33" s="455">
        <f t="shared" si="19"/>
        <v>129079.14311422137</v>
      </c>
      <c r="H33" s="455">
        <f t="shared" si="19"/>
        <v>32448.185642096185</v>
      </c>
      <c r="I33" s="455">
        <f t="shared" si="19"/>
        <v>0</v>
      </c>
      <c r="J33" s="455">
        <f t="shared" si="19"/>
        <v>444.86206480982776</v>
      </c>
      <c r="K33" s="455">
        <f t="shared" si="19"/>
        <v>0</v>
      </c>
      <c r="L33" s="455">
        <f t="shared" ca="1" si="19"/>
        <v>0</v>
      </c>
      <c r="M33" s="455">
        <f t="shared" si="19"/>
        <v>0</v>
      </c>
      <c r="N33" s="455">
        <f t="shared" ca="1" si="19"/>
        <v>0</v>
      </c>
      <c r="O33" s="455">
        <f t="shared" si="19"/>
        <v>0</v>
      </c>
      <c r="P33" s="455">
        <f t="shared" si="19"/>
        <v>0</v>
      </c>
      <c r="Q33" s="455">
        <f t="shared" ca="1" si="19"/>
        <v>423948.09420346789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527</v>
      </c>
      <c r="B1" s="1138" t="s">
        <v>681</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682</v>
      </c>
      <c r="C4" s="927" t="s">
        <v>683</v>
      </c>
      <c r="D4" s="928" t="s">
        <v>684</v>
      </c>
      <c r="E4" s="929" t="s">
        <v>685</v>
      </c>
      <c r="F4" s="929" t="s">
        <v>686</v>
      </c>
      <c r="G4" s="930" t="s">
        <v>687</v>
      </c>
      <c r="H4" s="930" t="s">
        <v>687</v>
      </c>
      <c r="I4" s="930" t="s">
        <v>687</v>
      </c>
      <c r="J4" s="929" t="s">
        <v>688</v>
      </c>
      <c r="K4" s="930" t="s">
        <v>687</v>
      </c>
      <c r="L4" s="930" t="s">
        <v>687</v>
      </c>
      <c r="M4" s="930" t="s">
        <v>687</v>
      </c>
      <c r="N4" s="929" t="s">
        <v>689</v>
      </c>
      <c r="O4" s="931" t="s">
        <v>690</v>
      </c>
      <c r="P4" s="932" t="s">
        <v>691</v>
      </c>
      <c r="Q4" s="933"/>
    </row>
    <row r="5" spans="1:17" ht="150">
      <c r="A5" s="934" t="s">
        <v>149</v>
      </c>
      <c r="B5" s="935" t="s">
        <v>692</v>
      </c>
      <c r="C5" s="936" t="s">
        <v>693</v>
      </c>
      <c r="D5" s="936" t="s">
        <v>694</v>
      </c>
      <c r="E5" s="937" t="s">
        <v>695</v>
      </c>
      <c r="F5" s="937" t="s">
        <v>696</v>
      </c>
      <c r="G5" s="938" t="s">
        <v>687</v>
      </c>
      <c r="H5" s="938" t="s">
        <v>687</v>
      </c>
      <c r="I5" s="938" t="s">
        <v>687</v>
      </c>
      <c r="J5" s="937" t="s">
        <v>697</v>
      </c>
      <c r="K5" s="930" t="s">
        <v>687</v>
      </c>
      <c r="L5" s="938" t="s">
        <v>687</v>
      </c>
      <c r="M5" s="938" t="s">
        <v>687</v>
      </c>
      <c r="N5" s="937" t="s">
        <v>698</v>
      </c>
      <c r="O5" s="939" t="s">
        <v>690</v>
      </c>
      <c r="P5" s="940" t="s">
        <v>691</v>
      </c>
      <c r="Q5" s="941"/>
    </row>
    <row r="6" spans="1:17" ht="30">
      <c r="A6" s="934" t="s">
        <v>187</v>
      </c>
      <c r="B6" s="942" t="s">
        <v>699</v>
      </c>
      <c r="C6" s="943" t="s">
        <v>700</v>
      </c>
      <c r="D6" s="938" t="s">
        <v>700</v>
      </c>
      <c r="E6" s="938" t="s">
        <v>700</v>
      </c>
      <c r="F6" s="938" t="s">
        <v>700</v>
      </c>
      <c r="G6" s="938" t="s">
        <v>700</v>
      </c>
      <c r="H6" s="938" t="s">
        <v>700</v>
      </c>
      <c r="I6" s="938" t="s">
        <v>700</v>
      </c>
      <c r="J6" s="938" t="s">
        <v>700</v>
      </c>
      <c r="K6" s="938" t="s">
        <v>700</v>
      </c>
      <c r="L6" s="938" t="s">
        <v>700</v>
      </c>
      <c r="M6" s="938" t="s">
        <v>700</v>
      </c>
      <c r="N6" s="938" t="s">
        <v>700</v>
      </c>
      <c r="O6" s="944" t="s">
        <v>700</v>
      </c>
      <c r="P6" s="945" t="s">
        <v>700</v>
      </c>
      <c r="Q6" s="946"/>
    </row>
    <row r="7" spans="1:17" ht="150">
      <c r="A7" s="934" t="s">
        <v>105</v>
      </c>
      <c r="B7" s="942" t="s">
        <v>699</v>
      </c>
      <c r="C7" s="936" t="s">
        <v>693</v>
      </c>
      <c r="D7" s="936" t="s">
        <v>694</v>
      </c>
      <c r="E7" s="937" t="s">
        <v>695</v>
      </c>
      <c r="F7" s="937" t="s">
        <v>696</v>
      </c>
      <c r="G7" s="938" t="s">
        <v>687</v>
      </c>
      <c r="H7" s="938" t="s">
        <v>687</v>
      </c>
      <c r="I7" s="938" t="s">
        <v>687</v>
      </c>
      <c r="J7" s="937" t="s">
        <v>697</v>
      </c>
      <c r="K7" s="938" t="s">
        <v>687</v>
      </c>
      <c r="L7" s="938" t="s">
        <v>687</v>
      </c>
      <c r="M7" s="938" t="s">
        <v>687</v>
      </c>
      <c r="N7" s="947" t="s">
        <v>687</v>
      </c>
      <c r="O7" s="943" t="s">
        <v>687</v>
      </c>
      <c r="P7" s="948" t="s">
        <v>687</v>
      </c>
      <c r="Q7" s="941"/>
    </row>
    <row r="8" spans="1:17" ht="270">
      <c r="A8" s="934" t="s">
        <v>589</v>
      </c>
      <c r="B8" s="935" t="s">
        <v>701</v>
      </c>
      <c r="C8" s="936" t="s">
        <v>693</v>
      </c>
      <c r="D8" s="936" t="s">
        <v>694</v>
      </c>
      <c r="E8" s="937" t="s">
        <v>695</v>
      </c>
      <c r="F8" s="937" t="s">
        <v>696</v>
      </c>
      <c r="G8" s="938" t="s">
        <v>687</v>
      </c>
      <c r="H8" s="938" t="s">
        <v>687</v>
      </c>
      <c r="I8" s="938" t="s">
        <v>687</v>
      </c>
      <c r="J8" s="937" t="s">
        <v>697</v>
      </c>
      <c r="K8" s="930" t="s">
        <v>687</v>
      </c>
      <c r="L8" s="938" t="s">
        <v>687</v>
      </c>
      <c r="M8" s="938" t="s">
        <v>687</v>
      </c>
      <c r="N8" s="937" t="s">
        <v>698</v>
      </c>
      <c r="O8" s="939" t="s">
        <v>690</v>
      </c>
      <c r="P8" s="940" t="s">
        <v>691</v>
      </c>
      <c r="Q8" s="941"/>
    </row>
    <row r="9" spans="1:17" s="450" customFormat="1" ht="390">
      <c r="A9" s="949" t="s">
        <v>538</v>
      </c>
      <c r="B9" s="937" t="s">
        <v>702</v>
      </c>
      <c r="C9" s="944" t="s">
        <v>700</v>
      </c>
      <c r="D9" s="937" t="s">
        <v>703</v>
      </c>
      <c r="E9" s="937" t="s">
        <v>704</v>
      </c>
      <c r="F9" s="938" t="s">
        <v>700</v>
      </c>
      <c r="G9" s="937" t="s">
        <v>705</v>
      </c>
      <c r="H9" s="937" t="s">
        <v>706</v>
      </c>
      <c r="I9" s="938" t="s">
        <v>700</v>
      </c>
      <c r="J9" s="938" t="s">
        <v>700</v>
      </c>
      <c r="K9" s="938" t="s">
        <v>700</v>
      </c>
      <c r="L9" s="938" t="s">
        <v>700</v>
      </c>
      <c r="M9" s="937" t="s">
        <v>702</v>
      </c>
      <c r="N9" s="938" t="s">
        <v>700</v>
      </c>
      <c r="O9" s="938" t="s">
        <v>700</v>
      </c>
      <c r="P9" s="950" t="s">
        <v>700</v>
      </c>
      <c r="Q9" s="951"/>
    </row>
    <row r="10" spans="1:17" ht="360">
      <c r="A10" s="934" t="s">
        <v>528</v>
      </c>
      <c r="B10" s="935" t="s">
        <v>707</v>
      </c>
      <c r="C10" s="944" t="s">
        <v>700</v>
      </c>
      <c r="D10" s="944" t="s">
        <v>700</v>
      </c>
      <c r="E10" s="944" t="s">
        <v>700</v>
      </c>
      <c r="F10" s="938" t="s">
        <v>700</v>
      </c>
      <c r="G10" s="935" t="s">
        <v>708</v>
      </c>
      <c r="H10" s="938" t="s">
        <v>700</v>
      </c>
      <c r="I10" s="938" t="s">
        <v>700</v>
      </c>
      <c r="J10" s="938" t="s">
        <v>700</v>
      </c>
      <c r="K10" s="938" t="s">
        <v>700</v>
      </c>
      <c r="L10" s="938" t="s">
        <v>700</v>
      </c>
      <c r="M10" s="935" t="s">
        <v>709</v>
      </c>
      <c r="N10" s="938" t="s">
        <v>700</v>
      </c>
      <c r="O10" s="938" t="s">
        <v>700</v>
      </c>
      <c r="P10" s="950" t="s">
        <v>700</v>
      </c>
      <c r="Q10" s="941"/>
    </row>
    <row r="11" spans="1:17" ht="21">
      <c r="A11" s="934" t="s">
        <v>529</v>
      </c>
      <c r="B11" s="952" t="s">
        <v>710</v>
      </c>
      <c r="C11" s="952" t="s">
        <v>710</v>
      </c>
      <c r="D11" s="952" t="s">
        <v>710</v>
      </c>
      <c r="E11" s="952" t="s">
        <v>710</v>
      </c>
      <c r="F11" s="952" t="s">
        <v>710</v>
      </c>
      <c r="G11" s="952" t="s">
        <v>710</v>
      </c>
      <c r="H11" s="952" t="s">
        <v>710</v>
      </c>
      <c r="I11" s="952" t="s">
        <v>710</v>
      </c>
      <c r="J11" s="952" t="s">
        <v>710</v>
      </c>
      <c r="K11" s="952" t="s">
        <v>710</v>
      </c>
      <c r="L11" s="952" t="s">
        <v>710</v>
      </c>
      <c r="M11" s="952" t="s">
        <v>710</v>
      </c>
      <c r="N11" s="952" t="s">
        <v>710</v>
      </c>
      <c r="O11" s="952" t="s">
        <v>710</v>
      </c>
      <c r="P11" s="953" t="s">
        <v>710</v>
      </c>
      <c r="Q11" s="954"/>
    </row>
    <row r="12" spans="1:17" ht="21">
      <c r="A12" s="934" t="s">
        <v>530</v>
      </c>
      <c r="B12" s="952" t="s">
        <v>710</v>
      </c>
      <c r="C12" s="952" t="s">
        <v>700</v>
      </c>
      <c r="D12" s="952" t="s">
        <v>700</v>
      </c>
      <c r="E12" s="952" t="s">
        <v>700</v>
      </c>
      <c r="F12" s="952" t="s">
        <v>700</v>
      </c>
      <c r="G12" s="952" t="s">
        <v>700</v>
      </c>
      <c r="H12" s="952" t="s">
        <v>700</v>
      </c>
      <c r="I12" s="952" t="s">
        <v>700</v>
      </c>
      <c r="J12" s="952" t="s">
        <v>700</v>
      </c>
      <c r="K12" s="952" t="s">
        <v>700</v>
      </c>
      <c r="L12" s="952" t="s">
        <v>700</v>
      </c>
      <c r="M12" s="952" t="s">
        <v>700</v>
      </c>
      <c r="N12" s="952" t="s">
        <v>700</v>
      </c>
      <c r="O12" s="952" t="s">
        <v>700</v>
      </c>
      <c r="P12" s="955" t="s">
        <v>700</v>
      </c>
      <c r="Q12" s="446"/>
    </row>
    <row r="13" spans="1:17" ht="21">
      <c r="A13" s="934" t="s">
        <v>531</v>
      </c>
      <c r="B13" s="952" t="s">
        <v>710</v>
      </c>
      <c r="C13" s="952" t="s">
        <v>700</v>
      </c>
      <c r="D13" s="952" t="s">
        <v>710</v>
      </c>
      <c r="E13" s="952" t="s">
        <v>710</v>
      </c>
      <c r="F13" s="952" t="s">
        <v>700</v>
      </c>
      <c r="G13" s="952" t="s">
        <v>710</v>
      </c>
      <c r="H13" s="952" t="s">
        <v>710</v>
      </c>
      <c r="I13" s="952" t="s">
        <v>700</v>
      </c>
      <c r="J13" s="952" t="s">
        <v>700</v>
      </c>
      <c r="K13" s="952" t="s">
        <v>700</v>
      </c>
      <c r="L13" s="952" t="s">
        <v>700</v>
      </c>
      <c r="M13" s="952" t="s">
        <v>710</v>
      </c>
      <c r="N13" s="952" t="s">
        <v>700</v>
      </c>
      <c r="O13" s="952" t="s">
        <v>700</v>
      </c>
      <c r="P13" s="955" t="s">
        <v>700</v>
      </c>
      <c r="Q13" s="446"/>
    </row>
    <row r="14" spans="1:17" ht="30">
      <c r="A14" s="956" t="s">
        <v>711</v>
      </c>
      <c r="B14" s="942" t="s">
        <v>699</v>
      </c>
      <c r="C14" s="952" t="s">
        <v>700</v>
      </c>
      <c r="D14" s="942" t="s">
        <v>699</v>
      </c>
      <c r="E14" s="952" t="s">
        <v>700</v>
      </c>
      <c r="F14" s="952" t="s">
        <v>700</v>
      </c>
      <c r="G14" s="952" t="s">
        <v>700</v>
      </c>
      <c r="H14" s="952" t="s">
        <v>700</v>
      </c>
      <c r="I14" s="952" t="s">
        <v>700</v>
      </c>
      <c r="J14" s="952" t="s">
        <v>700</v>
      </c>
      <c r="K14" s="952" t="s">
        <v>700</v>
      </c>
      <c r="L14" s="952" t="s">
        <v>700</v>
      </c>
      <c r="M14" s="952" t="s">
        <v>700</v>
      </c>
      <c r="N14" s="952" t="s">
        <v>700</v>
      </c>
      <c r="O14" s="952" t="s">
        <v>700</v>
      </c>
      <c r="P14" s="953" t="s">
        <v>700</v>
      </c>
      <c r="Q14" s="957"/>
    </row>
    <row r="15" spans="1:17" s="456" customFormat="1" ht="21">
      <c r="A15" s="958" t="s">
        <v>532</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712</v>
      </c>
      <c r="B18" s="967" t="s">
        <v>713</v>
      </c>
      <c r="C18" s="968" t="s">
        <v>714</v>
      </c>
      <c r="D18" s="969" t="s">
        <v>715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717</v>
      </c>
    </row>
    <row r="2" spans="1:16" ht="60">
      <c r="A2" s="1147"/>
      <c r="B2" s="1146"/>
      <c r="C2" s="1146"/>
      <c r="D2" s="1148" t="s">
        <v>190</v>
      </c>
      <c r="E2" s="1148"/>
      <c r="F2" s="1148"/>
      <c r="G2" s="1148"/>
      <c r="H2" s="1148"/>
      <c r="I2" s="971" t="s">
        <v>725</v>
      </c>
      <c r="J2" s="971" t="s">
        <v>223</v>
      </c>
      <c r="K2" s="971" t="s">
        <v>724</v>
      </c>
      <c r="L2" s="971" t="s">
        <v>677</v>
      </c>
      <c r="M2" s="971" t="s">
        <v>234</v>
      </c>
      <c r="N2" s="971" t="s">
        <v>722</v>
      </c>
      <c r="O2" s="971" t="s">
        <v>120</v>
      </c>
      <c r="P2" s="1146"/>
    </row>
    <row r="3" spans="1:16" ht="30">
      <c r="A3" s="1147"/>
      <c r="B3" s="971" t="s">
        <v>728</v>
      </c>
      <c r="C3" s="971" t="s">
        <v>729</v>
      </c>
      <c r="D3" s="971" t="s">
        <v>192</v>
      </c>
      <c r="E3" s="971" t="s">
        <v>193</v>
      </c>
      <c r="F3" s="971" t="s">
        <v>194</v>
      </c>
      <c r="G3" s="971" t="s">
        <v>196</v>
      </c>
      <c r="H3" s="971" t="s">
        <v>197</v>
      </c>
      <c r="I3" s="971"/>
      <c r="J3" s="971"/>
      <c r="K3" s="971"/>
      <c r="L3" s="971"/>
      <c r="M3" s="971"/>
      <c r="N3" s="971"/>
      <c r="O3" s="971"/>
      <c r="P3" s="1146"/>
    </row>
    <row r="4" spans="1:16">
      <c r="A4" s="976" t="s">
        <v>238</v>
      </c>
      <c r="B4" s="972">
        <f>'SEAP template'!B72</f>
        <v>16039.624472918733</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31142.541471160032</v>
      </c>
      <c r="C6" s="972"/>
      <c r="D6" s="972"/>
      <c r="E6" s="972"/>
      <c r="F6" s="972"/>
      <c r="G6" s="972"/>
      <c r="H6" s="972"/>
      <c r="I6" s="972"/>
      <c r="J6" s="972"/>
      <c r="K6" s="972"/>
      <c r="L6" s="972"/>
      <c r="M6" s="972"/>
      <c r="N6" s="972"/>
      <c r="O6" s="972"/>
      <c r="P6" s="973">
        <f>'SEAP template'!Q74</f>
        <v>0</v>
      </c>
    </row>
    <row r="7" spans="1:16">
      <c r="A7" s="977" t="s">
        <v>677</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6024.15</v>
      </c>
      <c r="D8" s="972">
        <f>'SEAP template'!D76</f>
        <v>7087.2352941176478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1431.6215294117649</v>
      </c>
    </row>
    <row r="9" spans="1:16">
      <c r="A9" s="978" t="s">
        <v>720</v>
      </c>
      <c r="B9" s="972">
        <f>'SEAP template'!B77</f>
        <v>1237.5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3535.7142857142858</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48419.665944078763</v>
      </c>
      <c r="C10" s="974">
        <f>SUM(C4:C9)</f>
        <v>6024.15</v>
      </c>
      <c r="D10" s="974">
        <f t="shared" ref="D10:H10" si="0">SUM(D8:D9)</f>
        <v>7087.2352941176478</v>
      </c>
      <c r="E10" s="974">
        <f t="shared" si="0"/>
        <v>0</v>
      </c>
      <c r="F10" s="974">
        <f t="shared" si="0"/>
        <v>0</v>
      </c>
      <c r="G10" s="974">
        <f t="shared" si="0"/>
        <v>0</v>
      </c>
      <c r="H10" s="974">
        <f t="shared" si="0"/>
        <v>0</v>
      </c>
      <c r="I10" s="974">
        <f>SUM(I8:I9)</f>
        <v>0</v>
      </c>
      <c r="J10" s="974">
        <f>SUM(J8:J9)</f>
        <v>3535.7142857142858</v>
      </c>
      <c r="K10" s="974">
        <f t="shared" ref="K10:L10" si="1">SUM(K8:K9)</f>
        <v>0</v>
      </c>
      <c r="L10" s="974">
        <f t="shared" si="1"/>
        <v>0</v>
      </c>
      <c r="M10" s="974">
        <f>SUM(M8:M9)</f>
        <v>0</v>
      </c>
      <c r="N10" s="974">
        <f>SUM(N8:N9)</f>
        <v>0</v>
      </c>
      <c r="O10" s="974">
        <f>SUM(O8:O9)</f>
        <v>0</v>
      </c>
      <c r="P10" s="974">
        <f>SUM(P8:P9)</f>
        <v>1431.6215294117649</v>
      </c>
    </row>
    <row r="11" spans="1:16">
      <c r="A11" s="848"/>
      <c r="B11" s="848"/>
      <c r="C11" s="848"/>
      <c r="D11" s="848"/>
      <c r="E11" s="848"/>
      <c r="F11" s="848"/>
      <c r="G11" s="848"/>
      <c r="H11" s="848"/>
      <c r="I11" s="848"/>
      <c r="J11" s="848"/>
      <c r="K11" s="848"/>
      <c r="L11" s="848"/>
      <c r="M11" s="848"/>
      <c r="N11" s="848"/>
      <c r="O11" s="848"/>
      <c r="P11" s="848"/>
    </row>
    <row r="12" spans="1:16">
      <c r="A12" s="457" t="s">
        <v>731</v>
      </c>
      <c r="B12" s="737" t="s">
        <v>730</v>
      </c>
      <c r="C12" s="737">
        <f ca="1">'EF ele_warmte'!B12</f>
        <v>0.19499651884213512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718</v>
      </c>
    </row>
    <row r="15" spans="1:16">
      <c r="A15" s="1147"/>
      <c r="B15" s="1146"/>
      <c r="C15" s="1146"/>
      <c r="D15" s="1149" t="s">
        <v>190</v>
      </c>
      <c r="E15" s="1149"/>
      <c r="F15" s="1149"/>
      <c r="G15" s="1149"/>
      <c r="H15" s="1149"/>
      <c r="I15" s="1146" t="s">
        <v>725</v>
      </c>
      <c r="J15" s="1146" t="s">
        <v>223</v>
      </c>
      <c r="K15" s="1146" t="s">
        <v>724</v>
      </c>
      <c r="L15" s="1146" t="s">
        <v>677</v>
      </c>
      <c r="M15" s="1146" t="s">
        <v>234</v>
      </c>
      <c r="N15" s="1146" t="s">
        <v>723</v>
      </c>
      <c r="O15" s="1146" t="s">
        <v>120</v>
      </c>
      <c r="P15" s="1146"/>
    </row>
    <row r="16" spans="1:16" ht="30">
      <c r="A16" s="1147"/>
      <c r="B16" s="971" t="s">
        <v>726</v>
      </c>
      <c r="C16" s="971" t="s">
        <v>727</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8605.9285714285725</v>
      </c>
      <c r="D17" s="973">
        <f>'SEAP template'!D87</f>
        <v>10124.621848739498</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2045.1736134453788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721</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8605.9285714285725</v>
      </c>
      <c r="D20" s="974">
        <f t="shared" ref="D20:H20" si="2">SUM(D17:D19)</f>
        <v>10124.621848739498</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2045.1736134453788</v>
      </c>
    </row>
    <row r="21" spans="1:16">
      <c r="B21" s="841"/>
    </row>
    <row r="22" spans="1:16">
      <c r="A22" s="457" t="s">
        <v>732</v>
      </c>
      <c r="B22" s="737" t="s">
        <v>730</v>
      </c>
      <c r="C22" s="737">
        <f ca="1">'EF ele_warmte'!B22</f>
        <v>0.23764705882352952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717</v>
      </c>
    </row>
    <row r="2" spans="1:16" ht="15.75">
      <c r="A2" s="1147"/>
      <c r="B2" s="1146"/>
      <c r="C2" s="1146"/>
      <c r="D2" s="1148" t="s">
        <v>190</v>
      </c>
      <c r="E2" s="1148"/>
      <c r="F2" s="1148"/>
      <c r="G2" s="1148"/>
      <c r="H2" s="1148"/>
      <c r="I2" s="971" t="s">
        <v>725</v>
      </c>
      <c r="J2" s="971" t="s">
        <v>223</v>
      </c>
      <c r="K2" s="971" t="s">
        <v>724</v>
      </c>
      <c r="L2" s="971" t="s">
        <v>677</v>
      </c>
      <c r="M2" s="971" t="s">
        <v>234</v>
      </c>
      <c r="N2" s="971" t="s">
        <v>722</v>
      </c>
      <c r="O2" s="971" t="s">
        <v>120</v>
      </c>
      <c r="P2" s="1146"/>
    </row>
    <row r="3" spans="1:16" ht="30">
      <c r="A3" s="1147"/>
      <c r="B3" s="971" t="s">
        <v>728</v>
      </c>
      <c r="C3" s="971" t="s">
        <v>729</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850</v>
      </c>
      <c r="C4" s="988" t="s">
        <v>700</v>
      </c>
      <c r="D4" s="988" t="s">
        <v>700</v>
      </c>
      <c r="E4" s="988" t="s">
        <v>700</v>
      </c>
      <c r="F4" s="988" t="s">
        <v>700</v>
      </c>
      <c r="G4" s="988" t="s">
        <v>700</v>
      </c>
      <c r="H4" s="988" t="s">
        <v>700</v>
      </c>
      <c r="I4" s="988" t="s">
        <v>700</v>
      </c>
      <c r="J4" s="988" t="s">
        <v>700</v>
      </c>
      <c r="K4" s="988" t="s">
        <v>700</v>
      </c>
      <c r="L4" s="988" t="s">
        <v>700</v>
      </c>
      <c r="M4" s="988" t="s">
        <v>700</v>
      </c>
      <c r="N4" s="988" t="s">
        <v>700</v>
      </c>
      <c r="O4" s="988" t="s">
        <v>700</v>
      </c>
      <c r="P4" s="984" t="s">
        <v>733</v>
      </c>
    </row>
    <row r="5" spans="1:16" ht="135">
      <c r="A5" s="986" t="s">
        <v>239</v>
      </c>
      <c r="B5" s="983" t="s">
        <v>850</v>
      </c>
      <c r="C5" s="988" t="s">
        <v>700</v>
      </c>
      <c r="D5" s="988" t="s">
        <v>700</v>
      </c>
      <c r="E5" s="988" t="s">
        <v>700</v>
      </c>
      <c r="F5" s="988" t="s">
        <v>700</v>
      </c>
      <c r="G5" s="988" t="s">
        <v>700</v>
      </c>
      <c r="H5" s="988" t="s">
        <v>700</v>
      </c>
      <c r="I5" s="988" t="s">
        <v>700</v>
      </c>
      <c r="J5" s="988" t="s">
        <v>700</v>
      </c>
      <c r="K5" s="988" t="s">
        <v>700</v>
      </c>
      <c r="L5" s="988" t="s">
        <v>700</v>
      </c>
      <c r="M5" s="988" t="s">
        <v>700</v>
      </c>
      <c r="N5" s="988" t="s">
        <v>700</v>
      </c>
      <c r="O5" s="988" t="s">
        <v>700</v>
      </c>
      <c r="P5" s="984" t="s">
        <v>733</v>
      </c>
    </row>
    <row r="6" spans="1:16" ht="135">
      <c r="A6" s="986" t="s">
        <v>240</v>
      </c>
      <c r="B6" s="983" t="s">
        <v>850</v>
      </c>
      <c r="C6" s="988" t="s">
        <v>700</v>
      </c>
      <c r="D6" s="988" t="s">
        <v>700</v>
      </c>
      <c r="E6" s="988" t="s">
        <v>700</v>
      </c>
      <c r="F6" s="988" t="s">
        <v>700</v>
      </c>
      <c r="G6" s="988" t="s">
        <v>700</v>
      </c>
      <c r="H6" s="988" t="s">
        <v>700</v>
      </c>
      <c r="I6" s="988" t="s">
        <v>700</v>
      </c>
      <c r="J6" s="988" t="s">
        <v>700</v>
      </c>
      <c r="K6" s="988" t="s">
        <v>700</v>
      </c>
      <c r="L6" s="988" t="s">
        <v>700</v>
      </c>
      <c r="M6" s="988" t="s">
        <v>700</v>
      </c>
      <c r="N6" s="988" t="s">
        <v>700</v>
      </c>
      <c r="O6" s="988" t="s">
        <v>700</v>
      </c>
      <c r="P6" s="984" t="s">
        <v>733</v>
      </c>
    </row>
    <row r="7" spans="1:16" ht="135">
      <c r="A7" s="986" t="s">
        <v>677</v>
      </c>
      <c r="B7" s="988" t="s">
        <v>700</v>
      </c>
      <c r="C7" s="988" t="s">
        <v>700</v>
      </c>
      <c r="D7" s="988" t="s">
        <v>700</v>
      </c>
      <c r="E7" s="988" t="s">
        <v>700</v>
      </c>
      <c r="F7" s="988" t="s">
        <v>700</v>
      </c>
      <c r="G7" s="988" t="s">
        <v>700</v>
      </c>
      <c r="H7" s="988" t="s">
        <v>700</v>
      </c>
      <c r="I7" s="988" t="s">
        <v>700</v>
      </c>
      <c r="J7" s="988" t="s">
        <v>700</v>
      </c>
      <c r="K7" s="988" t="s">
        <v>700</v>
      </c>
      <c r="L7" s="988" t="s">
        <v>700</v>
      </c>
      <c r="M7" s="988" t="s">
        <v>700</v>
      </c>
      <c r="N7" s="988" t="s">
        <v>700</v>
      </c>
      <c r="O7" s="988" t="s">
        <v>700</v>
      </c>
      <c r="P7" s="984" t="s">
        <v>733</v>
      </c>
    </row>
    <row r="8" spans="1:16" ht="210">
      <c r="A8" s="985" t="s">
        <v>241</v>
      </c>
      <c r="B8" s="983" t="s">
        <v>734</v>
      </c>
      <c r="C8" s="983" t="s">
        <v>734</v>
      </c>
      <c r="D8" s="983" t="s">
        <v>734</v>
      </c>
      <c r="E8" s="983" t="s">
        <v>734</v>
      </c>
      <c r="F8" s="983" t="s">
        <v>734</v>
      </c>
      <c r="G8" s="983" t="s">
        <v>734</v>
      </c>
      <c r="H8" s="983" t="s">
        <v>734</v>
      </c>
      <c r="I8" s="983" t="s">
        <v>734</v>
      </c>
      <c r="J8" s="983" t="s">
        <v>734</v>
      </c>
      <c r="K8" s="988" t="s">
        <v>700</v>
      </c>
      <c r="L8" s="988" t="s">
        <v>700</v>
      </c>
      <c r="M8" s="988" t="s">
        <v>700</v>
      </c>
      <c r="N8" s="983" t="s">
        <v>735</v>
      </c>
      <c r="O8" s="983" t="s">
        <v>735</v>
      </c>
      <c r="P8" s="989"/>
    </row>
    <row r="9" spans="1:16" ht="210">
      <c r="A9" s="987" t="s">
        <v>720</v>
      </c>
      <c r="B9" s="983" t="s">
        <v>735</v>
      </c>
      <c r="C9" s="983" t="s">
        <v>735</v>
      </c>
      <c r="D9" s="983" t="s">
        <v>735</v>
      </c>
      <c r="E9" s="983" t="s">
        <v>735</v>
      </c>
      <c r="F9" s="983" t="s">
        <v>735</v>
      </c>
      <c r="G9" s="983" t="s">
        <v>735</v>
      </c>
      <c r="H9" s="983" t="s">
        <v>735</v>
      </c>
      <c r="I9" s="983" t="s">
        <v>735</v>
      </c>
      <c r="J9" s="983" t="s">
        <v>735</v>
      </c>
      <c r="K9" s="988" t="s">
        <v>700</v>
      </c>
      <c r="L9" s="983" t="s">
        <v>735</v>
      </c>
      <c r="M9" s="983" t="s">
        <v>735</v>
      </c>
      <c r="N9" s="983" t="s">
        <v>735</v>
      </c>
      <c r="O9" s="983" t="s">
        <v>735</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731</v>
      </c>
      <c r="B12" s="737" t="s">
        <v>730</v>
      </c>
      <c r="C12" s="991" t="s">
        <v>736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718</v>
      </c>
    </row>
    <row r="15" spans="1:16">
      <c r="A15" s="1147"/>
      <c r="B15" s="1146"/>
      <c r="C15" s="1146"/>
      <c r="D15" s="1149" t="s">
        <v>190</v>
      </c>
      <c r="E15" s="1149"/>
      <c r="F15" s="1149"/>
      <c r="G15" s="1149"/>
      <c r="H15" s="1149"/>
      <c r="I15" s="1146" t="s">
        <v>725</v>
      </c>
      <c r="J15" s="1146" t="s">
        <v>223</v>
      </c>
      <c r="K15" s="1146" t="s">
        <v>724</v>
      </c>
      <c r="L15" s="1146" t="s">
        <v>677</v>
      </c>
      <c r="M15" s="1146" t="s">
        <v>234</v>
      </c>
      <c r="N15" s="1146" t="s">
        <v>723</v>
      </c>
      <c r="O15" s="1146" t="s">
        <v>120</v>
      </c>
      <c r="P15" s="1146"/>
    </row>
    <row r="16" spans="1:16" ht="30">
      <c r="A16" s="1147"/>
      <c r="B16" s="971" t="s">
        <v>726</v>
      </c>
      <c r="C16" s="971" t="s">
        <v>727</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735</v>
      </c>
      <c r="C17" s="983" t="s">
        <v>735</v>
      </c>
      <c r="D17" s="983" t="s">
        <v>735</v>
      </c>
      <c r="E17" s="983" t="s">
        <v>735</v>
      </c>
      <c r="F17" s="983" t="s">
        <v>735</v>
      </c>
      <c r="G17" s="983" t="s">
        <v>735</v>
      </c>
      <c r="H17" s="983" t="s">
        <v>735</v>
      </c>
      <c r="I17" s="983" t="s">
        <v>735</v>
      </c>
      <c r="J17" s="983" t="s">
        <v>735</v>
      </c>
      <c r="K17" s="988" t="s">
        <v>700</v>
      </c>
      <c r="L17" s="988" t="s">
        <v>700</v>
      </c>
      <c r="M17" s="988" t="s">
        <v>700</v>
      </c>
      <c r="N17" s="983" t="s">
        <v>735</v>
      </c>
      <c r="O17" s="983" t="s">
        <v>735</v>
      </c>
      <c r="P17" s="982"/>
    </row>
    <row r="18" spans="1:16" ht="45">
      <c r="A18" s="980" t="s">
        <v>247</v>
      </c>
      <c r="B18" s="984" t="s">
        <v>710</v>
      </c>
      <c r="C18" s="984" t="s">
        <v>710</v>
      </c>
      <c r="D18" s="984" t="s">
        <v>710</v>
      </c>
      <c r="E18" s="984" t="s">
        <v>710</v>
      </c>
      <c r="F18" s="984" t="s">
        <v>710</v>
      </c>
      <c r="G18" s="984" t="s">
        <v>710</v>
      </c>
      <c r="H18" s="984" t="s">
        <v>710</v>
      </c>
      <c r="I18" s="984" t="s">
        <v>710</v>
      </c>
      <c r="J18" s="984" t="s">
        <v>710</v>
      </c>
      <c r="K18" s="984" t="s">
        <v>710</v>
      </c>
      <c r="L18" s="984" t="s">
        <v>710</v>
      </c>
      <c r="M18" s="984" t="s">
        <v>710</v>
      </c>
      <c r="N18" s="984" t="s">
        <v>710</v>
      </c>
      <c r="O18" s="984" t="s">
        <v>710</v>
      </c>
      <c r="P18" s="984" t="s">
        <v>710</v>
      </c>
    </row>
    <row r="19" spans="1:16" ht="45">
      <c r="A19" s="978" t="s">
        <v>721</v>
      </c>
      <c r="B19" s="984" t="s">
        <v>710</v>
      </c>
      <c r="C19" s="984" t="s">
        <v>710</v>
      </c>
      <c r="D19" s="984" t="s">
        <v>710</v>
      </c>
      <c r="E19" s="984" t="s">
        <v>710</v>
      </c>
      <c r="F19" s="984" t="s">
        <v>710</v>
      </c>
      <c r="G19" s="984" t="s">
        <v>710</v>
      </c>
      <c r="H19" s="984" t="s">
        <v>710</v>
      </c>
      <c r="I19" s="984" t="s">
        <v>710</v>
      </c>
      <c r="J19" s="984" t="s">
        <v>710</v>
      </c>
      <c r="K19" s="984" t="s">
        <v>710</v>
      </c>
      <c r="L19" s="984" t="s">
        <v>710</v>
      </c>
      <c r="M19" s="984" t="s">
        <v>710</v>
      </c>
      <c r="N19" s="984" t="s">
        <v>710</v>
      </c>
      <c r="O19" s="984" t="s">
        <v>710</v>
      </c>
      <c r="P19" s="984" t="s">
        <v>710</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732</v>
      </c>
      <c r="B22" s="737" t="s">
        <v>730</v>
      </c>
      <c r="C22" s="991" t="s">
        <v>737</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555</v>
      </c>
      <c r="B6" s="75" t="s">
        <v>556</v>
      </c>
      <c r="C6" s="427" t="s">
        <v>539</v>
      </c>
    </row>
    <row r="7" spans="1:3">
      <c r="A7" s="124"/>
      <c r="B7" s="128"/>
      <c r="C7" s="122"/>
    </row>
    <row r="8" spans="1:3">
      <c r="A8" s="113" t="s">
        <v>558</v>
      </c>
      <c r="B8" s="75" t="s">
        <v>557</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569</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564</v>
      </c>
      <c r="B4" s="460"/>
      <c r="C4" s="460"/>
      <c r="D4" s="460"/>
      <c r="E4" s="460"/>
      <c r="F4" s="460"/>
      <c r="G4" s="491"/>
      <c r="H4" s="491"/>
      <c r="I4" s="460"/>
      <c r="J4" s="460"/>
      <c r="K4" s="460"/>
      <c r="L4" s="460"/>
      <c r="M4" s="460"/>
      <c r="N4" s="460"/>
      <c r="O4" s="460"/>
      <c r="P4" s="460"/>
    </row>
    <row r="5" spans="1:16" outlineLevel="1">
      <c r="A5" s="637" t="s">
        <v>565</v>
      </c>
      <c r="B5" s="460"/>
      <c r="C5" s="460"/>
      <c r="D5" s="460"/>
      <c r="E5" s="460"/>
      <c r="F5" s="460"/>
      <c r="G5" s="491"/>
      <c r="H5" s="491"/>
      <c r="I5" s="460"/>
      <c r="J5" s="460"/>
      <c r="K5" s="460"/>
      <c r="L5" s="460"/>
      <c r="M5" s="460"/>
      <c r="N5" s="460"/>
      <c r="O5" s="460"/>
      <c r="P5" s="460"/>
    </row>
    <row r="6" spans="1:16" outlineLevel="1">
      <c r="A6" s="637" t="s">
        <v>566</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567</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568</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553</v>
      </c>
      <c r="B13" s="445"/>
      <c r="C13" s="464"/>
      <c r="D13" s="464"/>
      <c r="E13" s="464"/>
      <c r="F13" s="464"/>
      <c r="G13" s="464"/>
      <c r="H13" s="464"/>
      <c r="I13" s="464"/>
      <c r="J13" s="464"/>
      <c r="K13" s="464"/>
      <c r="L13" s="464"/>
      <c r="M13" s="464"/>
      <c r="N13" s="464"/>
      <c r="O13" s="738" t="s">
        <v>585</v>
      </c>
      <c r="P13" s="738" t="s">
        <v>584</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562</v>
      </c>
      <c r="B17" s="493">
        <f ca="1">'EF ele_warmte'!B12</f>
        <v>0.19499651884213512</v>
      </c>
      <c r="C17" s="493">
        <f ca="1">'EF ele_warmte'!B22</f>
        <v>0.23764705882352952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605</v>
      </c>
      <c r="E24" s="446"/>
    </row>
    <row r="25" spans="1:16" s="445" customFormat="1" outlineLevel="1">
      <c r="A25" s="481" t="s">
        <v>428</v>
      </c>
      <c r="B25" s="307">
        <v>13.15681996793146</v>
      </c>
      <c r="C25" s="43"/>
      <c r="D25" s="301" t="s">
        <v>748</v>
      </c>
      <c r="E25" s="459"/>
    </row>
    <row r="26" spans="1:16" s="445" customFormat="1" outlineLevel="1">
      <c r="A26" s="742" t="s">
        <v>429</v>
      </c>
      <c r="B26" s="312">
        <f>1.34/3.6</f>
        <v>0.37222222222222223</v>
      </c>
      <c r="C26" s="43" t="s">
        <v>208</v>
      </c>
      <c r="D26" s="301" t="s">
        <v>749</v>
      </c>
      <c r="E26" s="459"/>
    </row>
    <row r="27" spans="1:16" s="445" customFormat="1" outlineLevel="1">
      <c r="A27" s="483" t="s">
        <v>576</v>
      </c>
      <c r="B27" s="744">
        <f>B24*B25*B26</f>
        <v>0</v>
      </c>
      <c r="C27" s="484" t="s">
        <v>577</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605</v>
      </c>
      <c r="E31" s="446"/>
    </row>
    <row r="32" spans="1:16" s="445" customFormat="1" outlineLevel="1">
      <c r="A32" s="481" t="s">
        <v>425</v>
      </c>
      <c r="B32" s="525">
        <v>37.963784638354454</v>
      </c>
      <c r="C32" s="32" t="s">
        <v>252</v>
      </c>
      <c r="D32" s="301" t="s">
        <v>748</v>
      </c>
      <c r="E32" s="446"/>
    </row>
    <row r="33" spans="1:5" s="445" customFormat="1" outlineLevel="1">
      <c r="A33" s="481" t="s">
        <v>426</v>
      </c>
      <c r="B33" s="525">
        <v>1887.1743212997605</v>
      </c>
      <c r="C33" s="32" t="s">
        <v>254</v>
      </c>
      <c r="D33" s="301" t="s">
        <v>748</v>
      </c>
      <c r="E33" s="446"/>
    </row>
    <row r="34" spans="1:5" s="445" customFormat="1" outlineLevel="1">
      <c r="A34" s="742" t="s">
        <v>366</v>
      </c>
      <c r="B34" s="525">
        <v>3.75</v>
      </c>
      <c r="C34" s="32"/>
      <c r="D34" s="301" t="s">
        <v>749</v>
      </c>
      <c r="E34" s="446"/>
    </row>
    <row r="35" spans="1:5" s="445" customFormat="1" outlineLevel="1">
      <c r="A35" s="483" t="s">
        <v>576</v>
      </c>
      <c r="B35" s="743">
        <f>B31*B32*B33/1000-B31*B32*B33/1000/B34</f>
        <v>0</v>
      </c>
      <c r="C35" s="490" t="s">
        <v>577</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2022-07-26T09:59:43Z</dcterms:modified>
</cp:coreProperties>
</file>