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387330ED-EAD9-493D-9D5D-1DFEB7EF6A2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<sst xmlns="http://schemas.openxmlformats.org/spreadsheetml/2006/main" count="2392" uniqueCount="868">
  <si>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</si>
  <si>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</si>
  <si>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</si>
  <si>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</si>
  <si>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</si>
  <si>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</si>
  <si>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</si>
  <si>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</si>
  <si>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</si>
  <si>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</si>
  <si>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</si>
  <si>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</si>
  <si>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</si>
  <si>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</si>
  <si>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</si>
  <si>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</si>
  <si>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</si>
  <si>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</si>
  <si>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</si>
  <si>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</si>
  <si>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</si>
  <si>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</si>
  <si>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</si>
  <si>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</si>
  <si>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</si>
  <si>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</si>
  <si>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</si>
  <si>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</si>
  <si>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</si>
  <si>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</si>
  <si>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</si>
  <si>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</si>
  <si>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</si>
  <si>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</si>
  <si>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</si>
  <si>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</si>
  <si>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</si>
  <si>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</si>
  <si>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</si>
  <si>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</si>
  <si>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</si>
  <si>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</si>
  <si>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</si>
  <si>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</si>
  <si>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</si>
  <si>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</si>
  <si>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</si>
  <si>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</si>
  <si>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</si>
  <si>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</si>
  <si>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</si>
  <si>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</si>
  <si>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</si>
  <si>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</si>
  <si>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</si>
  <si>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</si>
  <si>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</si>
  <si>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</si>
  <si>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</si>
  <si>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</si>
  <si>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</si>
  <si>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</si>
  <si>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</si>
  <si>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</si>
  <si>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</si>
  <si>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</si>
  <si>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</si>
  <si>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</si>
  <si>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</si>
  <si>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</si>
  <si>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</si>
  <si>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</si>
  <si>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</si>
  <si>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</si>
  <si>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</si>
  <si>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</si>
  <si>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</si>
  <si>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</si>
  <si>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</si>
  <si>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</si>
  <si>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</si>
  <si>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</si>
  <si>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</si>
  <si>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</si>
  <si>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</si>
  <si>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</si>
  <si>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</si>
  <si>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</si>
  <si>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</si>
  <si>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</si>
  <si>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</si>
  <si>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</si>
  <si>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</si>
  <si>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</si>
  <si>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</si>
  <si>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</si>
  <si>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</si>
  <si>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</si>
  <si>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</si>
  <si>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</si>
  <si>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</si>
  <si>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</si>
  <si>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</si>
  <si>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</si>
  <si>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</si>
  <si>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</si>
  <si>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</si>
  <si>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</si>
  <si>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</si>
  <si>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</si>
  <si>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</si>
  <si>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</si>
  <si>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</si>
  <si>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</si>
  <si>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</si>
  <si>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</si>
  <si>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</si>
  <si>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</si>
  <si>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</si>
  <si>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</si>
  <si>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</si>
  <si>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</si>
  <si>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</si>
  <si>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</si>
  <si>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</si>
  <si>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</si>
  <si>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</si>
  <si>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</si>
  <si>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</si>
  <si>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</si>
  <si>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</si>
  <si>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</si>
  <si>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</si>
  <si>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</si>
  <si>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</si>
  <si>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</si>
  <si>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</si>
  <si>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</si>
  <si>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</si>
  <si>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</si>
  <si>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</si>
  <si>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</si>
  <si>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</si>
  <si>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</si>
  <si>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</si>
  <si>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</si>
  <si>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</si>
  <si>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</si>
  <si>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</si>
  <si>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</si>
  <si>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</si>
  <si>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</si>
  <si>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</si>
  <si>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</si>
  <si>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</si>
  <si>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</si>
  <si>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</si>
  <si>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</si>
  <si>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</si>
  <si>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</si>
  <si>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</si>
  <si>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</si>
  <si>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</si>
  <si>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</si>
  <si>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</si>
  <si>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</si>
  <si>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</si>
  <si>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</si>
  <si>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</si>
  <si>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</si>
  <si>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</si>
  <si>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</si>
  <si>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</si>
  <si>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</si>
  <si>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</si>
  <si>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</si>
  <si>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</si>
  <si>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</si>
  <si>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</si>
  <si>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</si>
  <si>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</si>
  <si>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</si>
  <si>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</si>
  <si>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</si>
  <si>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</si>
  <si>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</si>
  <si>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</si>
  <si>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</si>
  <si>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</si>
  <si>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</si>
  <si>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</si>
  <si>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</si>
  <si>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</si>
  <si>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</si>
  <si>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</si>
  <si>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</si>
  <si>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</si>
  <si>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</si>
  <si>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</si>
  <si>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</si>
  <si>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</si>
  <si>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</si>
  <si>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</si>
  <si>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</si>
  <si>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</si>
  <si>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</si>
  <si>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</si>
  <si>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</si>
  <si>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</si>
  <si>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</si>
  <si>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</si>
  <si>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</si>
  <si>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</si>
  <si>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</si>
  <si>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</si>
  <si>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</si>
  <si>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</si>
  <si>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</si>
  <si>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</si>
  <si>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</si>
  <si>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</si>
  <si>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</si>
  <si>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</si>
  <si>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</si>
  <si>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</si>
  <si>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</si>
  <si>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</si>
  <si>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</si>
  <si>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</si>
  <si>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</si>
  <si>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</si>
  <si>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</si>
  <si>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</si>
  <si>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</si>
  <si>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</si>
  <si>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</si>
  <si>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</si>
  <si>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</si>
  <si>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</si>
  <si>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</si>
  <si>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</si>
  <si>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</si>
  <si>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</si>
  <si>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</si>
  <si>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</si>
  <si>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</si>
  <si>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</si>
  <si>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</si>
  <si>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</si>
  <si>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</si>
  <si>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</si>
  <si>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</si>
  <si>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</si>
  <si>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</si>
  <si>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</si>
  <si>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</si>
  <si>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</si>
  <si>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</si>
  <si>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</si>
  <si>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</si>
  <si>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</si>
  <si>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</si>
  <si>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</si>
  <si>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</si>
  <si>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</si>
  <si>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</si>
  <si>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</si>
  <si>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</si>
  <si>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</si>
  <si>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</si>
  <si>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</si>
  <si>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</si>
  <si>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</si>
  <si>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</si>
  <si>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</si>
  <si>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</si>
  <si>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</si>
  <si>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</si>
  <si>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</si>
  <si>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</si>
  <si>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</si>
  <si>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</si>
  <si>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</si>
  <si>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</si>
  <si>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</si>
  <si>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</si>
  <si>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</si>
  <si>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</si>
  <si>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</si>
  <si>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</si>
  <si>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</si>
  <si>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</si>
  <si>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</si>
  <si>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</si>
  <si>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</si>
  <si>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</si>
  <si>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</si>
  <si>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</si>
  <si>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</si>
  <si>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</si>
  <si>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</si>
  <si>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</si>
  <si>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</si>
  <si>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</si>
  <si>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</si>
  <si>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</si>
  <si>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</si>
  <si>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</si>
  <si>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</si>
  <si>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</si>
  <si>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</si>
  <si>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</si>
  <si>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</si>
  <si>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</si>
  <si>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</si>
  <si>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</si>
  <si>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</si>
  <si>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</si>
  <si>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</si>
  <si>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</si>
  <si>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</si>
  <si>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</si>
  <si>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</si>
  <si>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</si>
  <si>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</si>
  <si>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</si>
  <si>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</si>
  <si>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</si>
  <si>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</si>
  <si>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</si>
  <si>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</si>
  <si>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</si>
  <si>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</si>
  <si>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</si>
  <si>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</si>
  <si>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</si>
  <si>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</si>
  <si>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</si>
  <si>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</si>
  <si>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</si>
  <si>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</si>
  <si>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</si>
  <si>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</si>
  <si>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</si>
  <si>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</si>
  <si>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</si>
  <si>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</si>
  <si>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</si>
  <si>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</si>
  <si>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</si>
  <si>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</si>
  <si>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</si>
  <si>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</si>
  <si>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</si>
  <si>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</si>
  <si>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</si>
  <si>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</si>
  <si>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</si>
  <si>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</si>
  <si>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</si>
  <si>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</si>
  <si>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</si>
  <si>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</si>
  <si>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</si>
  <si>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</si>
  <si>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</si>
  <si>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</si>
  <si>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</si>
  <si>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</si>
  <si>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</si>
  <si>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</si>
  <si>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</si>
  <si>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</si>
  <si>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</si>
  <si>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</si>
  <si>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</si>
  <si>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</si>
  <si>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</si>
  <si>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</si>
  <si>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</si>
  <si>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</si>
  <si>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</si>
  <si>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</si>
  <si>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</si>
  <si>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</si>
  <si>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</si>
  <si>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</si>
  <si>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</si>
  <si>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</si>
  <si>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</si>
  <si>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</si>
  <si>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</si>
  <si>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</si>
  <si>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</si>
  <si>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</si>
  <si>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</si>
  <si>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</si>
  <si>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</si>
  <si>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</si>
  <si>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</si>
  <si>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</si>
  <si>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</si>
  <si>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</si>
  <si>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</si>
  <si>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</si>
  <si>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</si>
  <si>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</si>
  <si>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</si>
  <si>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</si>
  <si>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</si>
  <si>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</si>
  <si>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</si>
  <si>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</si>
  <si>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</si>
  <si>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</si>
  <si>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</si>
  <si>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</si>
  <si>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</si>
  <si>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</si>
  <si>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</si>
  <si>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</si>
  <si>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</si>
  <si>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</si>
  <si>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</si>
  <si>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</si>
  <si>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</si>
  <si>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</si>
  <si>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</si>
  <si>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</si>
  <si>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</si>
  <si>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</si>
  <si>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</si>
  <si>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</si>
  <si>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</si>
  <si>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</si>
  <si>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</si>
  <si>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</si>
  <si>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</si>
  <si>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</si>
  <si>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</si>
  <si>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</si>
  <si>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</si>
  <si>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</si>
  <si>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</si>
  <si>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</si>
  <si>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</si>
  <si>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</si>
  <si>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</si>
  <si>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</si>
  <si>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</si>
  <si>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</si>
  <si>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</si>
  <si>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</si>
  <si>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</si>
  <si>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</si>
  <si>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</si>
  <si>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</si>
  <si>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</si>
  <si>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</si>
  <si>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</si>
  <si>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</si>
  <si>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</si>
  <si>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</si>
  <si>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</si>
  <si>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</si>
  <si>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</si>
  <si>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</si>
  <si>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</si>
  <si>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</si>
  <si>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</si>
  <si>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</si>
  <si>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</si>
  <si>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</si>
  <si>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</si>
  <si>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</si>
  <si>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</si>
  <si>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</si>
  <si>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</si>
  <si>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</si>
  <si>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</si>
  <si>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</si>
  <si>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</si>
  <si>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</si>
  <si>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</si>
  <si>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</si>
  <si>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</si>
  <si>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</si>
  <si>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</si>
  <si>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</si>
  <si>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</si>
  <si>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</si>
  <si>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</si>
  <si>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</si>
  <si>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</si>
  <si>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</si>
  <si>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</si>
  <si>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</si>
  <si>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</si>
  <si>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</si>
  <si>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</si>
  <si>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</si>
  <si>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</si>
  <si>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</si>
  <si>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</si>
  <si>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</si>
  <si>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</si>
  <si>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</si>
  <si>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</si>
  <si>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</si>
  <si>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</si>
  <si>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</si>
  <si>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</si>
  <si>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</si>
  <si>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</si>
  <si>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</si>
  <si>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</si>
  <si>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</si>
  <si>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</si>
  <si>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</si>
  <si>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</si>
  <si>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</si>
  <si>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</si>
  <si>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</si>
  <si>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</si>
  <si>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</si>
  <si>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</si>
  <si>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</si>
  <si>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</si>
  <si>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</si>
  <si>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</si>
  <si>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</si>
  <si>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</si>
  <si>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</si>
  <si>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</si>
  <si>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</si>
  <si>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</si>
  <si>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</si>
  <si>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</si>
  <si>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</si>
  <si>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</si>
  <si>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</si>
  <si>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</si>
  <si>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</si>
  <si>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</si>
  <si>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</si>
  <si>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</si>
  <si>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</si>
  <si>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</si>
  <si>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</si>
  <si>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</si>
  <si>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</si>
  <si>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</si>
  <si>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</si>
  <si>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</si>
  <si>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</si>
  <si>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</si>
  <si>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</si>
  <si>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</si>
  <si>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</si>
  <si>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</si>
  <si>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</si>
  <si>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</si>
  <si>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</si>
  <si>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</si>
  <si>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</si>
  <si>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</si>
  <si>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</si>
  <si>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</si>
  <si>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</si>
  <si>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</si>
  <si>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</si>
  <si>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</si>
  <si>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</si>
  <si>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</si>
  <si>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</si>
  <si>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</si>
  <si>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</si>
  <si>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</si>
  <si>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</si>
  <si>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</si>
  <si>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</si>
  <si>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</si>
  <si>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</si>
  <si>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</si>
  <si>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</si>
  <si>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</si>
  <si>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</si>
  <si>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</si>
  <si>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</si>
  <si>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</si>
  <si>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</si>
  <si>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</si>
  <si>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</si>
  <si>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</si>
  <si>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</si>
  <si>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</si>
  <si>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</si>
  <si>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</si>
  <si>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</si>
  <si>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</si>
  <si>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</si>
  <si>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</si>
  <si>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</si>
  <si>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</si>
  <si>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</si>
  <si>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</si>
  <si>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</si>
  <si>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</si>
  <si>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</si>
  <si>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</si>
  <si>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</si>
  <si>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</si>
  <si>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</si>
  <si>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</si>
  <si>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</si>
  <si>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</si>
  <si>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</si>
  <si>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</si>
  <si>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</si>
  <si>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</si>
  <si>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</si>
  <si>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</si>
  <si>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</si>
  <si>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</si>
  <si>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</si>
  <si>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</si>
  <si>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</si>
  <si>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</si>
  <si>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</si>
  <si>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</si>
  <si>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</si>
  <si>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</si>
  <si>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</si>
  <si>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</si>
  <si>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</si>
  <si>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</si>
  <si>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</si>
  <si>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</si>
  <si>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</si>
  <si>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</si>
  <si>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</si>
  <si>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</si>
  <si>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</si>
  <si>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</si>
  <si>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</si>
  <si>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</si>
  <si>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</si>
  <si>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</si>
  <si>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</si>
  <si>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</si>
  <si>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</si>
  <si>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</si>
  <si>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</si>
  <si>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</si>
  <si>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</si>
  <si>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</si>
  <si>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</si>
  <si>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</si>
  <si>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</si>
  <si>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</si>
  <si>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</si>
  <si>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</si>
  <si>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</si>
  <si>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</si>
  <si>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</si>
  <si>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</si>
  <si>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</si>
  <si>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</si>
  <si>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</si>
  <si>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</si>
  <si>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</si>
  <si>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</si>
  <si>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</si>
  <si>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</si>
  <si>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</si>
  <si>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</si>
  <si>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</si>
  <si>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</si>
  <si>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</si>
  <si>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</si>
  <si>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</si>
  <si>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</si>
  <si>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</si>
  <si>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</si>
  <si>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</si>
  <si>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</si>
  <si>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</si>
  <si>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</si>
  <si>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</si>
  <si>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</si>
  <si>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</si>
  <si>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</si>
  <si>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</si>
  <si>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</si>
  <si>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</si>
  <si>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</si>
  <si>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</si>
  <si>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</si>
  <si>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</si>
  <si>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</si>
  <si>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</si>
  <si>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</si>
  <si>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</si>
  <si>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</si>
  <si>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</si>
  <si>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</si>
  <si>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</si>
  <si>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</si>
  <si>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</si>
  <si>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</si>
  <si>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</si>
  <si>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</si>
  <si>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</si>
  <si>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</si>
  <si>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</si>
  <si>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</si>
  <si>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</si>
  <si>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</si>
  <si>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</si>
  <si>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</si>
  <si>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</si>
  <si>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</si>
  <si>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</si>
  <si>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</si>
  <si>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</si>
  <si>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</si>
  <si>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</si>
  <si>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</si>
  <si>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</si>
  <si>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</si>
  <si>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</si>
  <si>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</si>
  <si>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</si>
  <si>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</si>
  <si>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</si>
  <si>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</si>
  <si>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</si>
  <si>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</si>
  <si>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</si>
  <si>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</si>
  <si>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</si>
  <si>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</si>
  <si>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</si>
  <si>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</si>
  <si>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</si>
  <si>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</si>
  <si>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</si>
  <si>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</si>
  <si>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</si>
  <si>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</si>
  <si>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</si>
  <si>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</si>
  <si>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</si>
  <si>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</si>
  <si>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</si>
  <si>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</si>
  <si>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</si>
  <si>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</si>
  <si>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</si>
  <si>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</si>
  <si>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</si>
  <si>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</si>
  <si>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</si>
  <si>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</si>
  <si>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</si>
  <si>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</si>
  <si>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</si>
  <si>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</si>
  <si>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</si>
  <si>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</si>
  <si>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</si>
  <si>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</si>
  <si>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</si>
  <si>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</si>
  <si>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</si>
  <si>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</si>
  <si>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</si>
  <si>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</si>
  <si>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</si>
  <si>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</si>
  <si>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</si>
  <si>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</si>
  <si>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</si>
  <si>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</si>
  <si>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</si>
  <si>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</si>
  <si>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</si>
  <si>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</si>
  <si>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</si>
  <si>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</si>
  <si>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</si>
  <si>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</si>
  <si>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</si>
  <si>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</si>
  <si>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</si>
  <si>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</si>
  <si>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</si>
  <si>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</si>
  <si>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</si>
  <si>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</si>
  <si>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</si>
  <si>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</si>
  <si>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</si>
  <si>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</si>
  <si>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</si>
  <si>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</si>
  <si>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</si>
  <si>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</si>
  <si>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</si>
  <si>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</si>
  <si>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</si>
  <si>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</si>
  <si>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</si>
  <si>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</si>
  <si>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</si>
  <si>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</si>
  <si>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</si>
  <si>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</si>
  <si>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</si>
  <si>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</si>
  <si>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</si>
  <si>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</si>
  <si>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</si>
  <si>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</si>
  <si>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</si>
  <si>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</si>
  <si>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</si>
  <si>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</si>
  <si>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</si>
  <si>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</si>
  <si>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</si>
  <si>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</si>
  <si>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</si>
  <si>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</si>
  <si>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</si>
  <si>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</si>
  <si>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</si>
  <si>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</si>
  <si>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</si>
  <si>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</si>
  <si>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</si>
  <si>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</si>
  <si>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</si>
  <si>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</si>
  <si>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</si>
  <si>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</si>
  <si>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</si>
  <si>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</si>
  <si>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</si>
  <si>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</si>
  <si>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</si>
  <si>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</si>
  <si>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</si>
  <si>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</si>
  <si>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</si>
  <si>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</si>
  <si>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</si>
  <si>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71016</t>
  </si>
  <si>
    <t>GENK</t>
  </si>
  <si>
    <t>waterkracht</t>
  </si>
  <si>
    <t>vloeibaar gas (MWh)</t>
  </si>
  <si>
    <t>interne verbrandingsmotor</t>
  </si>
  <si>
    <t>WKK interne verbrandinsgmotor (gas)</t>
  </si>
  <si>
    <t>Inter-Energa</t>
  </si>
  <si>
    <t>Interne verbrandingsmotor</t>
  </si>
  <si>
    <t>Inter-energa (via INFRAX)</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</si>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</sst>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2188EBD2-3B8D-4979-8DC0-CB8A5276D74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521168.90483645385</c:v>
                </c:pt>
                <c:pt idx="1">
                  <c:v>338868.46640724153</c:v>
                </c:pt>
                <c:pt idx="2">
                  <c:v>4389.0576760000004</c:v>
                </c:pt>
                <c:pt idx="3">
                  <c:v>1511.8255769415412</c:v>
                </c:pt>
                <c:pt idx="4">
                  <c:v>385929.22894096159</c:v>
                </c:pt>
                <c:pt idx="5">
                  <c:v>369530.30650099512</c:v>
                </c:pt>
                <c:pt idx="6">
                  <c:v>14523.171328641551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521168.90483645385</c:v>
                </c:pt>
                <c:pt idx="1">
                  <c:v>338868.46640724153</c:v>
                </c:pt>
                <c:pt idx="2">
                  <c:v>4389.0576760000004</c:v>
                </c:pt>
                <c:pt idx="3">
                  <c:v>1511.8255769415412</c:v>
                </c:pt>
                <c:pt idx="4">
                  <c:v>385929.22894096159</c:v>
                </c:pt>
                <c:pt idx="5">
                  <c:v>369530.30650099512</c:v>
                </c:pt>
                <c:pt idx="6">
                  <c:v>14523.171328641551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104508.8503852267</c:v>
                </c:pt>
                <c:pt idx="1">
                  <c:v>65132.574461582662</c:v>
                </c:pt>
                <c:pt idx="2">
                  <c:v>755.73854609155524</c:v>
                </c:pt>
                <c:pt idx="3">
                  <c:v>365.08705195604534</c:v>
                </c:pt>
                <c:pt idx="4">
                  <c:v>75546.475369884691</c:v>
                </c:pt>
                <c:pt idx="5">
                  <c:v>91821.670501723769</c:v>
                </c:pt>
                <c:pt idx="6">
                  <c:v>3659.3874550078572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104508.8503852267</c:v>
                </c:pt>
                <c:pt idx="1">
                  <c:v>65132.574461582662</c:v>
                </c:pt>
                <c:pt idx="2">
                  <c:v>755.73854609155524</c:v>
                </c:pt>
                <c:pt idx="3">
                  <c:v>365.08705195604534</c:v>
                </c:pt>
                <c:pt idx="4">
                  <c:v>75546.475369884691</c:v>
                </c:pt>
                <c:pt idx="5">
                  <c:v>91821.670501723769</c:v>
                </c:pt>
                <c:pt idx="6">
                  <c:v>3659.3874550078572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71016</v>
      </c>
      <c r="B6" s="382"/>
      <c r="C6" s="383"/>
    </row>
    <row r="7" spans="1:7" s="380" customFormat="1" ht="15.75" customHeight="1">
      <c r="A7" s="384" t="str">
        <f>txtMunicipality</f>
        <v>GENK</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0.17218697084434376</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0.17218697084434376</v>
      </c>
      <c r="C29" s="494">
        <f ca="1">'EF ele_warmte'!B22</f>
        <v>0.23764705882352943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26202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414.77</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7</v>
      </c>
      <c r="C17" s="324"/>
      <c r="D17" s="324"/>
      <c r="E17" s="324"/>
      <c r="F17" s="324"/>
    </row>
    <row r="18" spans="1:6">
      <c r="A18" s="1264" t="s">
        <v>8</v>
      </c>
      <c r="B18" s="1265">
        <v>7</v>
      </c>
      <c r="C18" s="324"/>
      <c r="D18" s="324"/>
      <c r="E18" s="324"/>
      <c r="F18" s="324"/>
    </row>
    <row r="19" spans="1:6">
      <c r="A19" s="1264" t="s">
        <v>9</v>
      </c>
      <c r="B19" s="1265">
        <v>7</v>
      </c>
      <c r="C19" s="324"/>
      <c r="D19" s="324"/>
      <c r="E19" s="324"/>
      <c r="F19" s="324"/>
    </row>
    <row r="20" spans="1:6">
      <c r="A20" s="1264" t="s">
        <v>10</v>
      </c>
      <c r="B20" s="1265">
        <v>6</v>
      </c>
      <c r="C20" s="324"/>
      <c r="D20" s="324"/>
      <c r="E20" s="324"/>
      <c r="F20" s="324"/>
    </row>
    <row r="21" spans="1:6">
      <c r="A21" s="1264" t="s">
        <v>11</v>
      </c>
      <c r="B21" s="1265">
        <v>0</v>
      </c>
      <c r="C21" s="324"/>
      <c r="D21" s="324"/>
      <c r="E21" s="324"/>
      <c r="F21" s="324"/>
    </row>
    <row r="22" spans="1:6">
      <c r="A22" s="1264" t="s">
        <v>12</v>
      </c>
      <c r="B22" s="1265">
        <v>15</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3</v>
      </c>
      <c r="C25" s="324"/>
      <c r="D25" s="324"/>
      <c r="E25" s="324"/>
      <c r="F25" s="324"/>
    </row>
    <row r="26" spans="1:6">
      <c r="A26" s="1264" t="s">
        <v>16</v>
      </c>
      <c r="B26" s="1265">
        <v>256</v>
      </c>
      <c r="C26" s="324"/>
      <c r="D26" s="324"/>
      <c r="E26" s="324"/>
      <c r="F26" s="324"/>
    </row>
    <row r="27" spans="1:6">
      <c r="A27" s="1264" t="s">
        <v>17</v>
      </c>
      <c r="B27" s="1265">
        <v>7</v>
      </c>
      <c r="C27" s="324"/>
      <c r="D27" s="324"/>
      <c r="E27" s="324"/>
      <c r="F27" s="324"/>
    </row>
    <row r="28" spans="1:6">
      <c r="A28" s="1264" t="s">
        <v>18</v>
      </c>
      <c r="B28" s="1266">
        <v>40</v>
      </c>
      <c r="C28" s="324"/>
      <c r="D28" s="324"/>
      <c r="E28" s="324"/>
      <c r="F28" s="324"/>
    </row>
    <row r="29" spans="1:6">
      <c r="A29" s="1264" t="s">
        <v>657</v>
      </c>
      <c r="B29" s="1266">
        <v>54</v>
      </c>
      <c r="C29" s="324"/>
      <c r="D29" s="324"/>
      <c r="E29" s="324"/>
      <c r="F29" s="324"/>
    </row>
    <row r="30" spans="1:6">
      <c r="A30" s="1259" t="s">
        <v>658</v>
      </c>
      <c r="B30" s="1267">
        <v>10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5</v>
      </c>
      <c r="F35" s="1265">
        <v>79895.289999999994</v>
      </c>
    </row>
    <row r="36" spans="1:6">
      <c r="A36" s="1264" t="s">
        <v>24</v>
      </c>
      <c r="B36" s="1264" t="s">
        <v>26</v>
      </c>
      <c r="C36" s="1265">
        <v>4</v>
      </c>
      <c r="D36" s="1265">
        <v>283770.25099999999</v>
      </c>
      <c r="E36" s="1265">
        <v>14</v>
      </c>
      <c r="F36" s="1265">
        <v>2052218.16</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13655</v>
      </c>
      <c r="D39" s="1265">
        <v>203048590.632999</v>
      </c>
      <c r="E39" s="1265">
        <v>26491</v>
      </c>
      <c r="F39" s="1265">
        <v>103239492.756001</v>
      </c>
    </row>
    <row r="40" spans="1:6">
      <c r="A40" s="1264" t="s">
        <v>29</v>
      </c>
      <c r="B40" s="1264" t="s">
        <v>28</v>
      </c>
      <c r="C40" s="1265">
        <v>0</v>
      </c>
      <c r="D40" s="1265">
        <v>0</v>
      </c>
      <c r="E40" s="1265">
        <v>0</v>
      </c>
      <c r="F40" s="1265">
        <v>0</v>
      </c>
    </row>
    <row r="41" spans="1:6">
      <c r="A41" s="1264" t="s">
        <v>31</v>
      </c>
      <c r="B41" s="1264" t="s">
        <v>32</v>
      </c>
      <c r="C41" s="1265">
        <v>196</v>
      </c>
      <c r="D41" s="1265">
        <v>8326780.0710000005</v>
      </c>
      <c r="E41" s="1265">
        <v>394</v>
      </c>
      <c r="F41" s="1265">
        <v>104678666.92900001</v>
      </c>
    </row>
    <row r="42" spans="1:6">
      <c r="A42" s="1264" t="s">
        <v>31</v>
      </c>
      <c r="B42" s="1264" t="s">
        <v>33</v>
      </c>
      <c r="C42" s="1265">
        <v>4</v>
      </c>
      <c r="D42" s="1265">
        <v>2494111.7880000002</v>
      </c>
      <c r="E42" s="1265">
        <v>12</v>
      </c>
      <c r="F42" s="1265">
        <v>48540902.472999997</v>
      </c>
    </row>
    <row r="43" spans="1:6">
      <c r="A43" s="1264" t="s">
        <v>31</v>
      </c>
      <c r="B43" s="1264" t="s">
        <v>34</v>
      </c>
      <c r="C43" s="1265">
        <v>0</v>
      </c>
      <c r="D43" s="1265">
        <v>0</v>
      </c>
      <c r="E43" s="1265">
        <v>0</v>
      </c>
      <c r="F43" s="1265">
        <v>0</v>
      </c>
    </row>
    <row r="44" spans="1:6">
      <c r="A44" s="1264" t="s">
        <v>31</v>
      </c>
      <c r="B44" s="1264" t="s">
        <v>35</v>
      </c>
      <c r="C44" s="1265">
        <v>55</v>
      </c>
      <c r="D44" s="1265">
        <v>49999483.125</v>
      </c>
      <c r="E44" s="1265">
        <v>115</v>
      </c>
      <c r="F44" s="1265">
        <v>30393990.278000001</v>
      </c>
    </row>
    <row r="45" spans="1:6">
      <c r="A45" s="1264" t="s">
        <v>31</v>
      </c>
      <c r="B45" s="1264" t="s">
        <v>36</v>
      </c>
      <c r="C45" s="1265">
        <v>9</v>
      </c>
      <c r="D45" s="1265">
        <v>890758.54799999995</v>
      </c>
      <c r="E45" s="1265">
        <v>14</v>
      </c>
      <c r="F45" s="1265">
        <v>639313.10600000003</v>
      </c>
    </row>
    <row r="46" spans="1:6">
      <c r="A46" s="1264" t="s">
        <v>31</v>
      </c>
      <c r="B46" s="1264" t="s">
        <v>37</v>
      </c>
      <c r="C46" s="1265">
        <v>0</v>
      </c>
      <c r="D46" s="1265">
        <v>0</v>
      </c>
      <c r="E46" s="1265">
        <v>0</v>
      </c>
      <c r="F46" s="1265">
        <v>0</v>
      </c>
    </row>
    <row r="47" spans="1:6">
      <c r="A47" s="1264" t="s">
        <v>31</v>
      </c>
      <c r="B47" s="1264" t="s">
        <v>38</v>
      </c>
      <c r="C47" s="1265">
        <v>12</v>
      </c>
      <c r="D47" s="1265">
        <v>7145684.9280000003</v>
      </c>
      <c r="E47" s="1265">
        <v>25</v>
      </c>
      <c r="F47" s="1265">
        <v>15670896.788000001</v>
      </c>
    </row>
    <row r="48" spans="1:6">
      <c r="A48" s="1264" t="s">
        <v>31</v>
      </c>
      <c r="B48" s="1264" t="s">
        <v>28</v>
      </c>
      <c r="C48" s="1265">
        <v>1</v>
      </c>
      <c r="D48" s="1265">
        <v>1324928.496</v>
      </c>
      <c r="E48" s="1265">
        <v>3</v>
      </c>
      <c r="F48" s="1265">
        <v>2211587</v>
      </c>
    </row>
    <row r="49" spans="1:6">
      <c r="A49" s="1264" t="s">
        <v>31</v>
      </c>
      <c r="B49" s="1264" t="s">
        <v>39</v>
      </c>
      <c r="C49" s="1265">
        <v>5</v>
      </c>
      <c r="D49" s="1265">
        <v>9948969.2750000004</v>
      </c>
      <c r="E49" s="1265">
        <v>7</v>
      </c>
      <c r="F49" s="1265">
        <v>13607631.722999999</v>
      </c>
    </row>
    <row r="50" spans="1:6">
      <c r="A50" s="1264" t="s">
        <v>31</v>
      </c>
      <c r="B50" s="1264" t="s">
        <v>40</v>
      </c>
      <c r="C50" s="1265">
        <v>19</v>
      </c>
      <c r="D50" s="1265">
        <v>6919298.1270000003</v>
      </c>
      <c r="E50" s="1265">
        <v>42</v>
      </c>
      <c r="F50" s="1265">
        <v>9599007.5130000003</v>
      </c>
    </row>
    <row r="51" spans="1:6">
      <c r="A51" s="1264" t="s">
        <v>41</v>
      </c>
      <c r="B51" s="1264" t="s">
        <v>42</v>
      </c>
      <c r="C51" s="1265">
        <v>7</v>
      </c>
      <c r="D51" s="1265">
        <v>308199.92599999998</v>
      </c>
      <c r="E51" s="1265">
        <v>24</v>
      </c>
      <c r="F51" s="1265">
        <v>276572.23599999998</v>
      </c>
    </row>
    <row r="52" spans="1:6">
      <c r="A52" s="1264" t="s">
        <v>41</v>
      </c>
      <c r="B52" s="1264" t="s">
        <v>28</v>
      </c>
      <c r="C52" s="1265">
        <v>0</v>
      </c>
      <c r="D52" s="1265">
        <v>0</v>
      </c>
      <c r="E52" s="1265">
        <v>0</v>
      </c>
      <c r="F52" s="1265">
        <v>0</v>
      </c>
    </row>
    <row r="53" spans="1:6">
      <c r="A53" s="1264" t="s">
        <v>43</v>
      </c>
      <c r="B53" s="1264" t="s">
        <v>44</v>
      </c>
      <c r="C53" s="1265">
        <v>180</v>
      </c>
      <c r="D53" s="1265">
        <v>9458119.8630000092</v>
      </c>
      <c r="E53" s="1265">
        <v>612</v>
      </c>
      <c r="F53" s="1265">
        <v>7217509.9179999996</v>
      </c>
    </row>
    <row r="54" spans="1:6">
      <c r="A54" s="1264" t="s">
        <v>45</v>
      </c>
      <c r="B54" s="1264" t="s">
        <v>46</v>
      </c>
      <c r="C54" s="1265">
        <v>0</v>
      </c>
      <c r="D54" s="1265">
        <v>0</v>
      </c>
      <c r="E54" s="1265">
        <v>3</v>
      </c>
      <c r="F54" s="1265">
        <v>4389057.676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194</v>
      </c>
      <c r="D57" s="1265">
        <v>12367502.129000001</v>
      </c>
      <c r="E57" s="1265">
        <v>375</v>
      </c>
      <c r="F57" s="1265">
        <v>18769158.590999998</v>
      </c>
    </row>
    <row r="58" spans="1:6">
      <c r="A58" s="1264" t="s">
        <v>48</v>
      </c>
      <c r="B58" s="1264" t="s">
        <v>50</v>
      </c>
      <c r="C58" s="1265">
        <v>143</v>
      </c>
      <c r="D58" s="1265">
        <v>25518817.502</v>
      </c>
      <c r="E58" s="1265">
        <v>246</v>
      </c>
      <c r="F58" s="1265">
        <v>28616462.778000001</v>
      </c>
    </row>
    <row r="59" spans="1:6">
      <c r="A59" s="1264" t="s">
        <v>48</v>
      </c>
      <c r="B59" s="1264" t="s">
        <v>51</v>
      </c>
      <c r="C59" s="1265">
        <v>381</v>
      </c>
      <c r="D59" s="1265">
        <v>31830951.219000001</v>
      </c>
      <c r="E59" s="1265">
        <v>971</v>
      </c>
      <c r="F59" s="1265">
        <v>52136189.987999998</v>
      </c>
    </row>
    <row r="60" spans="1:6">
      <c r="A60" s="1264" t="s">
        <v>48</v>
      </c>
      <c r="B60" s="1264" t="s">
        <v>52</v>
      </c>
      <c r="C60" s="1265">
        <v>233</v>
      </c>
      <c r="D60" s="1265">
        <v>22692463.434</v>
      </c>
      <c r="E60" s="1265">
        <v>386</v>
      </c>
      <c r="F60" s="1265">
        <v>14546237.415999999</v>
      </c>
    </row>
    <row r="61" spans="1:6">
      <c r="A61" s="1264" t="s">
        <v>48</v>
      </c>
      <c r="B61" s="1264" t="s">
        <v>53</v>
      </c>
      <c r="C61" s="1265">
        <v>542</v>
      </c>
      <c r="D61" s="1265">
        <v>56523737.373000003</v>
      </c>
      <c r="E61" s="1265">
        <v>1656</v>
      </c>
      <c r="F61" s="1265">
        <v>43649035.541000001</v>
      </c>
    </row>
    <row r="62" spans="1:6">
      <c r="A62" s="1264" t="s">
        <v>48</v>
      </c>
      <c r="B62" s="1264" t="s">
        <v>54</v>
      </c>
      <c r="C62" s="1265">
        <v>48</v>
      </c>
      <c r="D62" s="1265">
        <v>8120142.7939999998</v>
      </c>
      <c r="E62" s="1265">
        <v>73</v>
      </c>
      <c r="F62" s="1265">
        <v>3779681.4330000002</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199776.31</v>
      </c>
      <c r="E65" s="1265">
        <v>1</v>
      </c>
      <c r="F65" s="1265">
        <v>11858.942999999999</v>
      </c>
    </row>
    <row r="66" spans="1:6">
      <c r="A66" s="1264" t="s">
        <v>55</v>
      </c>
      <c r="B66" s="1264" t="s">
        <v>57</v>
      </c>
      <c r="C66" s="1265">
        <v>0</v>
      </c>
      <c r="D66" s="1265">
        <v>0</v>
      </c>
      <c r="E66" s="1265">
        <v>42</v>
      </c>
      <c r="F66" s="1265">
        <v>1581386.6950000001</v>
      </c>
    </row>
    <row r="67" spans="1:6">
      <c r="A67" s="1264" t="s">
        <v>55</v>
      </c>
      <c r="B67" s="1264" t="s">
        <v>58</v>
      </c>
      <c r="C67" s="1265">
        <v>0</v>
      </c>
      <c r="D67" s="1265">
        <v>0</v>
      </c>
      <c r="E67" s="1265">
        <v>0</v>
      </c>
      <c r="F67" s="1265">
        <v>0</v>
      </c>
    </row>
    <row r="68" spans="1:6">
      <c r="A68" s="1259" t="s">
        <v>55</v>
      </c>
      <c r="B68" s="1259" t="s">
        <v>59</v>
      </c>
      <c r="C68" s="1267">
        <v>14</v>
      </c>
      <c r="D68" s="1267">
        <v>1027222.209</v>
      </c>
      <c r="E68" s="1267">
        <v>36</v>
      </c>
      <c r="F68" s="1267">
        <v>1294224.6769999999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174677750</v>
      </c>
      <c r="E73" s="443"/>
      <c r="F73" s="324"/>
    </row>
    <row r="74" spans="1:6">
      <c r="A74" s="1264" t="s">
        <v>63</v>
      </c>
      <c r="B74" s="1264" t="s">
        <v>608</v>
      </c>
      <c r="C74" s="1277" t="s">
        <v>610</v>
      </c>
      <c r="D74" s="1265">
        <v>9694794.613973029</v>
      </c>
      <c r="E74" s="443"/>
      <c r="F74" s="324"/>
    </row>
    <row r="75" spans="1:6">
      <c r="A75" s="1264" t="s">
        <v>64</v>
      </c>
      <c r="B75" s="1264" t="s">
        <v>607</v>
      </c>
      <c r="C75" s="1277" t="s">
        <v>611</v>
      </c>
      <c r="D75" s="1265">
        <v>48584853</v>
      </c>
      <c r="E75" s="443"/>
      <c r="F75" s="324"/>
    </row>
    <row r="76" spans="1:6">
      <c r="A76" s="1264" t="s">
        <v>64</v>
      </c>
      <c r="B76" s="1264" t="s">
        <v>608</v>
      </c>
      <c r="C76" s="1277" t="s">
        <v>612</v>
      </c>
      <c r="D76" s="1265">
        <v>137278.80000000002</v>
      </c>
      <c r="E76" s="443"/>
      <c r="F76" s="324"/>
    </row>
    <row r="77" spans="1:6">
      <c r="A77" s="1264" t="s">
        <v>65</v>
      </c>
      <c r="B77" s="1264" t="s">
        <v>607</v>
      </c>
      <c r="C77" s="1277" t="s">
        <v>613</v>
      </c>
      <c r="D77" s="1265">
        <v>164962955</v>
      </c>
      <c r="E77" s="443"/>
      <c r="F77" s="324"/>
    </row>
    <row r="78" spans="1:6">
      <c r="A78" s="1259" t="s">
        <v>65</v>
      </c>
      <c r="B78" s="1259" t="s">
        <v>608</v>
      </c>
      <c r="C78" s="1259" t="s">
        <v>614</v>
      </c>
      <c r="D78" s="1267">
        <v>30007154</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4022232.7720539402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75442.187201111941</v>
      </c>
      <c r="C90" s="324"/>
      <c r="D90" s="324"/>
      <c r="E90" s="324"/>
      <c r="F90" s="324"/>
    </row>
    <row r="91" spans="1:6">
      <c r="A91" s="1264" t="s">
        <v>67</v>
      </c>
      <c r="B91" s="1265">
        <v>14169.046527907976</v>
      </c>
      <c r="C91" s="324"/>
      <c r="D91" s="324"/>
      <c r="E91" s="324"/>
      <c r="F91" s="324"/>
    </row>
    <row r="92" spans="1:6">
      <c r="A92" s="1259" t="s">
        <v>68</v>
      </c>
      <c r="B92" s="1260">
        <v>25350.332570872786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3815</v>
      </c>
      <c r="C97" s="324"/>
      <c r="D97" s="324"/>
      <c r="E97" s="324"/>
      <c r="F97" s="324"/>
    </row>
    <row r="98" spans="1:6">
      <c r="A98" s="1264" t="s">
        <v>71</v>
      </c>
      <c r="B98" s="1265">
        <v>9</v>
      </c>
      <c r="C98" s="324"/>
      <c r="D98" s="324"/>
      <c r="E98" s="324"/>
      <c r="F98" s="324"/>
    </row>
    <row r="99" spans="1:6">
      <c r="A99" s="1264" t="s">
        <v>72</v>
      </c>
      <c r="B99" s="1265">
        <v>73</v>
      </c>
      <c r="C99" s="324"/>
      <c r="D99" s="324"/>
      <c r="E99" s="324"/>
      <c r="F99" s="324"/>
    </row>
    <row r="100" spans="1:6">
      <c r="A100" s="1264" t="s">
        <v>73</v>
      </c>
      <c r="B100" s="1265">
        <v>4328</v>
      </c>
      <c r="C100" s="324"/>
      <c r="D100" s="324"/>
      <c r="E100" s="324"/>
      <c r="F100" s="324"/>
    </row>
    <row r="101" spans="1:6">
      <c r="A101" s="1264" t="s">
        <v>74</v>
      </c>
      <c r="B101" s="1265">
        <v>91</v>
      </c>
      <c r="C101" s="324"/>
      <c r="D101" s="324"/>
      <c r="E101" s="324"/>
      <c r="F101" s="324"/>
    </row>
    <row r="102" spans="1:6">
      <c r="A102" s="1264" t="s">
        <v>75</v>
      </c>
      <c r="B102" s="1265">
        <v>353</v>
      </c>
      <c r="C102" s="324"/>
      <c r="D102" s="324"/>
      <c r="E102" s="324"/>
      <c r="F102" s="324"/>
    </row>
    <row r="103" spans="1:6">
      <c r="A103" s="1264" t="s">
        <v>76</v>
      </c>
      <c r="B103" s="1265">
        <v>446</v>
      </c>
      <c r="C103" s="324"/>
      <c r="D103" s="324"/>
      <c r="E103" s="324"/>
      <c r="F103" s="324"/>
    </row>
    <row r="104" spans="1:6">
      <c r="A104" s="1264" t="s">
        <v>77</v>
      </c>
      <c r="B104" s="1265">
        <v>12961</v>
      </c>
      <c r="C104" s="324"/>
      <c r="D104" s="324"/>
      <c r="E104" s="324"/>
      <c r="F104" s="324"/>
    </row>
    <row r="105" spans="1:6">
      <c r="A105" s="1259" t="s">
        <v>78</v>
      </c>
      <c r="B105" s="1267">
        <v>14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1</v>
      </c>
      <c r="C122" s="1265">
        <v>0</v>
      </c>
      <c r="D122" s="324"/>
      <c r="E122" s="324"/>
      <c r="F122" s="324"/>
    </row>
    <row r="123" spans="1:6">
      <c r="A123" s="1264" t="s">
        <v>87</v>
      </c>
      <c r="B123" s="1265">
        <v>78</v>
      </c>
      <c r="C123" s="1265">
        <v>90</v>
      </c>
      <c r="D123" s="324"/>
      <c r="E123" s="324"/>
      <c r="F123" s="324"/>
    </row>
    <row r="124" spans="1:6">
      <c r="A124" s="1264" t="s">
        <v>88</v>
      </c>
      <c r="B124" s="1265">
        <v>2</v>
      </c>
      <c r="C124" s="1265">
        <v>5</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918</v>
      </c>
      <c r="C129" s="324"/>
      <c r="D129" s="324"/>
      <c r="E129" s="324"/>
      <c r="F129" s="324"/>
    </row>
    <row r="130" spans="1:6">
      <c r="A130" s="1264" t="s">
        <v>284</v>
      </c>
      <c r="B130" s="1265">
        <v>5</v>
      </c>
      <c r="C130" s="324"/>
      <c r="D130" s="324"/>
      <c r="E130" s="324"/>
      <c r="F130" s="324"/>
    </row>
    <row r="131" spans="1:6">
      <c r="A131" s="1264" t="s">
        <v>285</v>
      </c>
      <c r="B131" s="1265">
        <v>5</v>
      </c>
      <c r="C131" s="324"/>
      <c r="D131" s="324"/>
      <c r="E131" s="324"/>
      <c r="F131" s="324"/>
    </row>
    <row r="132" spans="1:6">
      <c r="A132" s="1259" t="s">
        <v>286</v>
      </c>
      <c r="B132" s="1260">
        <v>109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525464.96370181942</v>
      </c>
      <c r="C3" s="43" t="s">
        <v>163</v>
      </c>
      <c r="D3" s="43"/>
      <c r="E3" s="153"/>
      <c r="F3" s="43"/>
      <c r="G3" s="43"/>
      <c r="H3" s="43"/>
      <c r="I3" s="43"/>
      <c r="J3" s="43"/>
      <c r="K3" s="96"/>
    </row>
    <row r="4" spans="1:11">
      <c r="A4" s="350" t="s">
        <v>164</v>
      </c>
      <c r="B4" s="49">
        <f>IF(ISERROR('SEAP template'!B78+'SEAP template'!C78),0,'SEAP template'!B78+'SEAP template'!C78)</f>
        <v>123489.0662998927</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1641.5470588235291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0.17218697084434376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2345.0672268907565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9867.8571428571431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4389.0576760000004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4389.0576760000004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0.17218697084434376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755.73854609155524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103239.492756001</v>
      </c>
      <c r="C5" s="17">
        <f>IF(ISERROR('Eigen informatie GS &amp; warmtenet'!B59),0,'Eigen informatie GS &amp; warmtenet'!B59)</f>
        <v>0</v>
      </c>
      <c r="D5" s="30">
        <f>(SUM(HH_hh_gas_kWh,HH_rest_gas_kWh)/1000)*0.903</f>
        <v>183352.8773415981</v>
      </c>
      <c r="E5" s="17">
        <f>B32*B41</f>
        <v>10196.360399832194</v>
      </c>
      <c r="F5" s="17">
        <f>B36*B45</f>
        <v>167094.71098756054</v>
      </c>
      <c r="G5" s="18"/>
      <c r="H5" s="17"/>
      <c r="I5" s="17"/>
      <c r="J5" s="17">
        <f>B35*B44+C35*C44</f>
        <v>922.27905996577044</v>
      </c>
      <c r="K5" s="17"/>
      <c r="L5" s="17"/>
      <c r="M5" s="17"/>
      <c r="N5" s="17">
        <f>B34*B43+C34*C43</f>
        <v>38193.469778196813</v>
      </c>
      <c r="O5" s="17">
        <f>B52*B53*B54</f>
        <v>2009.7496762390633</v>
      </c>
      <c r="P5" s="17">
        <f>B60*B61*B62/1000-B60*B61*B62/1000/B63</f>
        <v>1990.9183091524694</v>
      </c>
    </row>
    <row r="6" spans="1:16">
      <c r="A6" s="16" t="s">
        <v>573</v>
      </c>
      <c r="B6" s="739">
        <f>kWh_PV_kleiner_dan_10kW</f>
        <v>14169.046527907976</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117408.53928390898</v>
      </c>
      <c r="C8" s="21">
        <f>C5</f>
        <v>0</v>
      </c>
      <c r="D8" s="21">
        <f>D5</f>
        <v>183352.8773415981</v>
      </c>
      <c r="E8" s="21">
        <f>E5</f>
        <v>10196.360399832194</v>
      </c>
      <c r="F8" s="21">
        <f>F5</f>
        <v>167094.71098756054</v>
      </c>
      <c r="G8" s="21"/>
      <c r="H8" s="21"/>
      <c r="I8" s="21"/>
      <c r="J8" s="21">
        <f>J5</f>
        <v>922.27905996577044</v>
      </c>
      <c r="K8" s="21"/>
      <c r="L8" s="21">
        <f>L5</f>
        <v>0</v>
      </c>
      <c r="M8" s="21">
        <f>M5</f>
        <v>0</v>
      </c>
      <c r="N8" s="21">
        <f>N5</f>
        <v>38193.469778196813</v>
      </c>
      <c r="O8" s="21">
        <f>O5</f>
        <v>2009.7496762390633</v>
      </c>
      <c r="P8" s="21">
        <f>P5</f>
        <v>1990.9183091524694</v>
      </c>
    </row>
    <row r="9" spans="1:16">
      <c r="B9" s="19"/>
      <c r="C9" s="19"/>
      <c r="D9" s="253"/>
      <c r="E9" s="19"/>
      <c r="F9" s="19"/>
      <c r="G9" s="19"/>
      <c r="H9" s="19"/>
      <c r="I9" s="19"/>
      <c r="J9" s="19"/>
      <c r="K9" s="19"/>
      <c r="L9" s="19"/>
      <c r="M9" s="19"/>
      <c r="N9" s="19"/>
      <c r="O9" s="19"/>
      <c r="P9" s="19"/>
    </row>
    <row r="10" spans="1:16">
      <c r="A10" s="24" t="s">
        <v>207</v>
      </c>
      <c r="B10" s="25">
        <f ca="1">'EF ele_warmte'!B12</f>
        <v>0.17218697084434376</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20216.220730555422</v>
      </c>
      <c r="C12" s="23">
        <f ca="1">C10*C8</f>
        <v>0</v>
      </c>
      <c r="D12" s="23">
        <f>D8*D10</f>
        <v>37037.281223002821</v>
      </c>
      <c r="E12" s="23">
        <f>E10*E8</f>
        <v>2314.5738107619081</v>
      </c>
      <c r="F12" s="23">
        <f>F10*F8</f>
        <v>44614.287833678667</v>
      </c>
      <c r="G12" s="23"/>
      <c r="H12" s="23"/>
      <c r="I12" s="23"/>
      <c r="J12" s="23">
        <f>J10*J8</f>
        <v>326.4867872278827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26202</v>
      </c>
      <c r="C26" s="36"/>
      <c r="D26" s="224"/>
    </row>
    <row r="27" spans="1:5" s="15" customFormat="1">
      <c r="A27" s="226" t="s">
        <v>784</v>
      </c>
      <c r="B27" s="37">
        <f>SUM(HH_hh_gas_aantal,HH_rest_gas_aantal)</f>
        <v>13655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12972.25</v>
      </c>
      <c r="C31" s="34" t="s">
        <v>104</v>
      </c>
      <c r="D31" s="170"/>
    </row>
    <row r="32" spans="1:5">
      <c r="A32" s="167" t="s">
        <v>72</v>
      </c>
      <c r="B32" s="33">
        <f>IF((B21*($B$26-($B$27-0.05*$B$27)-$B$60))&lt;0,0,B21*($B$26-($B$27-0.05*$B$27)-$B$60))</f>
        <v>201.15307562324384</v>
      </c>
      <c r="C32" s="34" t="s">
        <v>104</v>
      </c>
      <c r="D32" s="170"/>
    </row>
    <row r="33" spans="1:6">
      <c r="A33" s="167" t="s">
        <v>73</v>
      </c>
      <c r="B33" s="33">
        <f>IF((B22*($B$26-($B$27-0.05*$B$27)-$B$60))&lt;0,0,B22*($B$26-($B$27-0.05*$B$27)-$B$60))</f>
        <v>3266.3275600825459</v>
      </c>
      <c r="C33" s="34" t="s">
        <v>104</v>
      </c>
      <c r="D33" s="170"/>
    </row>
    <row r="34" spans="1:6">
      <c r="A34" s="167" t="s">
        <v>74</v>
      </c>
      <c r="B34" s="33">
        <f>IF((B24*($B$26-($B$27-0.05*$B$27)-$B$60))&lt;0,0,B24*($B$26-($B$27-0.05*$B$27)-$B$60))</f>
        <v>1428.2320094601314</v>
      </c>
      <c r="C34" s="33">
        <f>B26*C24</f>
        <v>4401.9342133534392</v>
      </c>
      <c r="D34" s="229"/>
    </row>
    <row r="35" spans="1:6">
      <c r="A35" s="167" t="s">
        <v>76</v>
      </c>
      <c r="B35" s="33">
        <f>IF((B19*($B$26-($B$27-0.05*$B$27)-$B$60))&lt;0,0,B19*($B$26-($B$27-0.05*$B$27)-$B$60))</f>
        <v>87.44076241136554</v>
      </c>
      <c r="C35" s="33">
        <f>B35/2</f>
        <v>43.72038120568277</v>
      </c>
      <c r="D35" s="229"/>
    </row>
    <row r="36" spans="1:6">
      <c r="A36" s="167" t="s">
        <v>77</v>
      </c>
      <c r="B36" s="33">
        <f>IF((B18*($B$26-($B$27-0.05*$B$27)-$B$60))&lt;0,0,B18*($B$26-($B$27-0.05*$B$27)-$B$60))</f>
        <v>8057.5965924227094</v>
      </c>
      <c r="C36" s="34" t="s">
        <v>104</v>
      </c>
      <c r="D36" s="170"/>
    </row>
    <row r="37" spans="1:6">
      <c r="A37" s="167" t="s">
        <v>78</v>
      </c>
      <c r="B37" s="33">
        <f>B60</f>
        <v>189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1013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189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161496.76574700003</v>
      </c>
      <c r="C5" s="17">
        <f>IF(ISERROR('Eigen informatie GS &amp; warmtenet'!B60),0,'Eigen informatie GS &amp; warmtenet'!B60)</f>
        <v>0</v>
      </c>
      <c r="D5" s="30">
        <f>SUM(D6:D12)</f>
        <v>141819.413849253</v>
      </c>
      <c r="E5" s="17">
        <f>SUM(E6:E12)</f>
        <v>464.28439189642478</v>
      </c>
      <c r="F5" s="17">
        <f>SUM(F6:F12)</f>
        <v>31098.587510457932</v>
      </c>
      <c r="G5" s="18"/>
      <c r="H5" s="17"/>
      <c r="I5" s="17"/>
      <c r="J5" s="17">
        <f>SUM(J6:J12)</f>
        <v>0.18536083380652102</v>
      </c>
      <c r="K5" s="17"/>
      <c r="L5" s="17"/>
      <c r="M5" s="17"/>
      <c r="N5" s="17">
        <f>SUM(N6:N12)</f>
        <v>6673.0407043971136</v>
      </c>
      <c r="O5" s="17">
        <f>B38*B39*B40</f>
        <v>24.486303829205774</v>
      </c>
      <c r="P5" s="17">
        <f>B46*B47*B48/1000-B46*B47*B48/1000/B49</f>
        <v>367.77396814546512</v>
      </c>
      <c r="R5" s="32"/>
    </row>
    <row r="6" spans="1:18">
      <c r="A6" s="32" t="s">
        <v>53</v>
      </c>
      <c r="B6" s="37">
        <f>B26</f>
        <v>43649.035541000005</v>
      </c>
      <c r="C6" s="33"/>
      <c r="D6" s="37">
        <f>IF(ISERROR(TER_kantoor_gas_kWh/1000),0,TER_kantoor_gas_kWh/1000)*0.903</f>
        <v>51040.934847819008</v>
      </c>
      <c r="E6" s="33">
        <f>$C$26*'E Balans VL '!I12/100/3.6*1000000</f>
        <v>10.615754371571409</v>
      </c>
      <c r="F6" s="33">
        <f>$C$26*('E Balans VL '!L12+'E Balans VL '!N12)/100/3.6*1000000</f>
        <v>4179.6715447411125</v>
      </c>
      <c r="G6" s="34"/>
      <c r="H6" s="33"/>
      <c r="I6" s="33"/>
      <c r="J6" s="33">
        <f>$C$26*('E Balans VL '!D12+'E Balans VL '!E12)/100/3.6*1000000</f>
        <v>0</v>
      </c>
      <c r="K6" s="33"/>
      <c r="L6" s="33"/>
      <c r="M6" s="33"/>
      <c r="N6" s="33">
        <f>$C$26*'E Balans VL '!Y12/100/3.6*1000000</f>
        <v>22.159481119961836</v>
      </c>
      <c r="O6" s="33"/>
      <c r="P6" s="33"/>
      <c r="R6" s="32"/>
    </row>
    <row r="7" spans="1:18">
      <c r="A7" s="32" t="s">
        <v>52</v>
      </c>
      <c r="B7" s="37">
        <f t="shared" ref="B7:B12" si="0">B27</f>
        <v>14546.237416</v>
      </c>
      <c r="C7" s="33"/>
      <c r="D7" s="37">
        <f>IF(ISERROR(TER_horeca_gas_kWh/1000),0,TER_horeca_gas_kWh/1000)*0.903</f>
        <v>20491.294480902001</v>
      </c>
      <c r="E7" s="33">
        <f>$C$27*'E Balans VL '!I9/100/3.6*1000000</f>
        <v>0</v>
      </c>
      <c r="F7" s="33">
        <f>$C$27*('E Balans VL '!L9+'E Balans VL '!N9)/100/3.6*1000000</f>
        <v>1193.0691419172852</v>
      </c>
      <c r="G7" s="34"/>
      <c r="H7" s="33"/>
      <c r="I7" s="33"/>
      <c r="J7" s="33">
        <f>$C$27*('E Balans VL '!D9+'E Balans VL '!E9)/100/3.6*1000000</f>
        <v>0</v>
      </c>
      <c r="K7" s="33"/>
      <c r="L7" s="33"/>
      <c r="M7" s="33"/>
      <c r="N7" s="33">
        <f>$C$27*'E Balans VL '!Y9/100/3.6*1000000</f>
        <v>95.536805064623223</v>
      </c>
      <c r="O7" s="33"/>
      <c r="P7" s="33"/>
      <c r="R7" s="32"/>
    </row>
    <row r="8" spans="1:18">
      <c r="A8" s="6" t="s">
        <v>51</v>
      </c>
      <c r="B8" s="37">
        <f t="shared" si="0"/>
        <v>52136.189987999998</v>
      </c>
      <c r="C8" s="33"/>
      <c r="D8" s="37">
        <f>IF(ISERROR(TER_handel_gas_kWh/1000),0,TER_handel_gas_kWh/1000)*0.903</f>
        <v>28743.348950757001</v>
      </c>
      <c r="E8" s="33">
        <f>$C$28*'E Balans VL '!I13/100/3.6*1000000</f>
        <v>184.30413253780048</v>
      </c>
      <c r="F8" s="33">
        <f>$C$28*('E Balans VL '!L13+'E Balans VL '!N13)/100/3.6*1000000</f>
        <v>4800.6278242544922</v>
      </c>
      <c r="G8" s="34"/>
      <c r="H8" s="33"/>
      <c r="I8" s="33"/>
      <c r="J8" s="33">
        <f>$C$28*('E Balans VL '!D13+'E Balans VL '!E13)/100/3.6*1000000</f>
        <v>0</v>
      </c>
      <c r="K8" s="33"/>
      <c r="L8" s="33"/>
      <c r="M8" s="33"/>
      <c r="N8" s="33">
        <f>$C$28*'E Balans VL '!Y13/100/3.6*1000000</f>
        <v>18.881483466673266</v>
      </c>
      <c r="O8" s="33"/>
      <c r="P8" s="33"/>
      <c r="R8" s="32"/>
    </row>
    <row r="9" spans="1:18">
      <c r="A9" s="32" t="s">
        <v>50</v>
      </c>
      <c r="B9" s="37">
        <f t="shared" si="0"/>
        <v>28616.462778000001</v>
      </c>
      <c r="C9" s="33"/>
      <c r="D9" s="37">
        <f>IF(ISERROR(TER_gezond_gas_kWh/1000),0,TER_gezond_gas_kWh/1000)*0.903</f>
        <v>23043.492204306003</v>
      </c>
      <c r="E9" s="33">
        <f>$C$29*'E Balans VL '!I10/100/3.6*1000000</f>
        <v>0</v>
      </c>
      <c r="F9" s="33">
        <f>$C$29*('E Balans VL '!L10+'E Balans VL '!N10)/100/3.6*1000000</f>
        <v>3515.4156215486182</v>
      </c>
      <c r="G9" s="34"/>
      <c r="H9" s="33"/>
      <c r="I9" s="33"/>
      <c r="J9" s="33">
        <f>$C$29*('E Balans VL '!D10+'E Balans VL '!E10)/100/3.6*1000000</f>
        <v>0</v>
      </c>
      <c r="K9" s="33"/>
      <c r="L9" s="33"/>
      <c r="M9" s="33"/>
      <c r="N9" s="33">
        <f>$C$29*'E Balans VL '!Y10/100/3.6*1000000</f>
        <v>211.02647146729322</v>
      </c>
      <c r="O9" s="33"/>
      <c r="P9" s="33"/>
      <c r="R9" s="32"/>
    </row>
    <row r="10" spans="1:18">
      <c r="A10" s="32" t="s">
        <v>49</v>
      </c>
      <c r="B10" s="37">
        <f t="shared" si="0"/>
        <v>18769.158590999999</v>
      </c>
      <c r="C10" s="33"/>
      <c r="D10" s="37">
        <f>IF(ISERROR(TER_ander_gas_kWh/1000),0,TER_ander_gas_kWh/1000)*0.903</f>
        <v>11167.854422487</v>
      </c>
      <c r="E10" s="33">
        <f>$C$30*'E Balans VL '!I14/100/3.6*1000000</f>
        <v>269.3645049870529</v>
      </c>
      <c r="F10" s="33">
        <f>$C$30*('E Balans VL '!L14+'E Balans VL '!N14)/100/3.6*1000000</f>
        <v>16967.913608472012</v>
      </c>
      <c r="G10" s="34"/>
      <c r="H10" s="33"/>
      <c r="I10" s="33"/>
      <c r="J10" s="33">
        <f>$C$30*('E Balans VL '!D14+'E Balans VL '!E14)/100/3.6*1000000</f>
        <v>0.18536083380652102</v>
      </c>
      <c r="K10" s="33"/>
      <c r="L10" s="33"/>
      <c r="M10" s="33"/>
      <c r="N10" s="33">
        <f>$C$30*'E Balans VL '!Y14/100/3.6*1000000</f>
        <v>6314.7933143886539</v>
      </c>
      <c r="O10" s="33"/>
      <c r="P10" s="33"/>
      <c r="R10" s="32"/>
    </row>
    <row r="11" spans="1:18">
      <c r="A11" s="32" t="s">
        <v>54</v>
      </c>
      <c r="B11" s="37">
        <f t="shared" si="0"/>
        <v>3779.6814330000002</v>
      </c>
      <c r="C11" s="33"/>
      <c r="D11" s="37">
        <f>IF(ISERROR(TER_onderwijs_gas_kWh/1000),0,TER_onderwijs_gas_kWh/1000)*0.903</f>
        <v>7332.4889429819996</v>
      </c>
      <c r="E11" s="33">
        <f>$C$31*'E Balans VL '!I11/100/3.6*1000000</f>
        <v>0</v>
      </c>
      <c r="F11" s="33">
        <f>$C$31*('E Balans VL '!L11+'E Balans VL '!N11)/100/3.6*1000000</f>
        <v>441.88976952441266</v>
      </c>
      <c r="G11" s="34"/>
      <c r="H11" s="33"/>
      <c r="I11" s="33"/>
      <c r="J11" s="33">
        <f>$C$31*('E Balans VL '!D11+'E Balans VL '!E11)/100/3.6*1000000</f>
        <v>0</v>
      </c>
      <c r="K11" s="33"/>
      <c r="L11" s="33"/>
      <c r="M11" s="33"/>
      <c r="N11" s="33">
        <f>$C$31*'E Balans VL '!Y11/100/3.6*1000000</f>
        <v>10.643148889908082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1777.5</v>
      </c>
      <c r="C13" s="242">
        <f ca="1">'lokale energieproductie'!O40+'lokale energieproductie'!O33</f>
        <v>225</v>
      </c>
      <c r="D13" s="302">
        <f ca="1">('lokale energieproductie'!P33+'lokale energieproductie'!P40)*(-1)</f>
        <v>-450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-4628.5714285714284</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163274.26574700003</v>
      </c>
      <c r="C16" s="21">
        <f t="shared" ca="1" si="1"/>
        <v>225</v>
      </c>
      <c r="D16" s="21">
        <f t="shared" ca="1" si="1"/>
        <v>141369.413849253</v>
      </c>
      <c r="E16" s="21">
        <f t="shared" si="1"/>
        <v>464.28439189642478</v>
      </c>
      <c r="F16" s="21">
        <f t="shared" ca="1" si="1"/>
        <v>31098.587510457932</v>
      </c>
      <c r="G16" s="21">
        <f t="shared" si="1"/>
        <v>0</v>
      </c>
      <c r="H16" s="21">
        <f t="shared" si="1"/>
        <v>0</v>
      </c>
      <c r="I16" s="21">
        <f t="shared" si="1"/>
        <v>0</v>
      </c>
      <c r="J16" s="21">
        <f t="shared" si="1"/>
        <v>0.18536083380652102</v>
      </c>
      <c r="K16" s="21">
        <f t="shared" si="1"/>
        <v>0</v>
      </c>
      <c r="L16" s="21">
        <f t="shared" ca="1" si="1"/>
        <v>0</v>
      </c>
      <c r="M16" s="21">
        <f t="shared" si="1"/>
        <v>0</v>
      </c>
      <c r="N16" s="21">
        <f t="shared" ca="1" si="1"/>
        <v>2044.4692758256851</v>
      </c>
      <c r="O16" s="21">
        <f>O5</f>
        <v>24.486303829205774</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0.17218697084434376</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28113.701235810327</v>
      </c>
      <c r="C20" s="23">
        <f t="shared" ref="C20:P20" ca="1" si="2">C16*C18</f>
        <v>53.470588235294123</v>
      </c>
      <c r="D20" s="23">
        <f t="shared" ca="1" si="2"/>
        <v>28556.621597549107</v>
      </c>
      <c r="E20" s="23">
        <f t="shared" si="2"/>
        <v>105.39255696048843</v>
      </c>
      <c r="F20" s="23">
        <f t="shared" ca="1" si="2"/>
        <v>8303.322865292268</v>
      </c>
      <c r="G20" s="23">
        <f t="shared" si="2"/>
        <v>0</v>
      </c>
      <c r="H20" s="23">
        <f t="shared" si="2"/>
        <v>0</v>
      </c>
      <c r="I20" s="23">
        <f t="shared" si="2"/>
        <v>0</v>
      </c>
      <c r="J20" s="23">
        <f t="shared" si="2"/>
        <v>6.5617735167508434E-2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43649.035541000005</v>
      </c>
      <c r="C26" s="39">
        <f>IF(ISERROR(B26*3.6/1000000/'E Balans VL '!Z12*100),0,B26*3.6/1000000/'E Balans VL '!Z12*100)</f>
        <v>1.2303537151600268</v>
      </c>
      <c r="D26" s="232" t="s">
        <v>660</v>
      </c>
      <c r="F26" s="6"/>
    </row>
    <row r="27" spans="1:18">
      <c r="A27" s="227" t="s">
        <v>52</v>
      </c>
      <c r="B27" s="33">
        <f>IF(ISERROR(TER_horeca_ele_kWh/1000),0,TER_horeca_ele_kWh/1000)</f>
        <v>14546.237416</v>
      </c>
      <c r="C27" s="39">
        <f>IF(ISERROR(B27*3.6/1000000/'E Balans VL '!Z9*100),0,B27*3.6/1000000/'E Balans VL '!Z9*100)</f>
        <v>1.0784248085648287</v>
      </c>
      <c r="D27" s="232" t="s">
        <v>660</v>
      </c>
      <c r="F27" s="6"/>
    </row>
    <row r="28" spans="1:18">
      <c r="A28" s="167" t="s">
        <v>51</v>
      </c>
      <c r="B28" s="33">
        <f>IF(ISERROR(TER_handel_ele_kWh/1000),0,TER_handel_ele_kWh/1000)</f>
        <v>52136.189987999998</v>
      </c>
      <c r="C28" s="39">
        <f>IF(ISERROR(B28*3.6/1000000/'E Balans VL '!Z13*100),0,B28*3.6/1000000/'E Balans VL '!Z13*100)</f>
        <v>1.5618762936206969</v>
      </c>
      <c r="D28" s="232" t="s">
        <v>660</v>
      </c>
      <c r="F28" s="6"/>
    </row>
    <row r="29" spans="1:18">
      <c r="A29" s="227" t="s">
        <v>50</v>
      </c>
      <c r="B29" s="33">
        <f>IF(ISERROR(TER_gezond_ele_kWh/1000),0,TER_gezond_ele_kWh/1000)</f>
        <v>28616.462778000001</v>
      </c>
      <c r="C29" s="39">
        <f>IF(ISERROR(B29*3.6/1000000/'E Balans VL '!Z10*100),0,B29*3.6/1000000/'E Balans VL '!Z10*100)</f>
        <v>2.8296070556571955</v>
      </c>
      <c r="D29" s="232" t="s">
        <v>660</v>
      </c>
      <c r="F29" s="6"/>
    </row>
    <row r="30" spans="1:18">
      <c r="A30" s="227" t="s">
        <v>49</v>
      </c>
      <c r="B30" s="33">
        <f>IF(ISERROR(TER_ander_ele_kWh/1000),0,TER_ander_ele_kWh/1000)</f>
        <v>18769.158590999999</v>
      </c>
      <c r="C30" s="39">
        <f>IF(ISERROR(B30*3.6/1000000/'E Balans VL '!Z14*100),0,B30*3.6/1000000/'E Balans VL '!Z14*100)</f>
        <v>0.75915699852500063</v>
      </c>
      <c r="D30" s="232" t="s">
        <v>660</v>
      </c>
      <c r="F30" s="6"/>
    </row>
    <row r="31" spans="1:18">
      <c r="A31" s="227" t="s">
        <v>54</v>
      </c>
      <c r="B31" s="33">
        <f>IF(ISERROR(TER_onderwijs_ele_kWh/1000),0,TER_onderwijs_ele_kWh/1000)</f>
        <v>3779.6814330000002</v>
      </c>
      <c r="C31" s="39">
        <f>IF(ISERROR(B31*3.6/1000000/'E Balans VL '!Z11*100),0,B31*3.6/1000000/'E Balans VL '!Z11*100)</f>
        <v>1.0384437926369137</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5</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7</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225341.99580999999</v>
      </c>
      <c r="C5" s="17">
        <f>IF(ISERROR('Eigen informatie GS &amp; warmtenet'!B61),0,'Eigen informatie GS &amp; warmtenet'!B61)</f>
        <v>0</v>
      </c>
      <c r="D5" s="30">
        <f>SUM(D6:D15)</f>
        <v>78606.162965274008</v>
      </c>
      <c r="E5" s="17">
        <f>SUM(E6:E15)</f>
        <v>10124.672668825089</v>
      </c>
      <c r="F5" s="17">
        <f>SUM(F6:F15)</f>
        <v>71146.215771420757</v>
      </c>
      <c r="G5" s="18"/>
      <c r="H5" s="17"/>
      <c r="I5" s="17"/>
      <c r="J5" s="17">
        <f>SUM(J6:J15)</f>
        <v>41.214902326291195</v>
      </c>
      <c r="K5" s="17"/>
      <c r="L5" s="17"/>
      <c r="M5" s="17"/>
      <c r="N5" s="17">
        <f>SUM(N6:N15)</f>
        <v>3561.8239659726128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30393.990278000001</v>
      </c>
      <c r="C8" s="33"/>
      <c r="D8" s="37">
        <f>IF( ISERROR(IND_metaal_Gas_kWH/1000),0,IND_metaal_Gas_kWH/1000)*0.903</f>
        <v>45149.533261875004</v>
      </c>
      <c r="E8" s="33">
        <f>C30*'E Balans VL '!I18/100/3.6*1000000</f>
        <v>166.11635872050536</v>
      </c>
      <c r="F8" s="33">
        <f>C30*'E Balans VL '!L18/100/3.6*1000000+C30*'E Balans VL '!N18/100/3.6*1000000</f>
        <v>2080.4233719707768</v>
      </c>
      <c r="G8" s="34"/>
      <c r="H8" s="33"/>
      <c r="I8" s="33"/>
      <c r="J8" s="40">
        <f>C30*'E Balans VL '!D18/100/3.6*1000000+C30*'E Balans VL '!E18/100/3.6*1000000</f>
        <v>30.289660291064738</v>
      </c>
      <c r="K8" s="33"/>
      <c r="L8" s="33"/>
      <c r="M8" s="33"/>
      <c r="N8" s="33">
        <f>C30*'E Balans VL '!Y18/100/3.6*1000000</f>
        <v>449.54175186918809</v>
      </c>
      <c r="O8" s="33"/>
      <c r="P8" s="33"/>
      <c r="R8" s="32"/>
    </row>
    <row r="9" spans="1:18">
      <c r="A9" s="6" t="s">
        <v>32</v>
      </c>
      <c r="B9" s="37">
        <f t="shared" si="0"/>
        <v>104678.666929</v>
      </c>
      <c r="C9" s="33"/>
      <c r="D9" s="37">
        <f>IF( ISERROR(IND_andere_gas_kWh/1000),0,IND_andere_gas_kWh/1000)*0.903</f>
        <v>7519.0824041130008</v>
      </c>
      <c r="E9" s="33">
        <f>C31*'E Balans VL '!I19/100/3.6*1000000</f>
        <v>393.93350523697114</v>
      </c>
      <c r="F9" s="33">
        <f>C31*'E Balans VL '!L19/100/3.6*1000000+C31*'E Balans VL '!N19/100/3.6*1000000</f>
        <v>67374.020805131644</v>
      </c>
      <c r="G9" s="34"/>
      <c r="H9" s="33"/>
      <c r="I9" s="33"/>
      <c r="J9" s="40">
        <f>C31*'E Balans VL '!D19/100/3.6*1000000+C31*'E Balans VL '!E19/100/3.6*1000000</f>
        <v>0</v>
      </c>
      <c r="K9" s="33"/>
      <c r="L9" s="33"/>
      <c r="M9" s="33"/>
      <c r="N9" s="33">
        <f>C31*'E Balans VL '!Y19/100/3.6*1000000</f>
        <v>3781.5868874637863</v>
      </c>
      <c r="O9" s="33"/>
      <c r="P9" s="33"/>
      <c r="R9" s="32"/>
    </row>
    <row r="10" spans="1:18">
      <c r="A10" s="6" t="s">
        <v>40</v>
      </c>
      <c r="B10" s="37">
        <f t="shared" si="0"/>
        <v>9599.0075130000005</v>
      </c>
      <c r="C10" s="33"/>
      <c r="D10" s="37">
        <f>IF( ISERROR(IND_voed_gas_kWh/1000),0,IND_voed_gas_kWh/1000)*0.903</f>
        <v>6248.1262086810002</v>
      </c>
      <c r="E10" s="33">
        <f>C32*'E Balans VL '!I20/100/3.6*1000000</f>
        <v>19.001954341723941</v>
      </c>
      <c r="F10" s="33">
        <f>C32*'E Balans VL '!L20/100/3.6*1000000+C32*'E Balans VL '!N20/100/3.6*1000000</f>
        <v>203.87114743597101</v>
      </c>
      <c r="G10" s="34"/>
      <c r="H10" s="33"/>
      <c r="I10" s="33"/>
      <c r="J10" s="40">
        <f>C32*'E Balans VL '!D20/100/3.6*1000000+C32*'E Balans VL '!E20/100/3.6*1000000</f>
        <v>0</v>
      </c>
      <c r="K10" s="33"/>
      <c r="L10" s="33"/>
      <c r="M10" s="33"/>
      <c r="N10" s="33">
        <f>C32*'E Balans VL '!Y20/100/3.6*1000000</f>
        <v>386.87647861985192</v>
      </c>
      <c r="O10" s="33"/>
      <c r="P10" s="33"/>
      <c r="R10" s="32"/>
    </row>
    <row r="11" spans="1:18">
      <c r="A11" s="6" t="s">
        <v>39</v>
      </c>
      <c r="B11" s="37">
        <f t="shared" si="0"/>
        <v>13607.631722999999</v>
      </c>
      <c r="C11" s="33"/>
      <c r="D11" s="37">
        <f>IF( ISERROR(IND_textiel_gas_kWh/1000),0,IND_textiel_gas_kWh/1000)*0.903</f>
        <v>8983.9192553249995</v>
      </c>
      <c r="E11" s="33">
        <f>C33*'E Balans VL '!I21/100/3.6*1000000</f>
        <v>26.497239887914443</v>
      </c>
      <c r="F11" s="33">
        <f>C33*'E Balans VL '!L21/100/3.6*1000000+C33*'E Balans VL '!N21/100/3.6*1000000</f>
        <v>322.32238066535484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639.31310600000006</v>
      </c>
      <c r="C12" s="33"/>
      <c r="D12" s="37">
        <f>IF( ISERROR(IND_min_gas_kWh/1000),0,IND_min_gas_kWh/1000)*0.903</f>
        <v>804.35496884399993</v>
      </c>
      <c r="E12" s="33">
        <f>C34*'E Balans VL '!I22/100/3.6*1000000</f>
        <v>7.8225993034725594</v>
      </c>
      <c r="F12" s="33">
        <f>C34*'E Balans VL '!L22/100/3.6*1000000+C34*'E Balans VL '!N22/100/3.6*1000000</f>
        <v>69.021910747999357</v>
      </c>
      <c r="G12" s="34"/>
      <c r="H12" s="33"/>
      <c r="I12" s="33"/>
      <c r="J12" s="40">
        <f>C34*'E Balans VL '!D22/100/3.6*1000000+C34*'E Balans VL '!E22/100/3.6*1000000</f>
        <v>0</v>
      </c>
      <c r="K12" s="33"/>
      <c r="L12" s="33"/>
      <c r="M12" s="33"/>
      <c r="N12" s="33">
        <f>C34*'E Balans VL '!Y22/100/3.6*1000000</f>
        <v>308.36046378829769</v>
      </c>
      <c r="O12" s="33"/>
      <c r="P12" s="33"/>
      <c r="R12" s="32"/>
    </row>
    <row r="13" spans="1:18">
      <c r="A13" s="6" t="s">
        <v>38</v>
      </c>
      <c r="B13" s="37">
        <f t="shared" si="0"/>
        <v>15670.896788</v>
      </c>
      <c r="C13" s="33"/>
      <c r="D13" s="37">
        <f>IF( ISERROR(IND_papier_gas_kWh/1000),0,IND_papier_gas_kWh/1000)*0.903</f>
        <v>6452.5534899840004</v>
      </c>
      <c r="E13" s="33">
        <f>C35*'E Balans VL '!I23/100/3.6*1000000</f>
        <v>0</v>
      </c>
      <c r="F13" s="33">
        <f>C35*'E Balans VL '!L23/100/3.6*1000000+C35*'E Balans VL '!N23/100/3.6*1000000</f>
        <v>1.9197837744152673</v>
      </c>
      <c r="G13" s="34"/>
      <c r="H13" s="33"/>
      <c r="I13" s="33"/>
      <c r="J13" s="40">
        <f>C35*'E Balans VL '!D23/100/3.6*1000000+C35*'E Balans VL '!E23/100/3.6*1000000</f>
        <v>1.2209954167828836</v>
      </c>
      <c r="K13" s="33"/>
      <c r="L13" s="33"/>
      <c r="M13" s="33"/>
      <c r="N13" s="33">
        <f>C35*'E Balans VL '!Y23/100/3.6*1000000</f>
        <v>-1438.0554214198078</v>
      </c>
      <c r="O13" s="33"/>
      <c r="P13" s="33"/>
      <c r="R13" s="32"/>
    </row>
    <row r="14" spans="1:18">
      <c r="A14" s="6" t="s">
        <v>33</v>
      </c>
      <c r="B14" s="37">
        <f t="shared" si="0"/>
        <v>48540.902472999995</v>
      </c>
      <c r="C14" s="33"/>
      <c r="D14" s="37">
        <f>IF( ISERROR(IND_chemie_gas_kWh/1000),0,IND_chemie_gas_kWh/1000)*0.903</f>
        <v>2252.1829445640001</v>
      </c>
      <c r="E14" s="33">
        <f>C36*'E Balans VL '!I24/100/3.6*1000000</f>
        <v>9391.5671579960926</v>
      </c>
      <c r="F14" s="33">
        <f>C36*'E Balans VL '!L24/100/3.6*1000000+C36*'E Balans VL '!N24/100/3.6*1000000</f>
        <v>757.11719614445826</v>
      </c>
      <c r="G14" s="34"/>
      <c r="H14" s="33"/>
      <c r="I14" s="33"/>
      <c r="J14" s="40">
        <f>C36*'E Balans VL '!D24/100/3.6*1000000+C36*'E Balans VL '!E24/100/3.6*1000000</f>
        <v>0</v>
      </c>
      <c r="K14" s="33"/>
      <c r="L14" s="33"/>
      <c r="M14" s="33"/>
      <c r="N14" s="33">
        <f>C36*'E Balans VL '!Y24/100/3.6*1000000</f>
        <v>10.822856298434177</v>
      </c>
      <c r="O14" s="33"/>
      <c r="P14" s="33"/>
      <c r="R14" s="32"/>
    </row>
    <row r="15" spans="1:18">
      <c r="A15" s="6" t="s">
        <v>259</v>
      </c>
      <c r="B15" s="37">
        <f t="shared" si="0"/>
        <v>2211.587</v>
      </c>
      <c r="C15" s="33"/>
      <c r="D15" s="37">
        <f>IF( ISERROR(IND_rest_gas_kWh/1000),0,IND_rest_gas_kWh/1000)*0.903</f>
        <v>1196.4104318879999</v>
      </c>
      <c r="E15" s="33">
        <f>C37*'E Balans VL '!I15/100/3.6*1000000</f>
        <v>119.73385333841048</v>
      </c>
      <c r="F15" s="33">
        <f>C37*'E Balans VL '!L15/100/3.6*1000000+C37*'E Balans VL '!N15/100/3.6*1000000</f>
        <v>337.51917555013955</v>
      </c>
      <c r="G15" s="34"/>
      <c r="H15" s="33"/>
      <c r="I15" s="33"/>
      <c r="J15" s="40">
        <f>C37*'E Balans VL '!D15/100/3.6*1000000+C37*'E Balans VL '!E15/100/3.6*1000000</f>
        <v>9.7042466184435696</v>
      </c>
      <c r="K15" s="33"/>
      <c r="L15" s="33"/>
      <c r="M15" s="33"/>
      <c r="N15" s="33">
        <f>C37*'E Balans VL '!Y15/100/3.6*1000000</f>
        <v>62.690949352862788</v>
      </c>
      <c r="O15" s="33"/>
      <c r="P15" s="33"/>
      <c r="R15" s="32"/>
    </row>
    <row r="16" spans="1:18">
      <c r="A16" s="16" t="s">
        <v>466</v>
      </c>
      <c r="B16" s="242">
        <f>'lokale energieproductie'!N39+'lokale energieproductie'!N32</f>
        <v>6750</v>
      </c>
      <c r="C16" s="242">
        <f>'lokale energieproductie'!O39+'lokale energieproductie'!O32</f>
        <v>9642.8571428571431</v>
      </c>
      <c r="D16" s="302">
        <f>('lokale energieproductie'!P32+'lokale energieproductie'!P39)*(-1)</f>
        <v>-19285.714285714286</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232091.99580999999</v>
      </c>
      <c r="C18" s="21">
        <f>C5+C16</f>
        <v>9642.8571428571431</v>
      </c>
      <c r="D18" s="21">
        <f>MAX((D5+D16),0)</f>
        <v>59320.448679559719</v>
      </c>
      <c r="E18" s="21">
        <f>MAX((E5+E16),0)</f>
        <v>10124.672668825089</v>
      </c>
      <c r="F18" s="21">
        <f>MAX((F5+F16),0)</f>
        <v>71146.215771420757</v>
      </c>
      <c r="G18" s="21"/>
      <c r="H18" s="21"/>
      <c r="I18" s="21"/>
      <c r="J18" s="21">
        <f>MAX((J5+J16),0)</f>
        <v>41.214902326291195</v>
      </c>
      <c r="K18" s="21"/>
      <c r="L18" s="21">
        <f>MAX((L5+L16),0)</f>
        <v>0</v>
      </c>
      <c r="M18" s="21"/>
      <c r="N18" s="21">
        <f>MAX((N5+N16),0)</f>
        <v>3561.8239659726128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0.17218697084434376</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39963.217715742023</v>
      </c>
      <c r="C22" s="23">
        <f ca="1">C18*C20</f>
        <v>2291.5966386554624</v>
      </c>
      <c r="D22" s="23">
        <f>D18*D20</f>
        <v>11982.730633271063</v>
      </c>
      <c r="E22" s="23">
        <f>E18*E20</f>
        <v>2298.3006958232954</v>
      </c>
      <c r="F22" s="23">
        <f>F18*F20</f>
        <v>18996.039610969343</v>
      </c>
      <c r="G22" s="23"/>
      <c r="H22" s="23"/>
      <c r="I22" s="23"/>
      <c r="J22" s="23">
        <f>J18*J20</f>
        <v>14.590075423507082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30393.990278000001</v>
      </c>
      <c r="C30" s="39">
        <f>IF(ISERROR(B30*3.6/1000000/'E Balans VL '!Z18*100),0,B30*3.6/1000000/'E Balans VL '!Z18*100)</f>
        <v>1.695844122050276</v>
      </c>
      <c r="D30" s="232" t="s">
        <v>660</v>
      </c>
    </row>
    <row r="31" spans="1:18">
      <c r="A31" s="6" t="s">
        <v>32</v>
      </c>
      <c r="B31" s="37">
        <f>IF( ISERROR(IND_ander_ele_kWh/1000),0,IND_ander_ele_kWh/1000)</f>
        <v>104678.666929</v>
      </c>
      <c r="C31" s="39">
        <f>IF(ISERROR(B31*3.6/1000000/'E Balans VL '!Z19*100),0,B31*3.6/1000000/'E Balans VL '!Z19*100)</f>
        <v>4.2607447561831062</v>
      </c>
      <c r="D31" s="232" t="s">
        <v>660</v>
      </c>
    </row>
    <row r="32" spans="1:18">
      <c r="A32" s="167" t="s">
        <v>40</v>
      </c>
      <c r="B32" s="37">
        <f>IF( ISERROR(IND_voed_ele_kWh/1000),0,IND_voed_ele_kWh/1000)</f>
        <v>9599.0075130000005</v>
      </c>
      <c r="C32" s="39">
        <f>IF(ISERROR(B32*3.6/1000000/'E Balans VL '!Z20*100),0,B32*3.6/1000000/'E Balans VL '!Z20*100)</f>
        <v>0.27918560848183427</v>
      </c>
      <c r="D32" s="232" t="s">
        <v>660</v>
      </c>
    </row>
    <row r="33" spans="1:5">
      <c r="A33" s="167" t="s">
        <v>39</v>
      </c>
      <c r="B33" s="37">
        <f>IF( ISERROR(IND_textiel_ele_kWh/1000),0,IND_textiel_ele_kWh/1000)</f>
        <v>13607.631722999999</v>
      </c>
      <c r="C33" s="39">
        <f>IF(ISERROR(B33*3.6/1000000/'E Balans VL '!Z21*100),0,B33*3.6/1000000/'E Balans VL '!Z21*100)</f>
        <v>2.0044140280834628</v>
      </c>
      <c r="D33" s="232" t="s">
        <v>660</v>
      </c>
    </row>
    <row r="34" spans="1:5">
      <c r="A34" s="167" t="s">
        <v>36</v>
      </c>
      <c r="B34" s="37">
        <f>IF( ISERROR(IND_min_ele_kWh/1000),0,IND_min_ele_kWh/1000)</f>
        <v>639.31310600000006</v>
      </c>
      <c r="C34" s="39">
        <f>IF(ISERROR(B34*3.6/1000000/'E Balans VL '!Z22*100),0,B34*3.6/1000000/'E Balans VL '!Z22*100)</f>
        <v>0.25646606194563715</v>
      </c>
      <c r="D34" s="232" t="s">
        <v>660</v>
      </c>
    </row>
    <row r="35" spans="1:5">
      <c r="A35" s="167" t="s">
        <v>38</v>
      </c>
      <c r="B35" s="37">
        <f>IF( ISERROR(IND_papier_ele_kWh/1000),0,IND_papier_ele_kWh/1000)</f>
        <v>15670.896788</v>
      </c>
      <c r="C35" s="39">
        <f>IF(ISERROR(B35*3.6/1000000/'E Balans VL '!Z22*100),0,B35*3.6/1000000/'E Balans VL '!Z22*100)</f>
        <v>6.2865177463996709</v>
      </c>
      <c r="D35" s="232" t="s">
        <v>660</v>
      </c>
    </row>
    <row r="36" spans="1:5">
      <c r="A36" s="167" t="s">
        <v>33</v>
      </c>
      <c r="B36" s="37">
        <f>IF( ISERROR(IND_chemie_ele_kWh/1000),0,IND_chemie_ele_kWh/1000)</f>
        <v>48540.902472999995</v>
      </c>
      <c r="C36" s="39">
        <f>IF(ISERROR(B36*3.6/1000000/'E Balans VL '!Z24*100),0,B36*3.6/1000000/'E Balans VL '!Z24*100)</f>
        <v>1.4664013050192977</v>
      </c>
      <c r="D36" s="232" t="s">
        <v>660</v>
      </c>
    </row>
    <row r="37" spans="1:5">
      <c r="A37" s="167" t="s">
        <v>259</v>
      </c>
      <c r="B37" s="37">
        <f>IF( ISERROR(IND_rest_ele_kWh/1000),0,IND_rest_ele_kWh/1000)</f>
        <v>2211.587</v>
      </c>
      <c r="C37" s="39">
        <f>IF(ISERROR(B37*3.6/1000000/'E Balans VL '!Z15*100),0,B37*3.6/1000000/'E Balans VL '!Z15*100)</f>
        <v>1.7813318411038729E-2</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276.57223599999998</v>
      </c>
      <c r="C5" s="17">
        <f>'Eigen informatie GS &amp; warmtenet'!B62</f>
        <v>0</v>
      </c>
      <c r="D5" s="30">
        <f>IF(ISERROR(SUM(LB_lb_gas_kWh,LB_rest_gas_kWh)/1000),0,SUM(LB_lb_gas_kWh,LB_rest_gas_kWh)/1000)*0.903</f>
        <v>278.30453317799999</v>
      </c>
      <c r="E5" s="17">
        <f>B17*'E Balans VL '!I25/3.6*1000000/100</f>
        <v>8.154131422901111</v>
      </c>
      <c r="F5" s="17">
        <f>B17*('E Balans VL '!L25/3.6*1000000+'E Balans VL '!N25/3.6*1000000)/100</f>
        <v>879.04485678141145</v>
      </c>
      <c r="G5" s="18"/>
      <c r="H5" s="17"/>
      <c r="I5" s="17"/>
      <c r="J5" s="17">
        <f>('E Balans VL '!D25+'E Balans VL '!E25)/3.6*1000000*landbouw!B17/100</f>
        <v>69.749819559228669</v>
      </c>
      <c r="K5" s="17"/>
      <c r="L5" s="17">
        <f>L6*(-1)</f>
        <v>0</v>
      </c>
      <c r="M5" s="17"/>
      <c r="N5" s="17">
        <f>N6*(-1)</f>
        <v>0</v>
      </c>
      <c r="O5" s="17"/>
      <c r="P5" s="17"/>
      <c r="R5" s="32"/>
    </row>
    <row r="6" spans="1:18">
      <c r="A6" s="16" t="s">
        <v>466</v>
      </c>
      <c r="B6" s="17" t="s">
        <v>204</v>
      </c>
      <c r="C6" s="17">
        <f>'lokale energieproductie'!O41+'lokale energieproductie'!O34</f>
        <v>0</v>
      </c>
      <c r="D6" s="302">
        <f>('lokale energieproductie'!P34+'lokale energieproductie'!P41)*(-1)</f>
        <v>0</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276.57223599999998</v>
      </c>
      <c r="C8" s="21">
        <f>C5+C6</f>
        <v>0</v>
      </c>
      <c r="D8" s="21">
        <f>MAX((D5+D6),0)</f>
        <v>278.30453317799999</v>
      </c>
      <c r="E8" s="21">
        <f>MAX((E5+E6),0)</f>
        <v>8.154131422901111</v>
      </c>
      <c r="F8" s="21">
        <f>MAX((F5+F6),0)</f>
        <v>879.04485678141145</v>
      </c>
      <c r="G8" s="21"/>
      <c r="H8" s="21"/>
      <c r="I8" s="21"/>
      <c r="J8" s="21">
        <f>MAX((J5+J6),0)</f>
        <v>69.749819559228669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0.17218697084434376</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47.622135536486958</v>
      </c>
      <c r="C12" s="23">
        <f ca="1">C8*C10</f>
        <v>0</v>
      </c>
      <c r="D12" s="23">
        <f>D8*D10</f>
        <v>56.217515701956003</v>
      </c>
      <c r="E12" s="23">
        <f>E8*E10</f>
        <v>1.8509878329985523</v>
      </c>
      <c r="F12" s="23">
        <f>F8*F10</f>
        <v>234.70497676063687</v>
      </c>
      <c r="G12" s="23"/>
      <c r="H12" s="23"/>
      <c r="I12" s="23"/>
      <c r="J12" s="23">
        <f>J8*J10</f>
        <v>24.691436123966948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3.7986474894273918E-2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4.4721252674522916</v>
      </c>
      <c r="C26" s="242">
        <f>B26*'GWP N2O_CH4'!B5</f>
        <v>93.91463061649813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0.32908021086610539</v>
      </c>
      <c r="C27" s="242">
        <f>B27*'GWP N2O_CH4'!B5</f>
        <v>6.9106844281882136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3.2067078405579735E-2</v>
      </c>
      <c r="C28" s="242">
        <f>B28*'GWP N2O_CH4'!B4</f>
        <v>9.9407943057297175</v>
      </c>
      <c r="D28" s="50"/>
    </row>
    <row r="29" spans="1:4">
      <c r="A29" s="41" t="s">
        <v>266</v>
      </c>
      <c r="B29" s="242">
        <f>B34*'ha_N2O bodem landbouw'!B4</f>
        <v>2.6925581998912302</v>
      </c>
      <c r="C29" s="242">
        <f>B29*'GWP N2O_CH4'!B4</f>
        <v>834.69304196628138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6.1364170319489592E-4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2.2202240881975103E-3</v>
      </c>
      <c r="C5" s="430" t="s">
        <v>204</v>
      </c>
      <c r="D5" s="415">
        <f>SUM(D6:D11)</f>
        <v>3.6839282278640379E-3</v>
      </c>
      <c r="E5" s="415">
        <f>SUM(E6:E11)</f>
        <v>2.19156324425123E-3</v>
      </c>
      <c r="F5" s="428" t="s">
        <v>204</v>
      </c>
      <c r="G5" s="415">
        <f>SUM(G6:G11)</f>
        <v>1.0012169798669395</v>
      </c>
      <c r="H5" s="415">
        <f>SUM(H6:H11)</f>
        <v>0.24742629784303946</v>
      </c>
      <c r="I5" s="430" t="s">
        <v>204</v>
      </c>
      <c r="J5" s="430" t="s">
        <v>204</v>
      </c>
      <c r="K5" s="430" t="s">
        <v>204</v>
      </c>
      <c r="L5" s="430" t="s">
        <v>204</v>
      </c>
      <c r="M5" s="415">
        <f>SUM(M6:M11)</f>
        <v>7.3570110133290734E-2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8.7185928650026069E-4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1.5215220366002747E-3</v>
      </c>
      <c r="E6" s="844">
        <f>vkm_GW_PW*SUMIFS(TableVerdeelsleutelVkm[LPG],TableVerdeelsleutelVkm[Voertuigtype],"Lichte voertuigen")*SUMIFS(TableECFTransport[EnergieConsumptieFactor (PJ per km)],TableECFTransport[Index],CONCATENATE($A6,"_LPG_LPG"))</f>
        <v>8.3657941532710425E-4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0.2574776610912462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0.10045718419195235</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2.147986169481117E-2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2.2441703327072064E-6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9.2880476869919418E-2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1.0179238916727908E-6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5.2293191192219141E-3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3.2121518732902541E-4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7.1861649724223626E-4</v>
      </c>
      <c r="E8" s="418">
        <f>vkm_NGW_PW*SUMIFS(TableVerdeelsleutelVkm[LPG],TableVerdeelsleutelVkm[Voertuigtype],"Lichte voertuigen")*SUMIFS(TableECFTransport[EnergieConsumptieFactor (PJ per km)],TableECFTransport[Index],CONCATENATE($A8,"_LPG_LPG"))</f>
        <v>3.773810585713499E-4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0.10733279630460965</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4.6705706438145062E-2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9.2898467671973396E-3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3.1777569565591123E-8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1.6936614484141747E-3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1.7397891390044037E-8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9.5355762347439649E-5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1.0179275507969593E-3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1.4437896940215271E-3</v>
      </c>
      <c r="E10" s="418">
        <f>vkm_SW_PW*SUMIFS(TableVerdeelsleutelVkm[LPG],TableVerdeelsleutelVkm[Voertuigtype],"Lichte voertuigen")*SUMIFS(TableECFTransport[EnergieConsumptieFactor (PJ per km)],TableECFTransport[Index],CONCATENATE($A10,"_LPG_LPG"))</f>
        <v>9.7760277035277609E-4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0.27024210840238722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0.10025912900322075</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2.2184742187542381E-2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6.9461156689919043E-6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0.27159027575036288</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3.2428879382648718E-6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1.5290984602170482E-2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616.72891338819727</v>
      </c>
      <c r="C14" s="21"/>
      <c r="D14" s="21">
        <f t="shared" ref="D14:M14" si="0">((D5)*10^9/3600)+D12</f>
        <v>1023.3133966288993</v>
      </c>
      <c r="E14" s="21">
        <f t="shared" si="0"/>
        <v>608.76756784756378</v>
      </c>
      <c r="F14" s="21"/>
      <c r="G14" s="21">
        <f t="shared" si="0"/>
        <v>278115.82774081652</v>
      </c>
      <c r="H14" s="21">
        <f t="shared" si="0"/>
        <v>68729.527178622069</v>
      </c>
      <c r="I14" s="21"/>
      <c r="J14" s="21"/>
      <c r="K14" s="21"/>
      <c r="L14" s="21"/>
      <c r="M14" s="21">
        <f t="shared" si="0"/>
        <v>20436.141703691872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0.17218697084434376</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106.19268342843733</v>
      </c>
      <c r="C18" s="23"/>
      <c r="D18" s="23">
        <f t="shared" ref="D18:M18" si="1">D14*D16</f>
        <v>206.70930611903768</v>
      </c>
      <c r="E18" s="23">
        <f t="shared" si="1"/>
        <v>138.19023790139698</v>
      </c>
      <c r="F18" s="23"/>
      <c r="G18" s="23">
        <f t="shared" si="1"/>
        <v>74256.926006798007</v>
      </c>
      <c r="H18" s="23">
        <f t="shared" si="1"/>
        <v>17113.652267476897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6.8505882308012944E-4</v>
      </c>
      <c r="C50" s="313">
        <f t="shared" ref="C50:P50" si="2">SUM(C51:C52)</f>
        <v>0</v>
      </c>
      <c r="D50" s="313">
        <f t="shared" si="2"/>
        <v>0</v>
      </c>
      <c r="E50" s="313">
        <f t="shared" si="2"/>
        <v>0</v>
      </c>
      <c r="F50" s="313">
        <f t="shared" si="2"/>
        <v>0</v>
      </c>
      <c r="G50" s="313">
        <f t="shared" si="2"/>
        <v>4.8898264548434177E-2</v>
      </c>
      <c r="H50" s="313">
        <f t="shared" si="2"/>
        <v>0</v>
      </c>
      <c r="I50" s="313">
        <f t="shared" si="2"/>
        <v>0</v>
      </c>
      <c r="J50" s="313">
        <f t="shared" si="2"/>
        <v>0</v>
      </c>
      <c r="K50" s="313">
        <f t="shared" si="2"/>
        <v>0</v>
      </c>
      <c r="L50" s="313">
        <f t="shared" si="2"/>
        <v>0</v>
      </c>
      <c r="M50" s="313">
        <f t="shared" si="2"/>
        <v>2.7000934115952737E-3</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6.8505882308012944E-4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4.8898264548434177E-2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2.7000934115952737E-3</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190.29411752225818</v>
      </c>
      <c r="C54" s="21">
        <f t="shared" ref="C54:P54" si="3">(C50)*10^9/3600</f>
        <v>0</v>
      </c>
      <c r="D54" s="21">
        <f t="shared" si="3"/>
        <v>0</v>
      </c>
      <c r="E54" s="21">
        <f t="shared" si="3"/>
        <v>0</v>
      </c>
      <c r="F54" s="21">
        <f t="shared" si="3"/>
        <v>0</v>
      </c>
      <c r="G54" s="21">
        <f t="shared" si="3"/>
        <v>13582.851263453938</v>
      </c>
      <c r="H54" s="21">
        <f t="shared" si="3"/>
        <v>0</v>
      </c>
      <c r="I54" s="21">
        <f t="shared" si="3"/>
        <v>0</v>
      </c>
      <c r="J54" s="21">
        <f t="shared" si="3"/>
        <v>0</v>
      </c>
      <c r="K54" s="21">
        <f t="shared" si="3"/>
        <v>0</v>
      </c>
      <c r="L54" s="21">
        <f t="shared" si="3"/>
        <v>0</v>
      </c>
      <c r="M54" s="21">
        <f t="shared" si="3"/>
        <v>750.02594766535378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0.17218697084434376</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32.766167665655196</v>
      </c>
      <c r="C58" s="23">
        <f t="shared" ref="C58:P58" ca="1" si="4">C54*C56</f>
        <v>0</v>
      </c>
      <c r="D58" s="23">
        <f t="shared" si="4"/>
        <v>0</v>
      </c>
      <c r="E58" s="23">
        <f t="shared" si="4"/>
        <v>0</v>
      </c>
      <c r="F58" s="23">
        <f t="shared" si="4"/>
        <v>0</v>
      </c>
      <c r="G58" s="23">
        <f t="shared" si="4"/>
        <v>3626.6212873422019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75442.187201111941</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39519.379098780759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6907.5</v>
      </c>
      <c r="C8" s="540">
        <f>B50</f>
        <v>8126.4705882352928</v>
      </c>
      <c r="D8" s="541"/>
      <c r="E8" s="541">
        <f>E50</f>
        <v>0</v>
      </c>
      <c r="F8" s="542"/>
      <c r="G8" s="543"/>
      <c r="H8" s="541">
        <f>I50</f>
        <v>0</v>
      </c>
      <c r="I8" s="541">
        <f>G50+F50</f>
        <v>0</v>
      </c>
      <c r="J8" s="541">
        <f>H50+D50+C50</f>
        <v>0</v>
      </c>
      <c r="K8" s="541"/>
      <c r="L8" s="541"/>
      <c r="M8" s="541"/>
      <c r="N8" s="544"/>
      <c r="O8" s="545">
        <f>C8*$C$12+D8*$D$12+E8*$E$12+F8*$F$12+G8*$G$12+H8*$H$12+I8*$I$12+J8*$J$12</f>
        <v>1641.5470588235291</v>
      </c>
      <c r="P8" s="1210"/>
      <c r="Q8" s="1211"/>
      <c r="S8" s="535"/>
      <c r="T8" s="1198"/>
      <c r="U8" s="1198"/>
    </row>
    <row r="9" spans="1:21" s="526" customFormat="1" ht="17.45" customHeight="1" thickBot="1">
      <c r="A9" s="546" t="s">
        <v>237</v>
      </c>
      <c r="B9" s="547">
        <f>N38+'Eigen informatie GS &amp; warmtenet'!B12</f>
        <v>1620</v>
      </c>
      <c r="C9" s="548">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4628.5714285714284</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123489.0662998927</v>
      </c>
      <c r="C10" s="555">
        <f t="shared" ref="C10:L10" si="0">SUM(C8:C9)</f>
        <v>8126.4705882352928</v>
      </c>
      <c r="D10" s="555">
        <f t="shared" si="0"/>
        <v>0</v>
      </c>
      <c r="E10" s="555">
        <f t="shared" si="0"/>
        <v>0</v>
      </c>
      <c r="F10" s="555">
        <f t="shared" si="0"/>
        <v>0</v>
      </c>
      <c r="G10" s="555">
        <f t="shared" si="0"/>
        <v>0</v>
      </c>
      <c r="H10" s="555">
        <f t="shared" si="0"/>
        <v>0</v>
      </c>
      <c r="I10" s="555">
        <f t="shared" si="0"/>
        <v>0</v>
      </c>
      <c r="J10" s="555">
        <f t="shared" si="0"/>
        <v>4628.5714285714284</v>
      </c>
      <c r="K10" s="555">
        <f t="shared" si="0"/>
        <v>0</v>
      </c>
      <c r="L10" s="555">
        <f t="shared" si="0"/>
        <v>0</v>
      </c>
      <c r="M10" s="917"/>
      <c r="N10" s="917"/>
      <c r="O10" s="556">
        <f>SUM(O4:O9)</f>
        <v>1641.5470588235291</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9867.8571428571431</v>
      </c>
      <c r="C17" s="571">
        <f>B51</f>
        <v>11609.243697478991</v>
      </c>
      <c r="D17" s="572"/>
      <c r="E17" s="572">
        <f>E51</f>
        <v>0</v>
      </c>
      <c r="F17" s="573"/>
      <c r="G17" s="574"/>
      <c r="H17" s="571">
        <f>I51</f>
        <v>0</v>
      </c>
      <c r="I17" s="572">
        <f>G51+F51</f>
        <v>0</v>
      </c>
      <c r="J17" s="572">
        <f>H51+D51+C51</f>
        <v>0</v>
      </c>
      <c r="K17" s="572"/>
      <c r="L17" s="572"/>
      <c r="M17" s="572"/>
      <c r="N17" s="918"/>
      <c r="O17" s="575">
        <f>C17*$C$22+E17*$E$22+H17*$H$22+I17*$I$22+J17*$J$22+D17*$D$22+F17*$F$22+G17*$G$22+K17*$K$22+L17*$L$22</f>
        <v>2345.0672268907565</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9867.8571428571431</v>
      </c>
      <c r="C20" s="554">
        <f>SUM(C17:C19)</f>
        <v>11609.243697478991</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2345.0672268907565</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71016</v>
      </c>
      <c r="C28" s="746">
        <v>3600</v>
      </c>
      <c r="D28" s="632"/>
      <c r="E28" s="631"/>
      <c r="F28" s="631"/>
      <c r="G28" s="631" t="s">
        <v>861</v>
      </c>
      <c r="H28" s="631" t="s">
        <v>862</v>
      </c>
      <c r="I28" s="631"/>
      <c r="J28" s="745"/>
      <c r="K28" s="745"/>
      <c r="L28" s="631" t="s">
        <v>863</v>
      </c>
      <c r="M28" s="631">
        <v>15</v>
      </c>
      <c r="N28" s="631">
        <v>67.5</v>
      </c>
      <c r="O28" s="631">
        <v>96.428571428571431</v>
      </c>
      <c r="P28" s="631">
        <v>192.85714285714286</v>
      </c>
      <c r="Q28" s="631">
        <v>0</v>
      </c>
      <c r="R28" s="631">
        <v>0</v>
      </c>
      <c r="S28" s="631">
        <v>0</v>
      </c>
      <c r="T28" s="631">
        <v>0</v>
      </c>
      <c r="U28" s="631">
        <v>0</v>
      </c>
      <c r="V28" s="631">
        <v>0</v>
      </c>
      <c r="W28" s="631">
        <v>0</v>
      </c>
      <c r="X28" s="631"/>
      <c r="Y28" s="631">
        <v>1300</v>
      </c>
      <c r="Z28" s="631" t="s">
        <v>53</v>
      </c>
      <c r="AA28" s="633" t="s">
        <v>149</v>
      </c>
    </row>
    <row r="29" spans="1:27" s="585" customFormat="1" ht="25.5" hidden="1">
      <c r="A29" s="584"/>
      <c r="B29" s="746">
        <v>71016</v>
      </c>
      <c r="C29" s="746">
        <v>3600</v>
      </c>
      <c r="D29" s="632"/>
      <c r="E29" s="631"/>
      <c r="F29" s="631"/>
      <c r="G29" s="631" t="s">
        <v>864</v>
      </c>
      <c r="H29" s="631" t="s">
        <v>862</v>
      </c>
      <c r="I29" s="631"/>
      <c r="J29" s="745"/>
      <c r="K29" s="745"/>
      <c r="L29" s="631" t="s">
        <v>865</v>
      </c>
      <c r="M29" s="631">
        <v>1500</v>
      </c>
      <c r="N29" s="631">
        <v>6750</v>
      </c>
      <c r="O29" s="631">
        <v>9642.8571428571431</v>
      </c>
      <c r="P29" s="631">
        <v>19285.714285714286</v>
      </c>
      <c r="Q29" s="631">
        <v>0</v>
      </c>
      <c r="R29" s="631">
        <v>0</v>
      </c>
      <c r="S29" s="631">
        <v>0</v>
      </c>
      <c r="T29" s="631">
        <v>0</v>
      </c>
      <c r="U29" s="631">
        <v>0</v>
      </c>
      <c r="V29" s="631">
        <v>0</v>
      </c>
      <c r="W29" s="631">
        <v>0</v>
      </c>
      <c r="X29" s="631"/>
      <c r="Y29" s="631">
        <v>16000</v>
      </c>
      <c r="Z29" s="631" t="s">
        <v>32</v>
      </c>
      <c r="AA29" s="633" t="s">
        <v>373</v>
      </c>
    </row>
    <row r="30" spans="1:27" s="585" customFormat="1" ht="51" hidden="1">
      <c r="A30" s="584"/>
      <c r="B30" s="746">
        <v>71016</v>
      </c>
      <c r="C30" s="746">
        <v>3600</v>
      </c>
      <c r="D30" s="632"/>
      <c r="E30" s="631"/>
      <c r="F30" s="631"/>
      <c r="G30" s="631" t="s">
        <v>864</v>
      </c>
      <c r="H30" s="631" t="s">
        <v>862</v>
      </c>
      <c r="I30" s="631"/>
      <c r="J30" s="745"/>
      <c r="K30" s="745"/>
      <c r="L30" s="631" t="s">
        <v>865</v>
      </c>
      <c r="M30" s="631">
        <v>20</v>
      </c>
      <c r="N30" s="631">
        <v>90</v>
      </c>
      <c r="O30" s="631">
        <v>128.57142857142858</v>
      </c>
      <c r="P30" s="631">
        <v>257.14285714285717</v>
      </c>
      <c r="Q30" s="631">
        <v>0</v>
      </c>
      <c r="R30" s="631">
        <v>0</v>
      </c>
      <c r="S30" s="631">
        <v>0</v>
      </c>
      <c r="T30" s="631">
        <v>0</v>
      </c>
      <c r="U30" s="631">
        <v>0</v>
      </c>
      <c r="V30" s="631">
        <v>0</v>
      </c>
      <c r="W30" s="631">
        <v>0</v>
      </c>
      <c r="X30" s="631"/>
      <c r="Y30" s="631">
        <v>1500</v>
      </c>
      <c r="Z30" s="631" t="s">
        <v>50</v>
      </c>
      <c r="AA30" s="633" t="s">
        <v>149</v>
      </c>
    </row>
    <row r="31" spans="1:27" s="565" customFormat="1" hidden="1">
      <c r="A31" s="587" t="s">
        <v>269</v>
      </c>
      <c r="B31" s="588"/>
      <c r="C31" s="588"/>
      <c r="D31" s="588"/>
      <c r="E31" s="588"/>
      <c r="F31" s="588"/>
      <c r="G31" s="588"/>
      <c r="H31" s="588"/>
      <c r="I31" s="588"/>
      <c r="J31" s="588"/>
      <c r="K31" s="588"/>
      <c r="L31" s="589"/>
      <c r="M31" s="589">
        <f>SUM(M28:M30)</f>
        <v>1535</v>
      </c>
      <c r="N31" s="589">
        <f>SUM(N28:N30)</f>
        <v>6907.5</v>
      </c>
      <c r="O31" s="589">
        <f>SUM(O28:O30)</f>
        <v>9867.8571428571431</v>
      </c>
      <c r="P31" s="589">
        <f>SUM(P28:P30)</f>
        <v>19735.714285714286</v>
      </c>
      <c r="Q31" s="589">
        <f>SUM(Q28:Q30)</f>
        <v>0</v>
      </c>
      <c r="R31" s="589">
        <f>SUM(R28:R30)</f>
        <v>0</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1500</v>
      </c>
      <c r="N32" s="589">
        <f>SUMIF($AA$28:$AA$30,"industrie",N28:N30)</f>
        <v>6750</v>
      </c>
      <c r="O32" s="589">
        <f>SUMIF($AA$28:$AA$30,"industrie",O28:O30)</f>
        <v>9642.8571428571431</v>
      </c>
      <c r="P32" s="589">
        <f>SUMIF($AA$28:$AA$30,"industrie",P28:P30)</f>
        <v>19285.714285714286</v>
      </c>
      <c r="Q32" s="589">
        <f>SUMIF($AA$28:$AA$30,"industrie",Q28:Q30)</f>
        <v>0</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35</v>
      </c>
      <c r="N33" s="589">
        <f ca="1">SUMIF($AA$28:AE30,"tertiair",N28:N30)</f>
        <v>157.5</v>
      </c>
      <c r="O33" s="589">
        <f ca="1">SUMIF($AA$28:AF30,"tertiair",O28:O30)</f>
        <v>225</v>
      </c>
      <c r="P33" s="589">
        <f ca="1">SUMIF($AA$28:AG30,"tertiair",P28:P30)</f>
        <v>450</v>
      </c>
      <c r="Q33" s="589">
        <f ca="1">SUMIF($AA$28:AH30,"tertiair",Q28:Q30)</f>
        <v>0</v>
      </c>
      <c r="R33" s="589">
        <f ca="1">SUMIF($AA$28:AI30,"tertiair",R28:R30)</f>
        <v>0</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0</v>
      </c>
      <c r="N34" s="594">
        <f>SUMIF($AA$28:$AA$30,"landbouw",N28:N30)</f>
        <v>0</v>
      </c>
      <c r="O34" s="594">
        <f>SUMIF($AA$28:$AA$30,"landbouw",O28:O30)</f>
        <v>0</v>
      </c>
      <c r="P34" s="594">
        <f>SUMIF($AA$28:$AA$30,"landbouw",P28:P30)</f>
        <v>0</v>
      </c>
      <c r="Q34" s="594">
        <f>SUMIF($AA$28:$AA$30,"landbouw",Q28:Q30)</f>
        <v>0</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63.75" hidden="1">
      <c r="A37" s="586"/>
      <c r="B37" s="746">
        <v>71016</v>
      </c>
      <c r="C37" s="746">
        <v>3600</v>
      </c>
      <c r="D37" s="634"/>
      <c r="E37" s="634"/>
      <c r="F37" s="634"/>
      <c r="G37" s="634" t="s">
        <v>866</v>
      </c>
      <c r="H37" s="634" t="s">
        <v>867</v>
      </c>
      <c r="I37" s="634"/>
      <c r="J37" s="745"/>
      <c r="K37" s="745"/>
      <c r="L37" s="634" t="s">
        <v>863</v>
      </c>
      <c r="M37" s="634">
        <v>360</v>
      </c>
      <c r="N37" s="634">
        <v>1620</v>
      </c>
      <c r="O37" s="634">
        <v>0</v>
      </c>
      <c r="P37" s="634">
        <v>0</v>
      </c>
      <c r="Q37" s="634">
        <v>4628.5714285714284</v>
      </c>
      <c r="R37" s="634">
        <v>0</v>
      </c>
      <c r="S37" s="634">
        <v>0</v>
      </c>
      <c r="T37" s="634">
        <v>0</v>
      </c>
      <c r="U37" s="634">
        <v>0</v>
      </c>
      <c r="V37" s="634">
        <v>0</v>
      </c>
      <c r="W37" s="634">
        <v>0</v>
      </c>
      <c r="X37" s="634"/>
      <c r="Y37" s="634">
        <v>1600</v>
      </c>
      <c r="Z37" s="634" t="s">
        <v>49</v>
      </c>
      <c r="AA37" s="635" t="s">
        <v>149</v>
      </c>
    </row>
    <row r="38" spans="1:28" s="565" customFormat="1" hidden="1">
      <c r="A38" s="587" t="s">
        <v>269</v>
      </c>
      <c r="B38" s="588"/>
      <c r="C38" s="588"/>
      <c r="D38" s="588"/>
      <c r="E38" s="588"/>
      <c r="F38" s="588"/>
      <c r="G38" s="588"/>
      <c r="H38" s="588"/>
      <c r="I38" s="588"/>
      <c r="J38" s="588"/>
      <c r="K38" s="588"/>
      <c r="L38" s="589"/>
      <c r="M38" s="589">
        <f>SUM(M37:M37)</f>
        <v>360</v>
      </c>
      <c r="N38" s="589">
        <f>SUM(N37:N37)</f>
        <v>1620</v>
      </c>
      <c r="O38" s="589">
        <f>SUM(O37:O37)</f>
        <v>0</v>
      </c>
      <c r="P38" s="589">
        <f>SUM(P37:P37)</f>
        <v>0</v>
      </c>
      <c r="Q38" s="589">
        <f>SUM(Q37:Q37)</f>
        <v>4628.5714285714284</v>
      </c>
      <c r="R38" s="589">
        <f>SUM(R37:R37)</f>
        <v>0</v>
      </c>
      <c r="S38" s="589">
        <f>SUM(S37:S37)</f>
        <v>0</v>
      </c>
      <c r="T38" s="589">
        <f>SUM(T37:T37)</f>
        <v>0</v>
      </c>
      <c r="U38" s="589">
        <f>SUM(U37:U37)</f>
        <v>0</v>
      </c>
      <c r="V38" s="589">
        <f>SUM(V37:V37)</f>
        <v>0</v>
      </c>
      <c r="W38" s="589">
        <f>SUM(W37:W37)</f>
        <v>0</v>
      </c>
      <c r="X38" s="589"/>
      <c r="Y38" s="590"/>
      <c r="Z38" s="590"/>
      <c r="AA38" s="591"/>
    </row>
    <row r="39" spans="1:28" s="565" customFormat="1">
      <c r="A39" s="587" t="s">
        <v>276</v>
      </c>
      <c r="B39" s="588"/>
      <c r="C39" s="588"/>
      <c r="D39" s="588"/>
      <c r="E39" s="588"/>
      <c r="F39" s="588"/>
      <c r="G39" s="588"/>
      <c r="H39" s="588"/>
      <c r="I39" s="588"/>
      <c r="J39" s="588"/>
      <c r="K39" s="588"/>
      <c r="L39" s="589"/>
      <c r="M39" s="589">
        <f>SUMIF($AA$37:$AA$37,"industrie",M37:M37)</f>
        <v>0</v>
      </c>
      <c r="N39" s="589">
        <f>SUMIF($AA$37:$AA$37,"industrie",N37:N37)</f>
        <v>0</v>
      </c>
      <c r="O39" s="589">
        <f>SUMIF($AA$37:$AA$37,"industrie",O37:O37)</f>
        <v>0</v>
      </c>
      <c r="P39" s="589">
        <f>SUMIF($AA$37:$AA$37,"industrie",P37:P37)</f>
        <v>0</v>
      </c>
      <c r="Q39" s="589">
        <f>SUMIF($AA$37:$AA$37,"industrie",Q37:Q37)</f>
        <v>0</v>
      </c>
      <c r="R39" s="589">
        <f>SUMIF($AA$37:$AA$37,"industrie",R37:R37)</f>
        <v>0</v>
      </c>
      <c r="S39" s="589">
        <f>SUMIF($AA$37:$AA$37,"industrie",S37:S37)</f>
        <v>0</v>
      </c>
      <c r="T39" s="589">
        <f>SUMIF($AA$37:$AA$37,"industrie",T37:T37)</f>
        <v>0</v>
      </c>
      <c r="U39" s="589">
        <f>SUMIF($AA$37:$AA$37,"industrie",U37:U37)</f>
        <v>0</v>
      </c>
      <c r="V39" s="589">
        <f>SUMIF($AA$37:$AA$37,"industrie",V37:V37)</f>
        <v>0</v>
      </c>
      <c r="W39" s="589">
        <f>SUMIF($AA$37:$AA$37,"industrie",W37:W37)</f>
        <v>0</v>
      </c>
      <c r="X39" s="589"/>
      <c r="Y39" s="590"/>
      <c r="Z39" s="590"/>
      <c r="AA39" s="591"/>
    </row>
    <row r="40" spans="1:28" s="565" customFormat="1">
      <c r="A40" s="587" t="s">
        <v>277</v>
      </c>
      <c r="B40" s="588"/>
      <c r="C40" s="588"/>
      <c r="D40" s="588"/>
      <c r="E40" s="588"/>
      <c r="F40" s="588"/>
      <c r="G40" s="588"/>
      <c r="H40" s="588"/>
      <c r="I40" s="588"/>
      <c r="J40" s="588"/>
      <c r="K40" s="588"/>
      <c r="L40" s="589"/>
      <c r="M40" s="589">
        <f>SUMIF($AA$37:$AA$38,"tertiair",M37:M38)</f>
        <v>360</v>
      </c>
      <c r="N40" s="589">
        <f>SUMIF($AA$37:$AA$38,"tertiair",N37:N38)</f>
        <v>1620</v>
      </c>
      <c r="O40" s="589">
        <f>SUMIF($AA$37:$AA$38,"tertiair",O37:O38)</f>
        <v>0</v>
      </c>
      <c r="P40" s="589">
        <f>SUMIF($AA$37:$AA$38,"tertiair",P37:P38)</f>
        <v>0</v>
      </c>
      <c r="Q40" s="589">
        <f>SUMIF($AA$37:$AA$38,"tertiair",Q37:Q38)</f>
        <v>4628.5714285714284</v>
      </c>
      <c r="R40" s="589">
        <f>SUMIF($AA$37:$AA$38,"tertiair",R37:R38)</f>
        <v>0</v>
      </c>
      <c r="S40" s="589">
        <f>SUMIF($AA$37:$AA$38,"tertiair",S37:S38)</f>
        <v>0</v>
      </c>
      <c r="T40" s="589">
        <f>SUMIF($AA$37:$AA$38,"tertiair",T37:T38)</f>
        <v>0</v>
      </c>
      <c r="U40" s="589">
        <f>SUMIF($AA$37:$AA$38,"tertiair",U37:U38)</f>
        <v>0</v>
      </c>
      <c r="V40" s="589">
        <f>SUMIF($AA$37:$AA$38,"tertiair",V37:V38)</f>
        <v>0</v>
      </c>
      <c r="W40" s="589">
        <f>SUMIF($AA$37:$AA$38,"tertiair",W37:W38)</f>
        <v>0</v>
      </c>
      <c r="X40" s="589"/>
      <c r="Y40" s="590"/>
      <c r="Z40" s="590"/>
      <c r="AA40" s="591"/>
    </row>
    <row r="41" spans="1:28" s="565" customFormat="1" ht="15.75" thickBot="1">
      <c r="A41" s="592" t="s">
        <v>278</v>
      </c>
      <c r="B41" s="593"/>
      <c r="C41" s="593"/>
      <c r="D41" s="593"/>
      <c r="E41" s="593"/>
      <c r="F41" s="593"/>
      <c r="G41" s="593"/>
      <c r="H41" s="593"/>
      <c r="I41" s="593"/>
      <c r="J41" s="593"/>
      <c r="K41" s="593"/>
      <c r="L41" s="594"/>
      <c r="M41" s="594">
        <f>SUMIF($AA$37:$AA$39,"landbouw",M37:M39)</f>
        <v>0</v>
      </c>
      <c r="N41" s="594">
        <f>SUMIF($AA$37:$AA$39,"landbouw",N37:N39)</f>
        <v>0</v>
      </c>
      <c r="O41" s="594">
        <f>SUMIF($AA$37:$AA$39,"landbouw",O37:O39)</f>
        <v>0</v>
      </c>
      <c r="P41" s="594">
        <f>SUMIF($AA$37:$AA$39,"landbouw",P37:P39)</f>
        <v>0</v>
      </c>
      <c r="Q41" s="594">
        <f>SUMIF($AA$37:$AA$39,"landbouw",Q37:Q39)</f>
        <v>0</v>
      </c>
      <c r="R41" s="594">
        <f>SUMIF($AA$37:$AA$39,"landbouw",R37:R39)</f>
        <v>0</v>
      </c>
      <c r="S41" s="594">
        <f>SUMIF($AA$37:$AA$39,"landbouw",S37:S39)</f>
        <v>0</v>
      </c>
      <c r="T41" s="594">
        <f>SUMIF($AA$37:$AA$39,"landbouw",T37:T39)</f>
        <v>0</v>
      </c>
      <c r="U41" s="594">
        <f>SUMIF($AA$37:$AA$39,"landbouw",U37:U39)</f>
        <v>0</v>
      </c>
      <c r="V41" s="594">
        <f>SUMIF($AA$37:$AA$39,"landbouw",V37:V39)</f>
        <v>0</v>
      </c>
      <c r="W41" s="594">
        <f>SUMIF($AA$37:$AA$39,"landbouw",W37:W39)</f>
        <v>0</v>
      </c>
      <c r="X41" s="594"/>
      <c r="Y41" s="595"/>
      <c r="Z41" s="595"/>
      <c r="AA41" s="596"/>
    </row>
    <row r="42" spans="1:28" s="601" customForma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row>
    <row r="43" spans="1:28" s="601" customFormat="1" ht="15.75" thickBo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row>
    <row r="44" spans="1:28">
      <c r="A44" s="602" t="s">
        <v>271</v>
      </c>
      <c r="B44" s="603"/>
      <c r="C44" s="603"/>
      <c r="D44" s="603"/>
      <c r="E44" s="603"/>
      <c r="F44" s="603"/>
      <c r="G44" s="603"/>
      <c r="H44" s="603"/>
      <c r="I44" s="604"/>
      <c r="J44" s="605"/>
      <c r="K44" s="605"/>
      <c r="L44" s="606"/>
      <c r="M44" s="606"/>
      <c r="N44" s="606"/>
      <c r="O44" s="606"/>
      <c r="P44" s="606"/>
    </row>
    <row r="45" spans="1:28">
      <c r="A45" s="608"/>
      <c r="B45" s="598"/>
      <c r="C45" s="598"/>
      <c r="D45" s="598"/>
      <c r="E45" s="598"/>
      <c r="F45" s="598"/>
      <c r="G45" s="598"/>
      <c r="H45" s="598"/>
      <c r="I45" s="609"/>
      <c r="J45" s="598"/>
      <c r="K45" s="598"/>
      <c r="L45" s="606"/>
      <c r="M45" s="606"/>
      <c r="N45" s="606"/>
      <c r="O45" s="606"/>
      <c r="P45" s="606"/>
    </row>
    <row r="46" spans="1:28">
      <c r="A46" s="610"/>
      <c r="B46" s="611" t="s">
        <v>272</v>
      </c>
      <c r="C46" s="611" t="s">
        <v>273</v>
      </c>
      <c r="D46" s="611"/>
      <c r="E46" s="611"/>
      <c r="F46" s="611"/>
      <c r="G46" s="611"/>
      <c r="H46" s="611"/>
      <c r="I46" s="612"/>
      <c r="J46" s="611"/>
      <c r="K46" s="611"/>
      <c r="L46" s="611"/>
      <c r="M46" s="611"/>
      <c r="N46" s="611"/>
      <c r="O46" s="611"/>
      <c r="P46" s="606"/>
    </row>
    <row r="47" spans="1:28">
      <c r="A47" s="608" t="s">
        <v>269</v>
      </c>
      <c r="B47" s="613">
        <f>IF(ISERROR(O31/(O31+N31)),0,O31/(O31+N31))</f>
        <v>0.58823529411764697</v>
      </c>
      <c r="C47" s="614">
        <f>IF(ISERROR(N31/(O31+N31)),0,N31/(N31+O31))</f>
        <v>0.41176470588235287</v>
      </c>
      <c r="D47" s="581"/>
      <c r="E47" s="581"/>
      <c r="F47" s="581"/>
      <c r="G47" s="581"/>
      <c r="H47" s="581"/>
      <c r="I47" s="615"/>
      <c r="J47" s="581"/>
      <c r="K47" s="581"/>
      <c r="L47" s="616"/>
      <c r="M47" s="616"/>
      <c r="N47" s="616"/>
      <c r="O47" s="616"/>
      <c r="P47" s="606"/>
    </row>
    <row r="48" spans="1:28">
      <c r="A48" s="608"/>
      <c r="B48" s="617"/>
      <c r="C48" s="617"/>
      <c r="D48" s="617"/>
      <c r="E48" s="617"/>
      <c r="F48" s="617"/>
      <c r="G48" s="617"/>
      <c r="H48" s="617"/>
      <c r="I48" s="618"/>
      <c r="J48" s="617"/>
      <c r="K48" s="617"/>
      <c r="L48" s="619"/>
      <c r="M48" s="619"/>
      <c r="N48" s="619"/>
      <c r="O48" s="619"/>
      <c r="P48" s="606"/>
    </row>
    <row r="49" spans="1:16" ht="30">
      <c r="A49" s="620"/>
      <c r="B49" s="621" t="s">
        <v>510</v>
      </c>
      <c r="C49" s="621" t="s">
        <v>96</v>
      </c>
      <c r="D49" s="621" t="s">
        <v>97</v>
      </c>
      <c r="E49" s="621" t="s">
        <v>98</v>
      </c>
      <c r="F49" s="621" t="s">
        <v>99</v>
      </c>
      <c r="G49" s="621" t="s">
        <v>100</v>
      </c>
      <c r="H49" s="621" t="s">
        <v>101</v>
      </c>
      <c r="I49" s="622" t="s">
        <v>102</v>
      </c>
      <c r="J49" s="611"/>
      <c r="K49" s="611"/>
      <c r="L49" s="619"/>
      <c r="M49" s="619"/>
      <c r="N49" s="619"/>
      <c r="O49" s="606"/>
      <c r="P49" s="606"/>
    </row>
    <row r="50" spans="1:16">
      <c r="A50" s="610" t="s">
        <v>274</v>
      </c>
      <c r="B50" s="623">
        <f t="shared" ref="B50:I50" si="2">$C$47*P31</f>
        <v>8126.4705882352928</v>
      </c>
      <c r="C50" s="623">
        <f t="shared" si="2"/>
        <v>0</v>
      </c>
      <c r="D50" s="623">
        <f t="shared" si="2"/>
        <v>0</v>
      </c>
      <c r="E50" s="623">
        <f t="shared" si="2"/>
        <v>0</v>
      </c>
      <c r="F50" s="623">
        <f t="shared" si="2"/>
        <v>0</v>
      </c>
      <c r="G50" s="623">
        <f t="shared" si="2"/>
        <v>0</v>
      </c>
      <c r="H50" s="623">
        <f t="shared" si="2"/>
        <v>0</v>
      </c>
      <c r="I50" s="624">
        <f t="shared" si="2"/>
        <v>0</v>
      </c>
      <c r="J50" s="581"/>
      <c r="K50" s="581"/>
      <c r="L50" s="619"/>
      <c r="M50" s="619"/>
      <c r="N50" s="619"/>
      <c r="O50" s="606"/>
      <c r="P50" s="606"/>
    </row>
    <row r="51" spans="1:16" ht="15.75" thickBot="1">
      <c r="A51" s="625" t="s">
        <v>275</v>
      </c>
      <c r="B51" s="626">
        <f t="shared" ref="B51:I51" si="3">$B$47*P31</f>
        <v>11609.243697478991</v>
      </c>
      <c r="C51" s="626">
        <f t="shared" si="3"/>
        <v>0</v>
      </c>
      <c r="D51" s="626">
        <f t="shared" si="3"/>
        <v>0</v>
      </c>
      <c r="E51" s="626">
        <f t="shared" si="3"/>
        <v>0</v>
      </c>
      <c r="F51" s="626">
        <f t="shared" si="3"/>
        <v>0</v>
      </c>
      <c r="G51" s="626">
        <f t="shared" si="3"/>
        <v>0</v>
      </c>
      <c r="H51" s="626">
        <f t="shared" si="3"/>
        <v>0</v>
      </c>
      <c r="I51" s="627">
        <f t="shared" si="3"/>
        <v>0</v>
      </c>
      <c r="J51" s="581"/>
      <c r="K51" s="581"/>
      <c r="L51" s="619"/>
      <c r="M51" s="619"/>
      <c r="N51" s="619"/>
      <c r="O51" s="606"/>
      <c r="P51" s="606"/>
    </row>
    <row r="52" spans="1:16">
      <c r="J52" s="561"/>
      <c r="K52" s="561"/>
      <c r="L52" s="561"/>
      <c r="M52" s="561"/>
      <c r="N52" s="561"/>
    </row>
    <row r="53" spans="1:16">
      <c r="J53" s="561"/>
      <c r="K53" s="561"/>
      <c r="L53" s="561"/>
      <c r="M53" s="561"/>
      <c r="N53"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167663.32342300002</v>
      </c>
      <c r="D10" s="642">
        <f ca="1">tertiair!C16</f>
        <v>225</v>
      </c>
      <c r="E10" s="642">
        <f ca="1">tertiair!D16</f>
        <v>141369.413849253</v>
      </c>
      <c r="F10" s="642">
        <f>tertiair!E16</f>
        <v>464.28439189642478</v>
      </c>
      <c r="G10" s="642">
        <f ca="1">tertiair!F16</f>
        <v>31098.587510457932</v>
      </c>
      <c r="H10" s="642">
        <f>tertiair!G16</f>
        <v>0</v>
      </c>
      <c r="I10" s="642">
        <f>tertiair!H16</f>
        <v>0</v>
      </c>
      <c r="J10" s="642">
        <f>tertiair!I16</f>
        <v>0</v>
      </c>
      <c r="K10" s="642">
        <f>tertiair!J16</f>
        <v>0.18536083380652102</v>
      </c>
      <c r="L10" s="642">
        <f>tertiair!K16</f>
        <v>0</v>
      </c>
      <c r="M10" s="642">
        <f ca="1">tertiair!L16</f>
        <v>0</v>
      </c>
      <c r="N10" s="642">
        <f>tertiair!M16</f>
        <v>0</v>
      </c>
      <c r="O10" s="642">
        <f ca="1">tertiair!N16</f>
        <v>2044.4692758256851</v>
      </c>
      <c r="P10" s="642">
        <f>tertiair!O16</f>
        <v>24.486303829205774</v>
      </c>
      <c r="Q10" s="643">
        <f>tertiair!P16</f>
        <v>367.77396814546512</v>
      </c>
      <c r="R10" s="645">
        <f ca="1">SUM(C10:Q10)</f>
        <v>343257.52408324159</v>
      </c>
      <c r="S10" s="67"/>
    </row>
    <row r="11" spans="1:19" s="441" customFormat="1">
      <c r="A11" s="762" t="s">
        <v>214</v>
      </c>
      <c r="B11" s="767"/>
      <c r="C11" s="642">
        <f>huishoudens!B8</f>
        <v>117408.53928390898</v>
      </c>
      <c r="D11" s="642">
        <f>huishoudens!C8</f>
        <v>0</v>
      </c>
      <c r="E11" s="642">
        <f>huishoudens!D8</f>
        <v>183352.8773415981</v>
      </c>
      <c r="F11" s="642">
        <f>huishoudens!E8</f>
        <v>10196.360399832194</v>
      </c>
      <c r="G11" s="642">
        <f>huishoudens!F8</f>
        <v>167094.71098756054</v>
      </c>
      <c r="H11" s="642">
        <f>huishoudens!G8</f>
        <v>0</v>
      </c>
      <c r="I11" s="642">
        <f>huishoudens!H8</f>
        <v>0</v>
      </c>
      <c r="J11" s="642">
        <f>huishoudens!I8</f>
        <v>0</v>
      </c>
      <c r="K11" s="642">
        <f>huishoudens!J8</f>
        <v>922.27905996577044</v>
      </c>
      <c r="L11" s="642">
        <f>huishoudens!K8</f>
        <v>0</v>
      </c>
      <c r="M11" s="642">
        <f>huishoudens!L8</f>
        <v>0</v>
      </c>
      <c r="N11" s="642">
        <f>huishoudens!M8</f>
        <v>0</v>
      </c>
      <c r="O11" s="642">
        <f>huishoudens!N8</f>
        <v>38193.469778196813</v>
      </c>
      <c r="P11" s="642">
        <f>huishoudens!O8</f>
        <v>2009.7496762390633</v>
      </c>
      <c r="Q11" s="643">
        <f>huishoudens!P8</f>
        <v>1990.9183091524694</v>
      </c>
      <c r="R11" s="645">
        <f>SUM(C11:Q11)</f>
        <v>521168.90483645385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232091.99580999999</v>
      </c>
      <c r="D13" s="642">
        <f>industrie!C18</f>
        <v>9642.8571428571431</v>
      </c>
      <c r="E13" s="642">
        <f>industrie!D18</f>
        <v>59320.448679559719</v>
      </c>
      <c r="F13" s="642">
        <f>industrie!E18</f>
        <v>10124.672668825089</v>
      </c>
      <c r="G13" s="642">
        <f>industrie!F18</f>
        <v>71146.215771420757</v>
      </c>
      <c r="H13" s="642">
        <f>industrie!G18</f>
        <v>0</v>
      </c>
      <c r="I13" s="642">
        <f>industrie!H18</f>
        <v>0</v>
      </c>
      <c r="J13" s="642">
        <f>industrie!I18</f>
        <v>0</v>
      </c>
      <c r="K13" s="642">
        <f>industrie!J18</f>
        <v>41.214902326291195</v>
      </c>
      <c r="L13" s="642">
        <f>industrie!K18</f>
        <v>0</v>
      </c>
      <c r="M13" s="642">
        <f>industrie!L18</f>
        <v>0</v>
      </c>
      <c r="N13" s="642">
        <f>industrie!M18</f>
        <v>0</v>
      </c>
      <c r="O13" s="642">
        <f>industrie!N18</f>
        <v>3561.8239659726128</v>
      </c>
      <c r="P13" s="642">
        <f>industrie!O18</f>
        <v>0</v>
      </c>
      <c r="Q13" s="643">
        <f>industrie!P18</f>
        <v>0</v>
      </c>
      <c r="R13" s="645">
        <f>SUM(C13:Q13)</f>
        <v>385929.22894096159</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517163.85851690901</v>
      </c>
      <c r="D16" s="678">
        <f t="shared" ref="D16:R16" ca="1" si="0">SUM(D9:D15)</f>
        <v>9867.8571428571431</v>
      </c>
      <c r="E16" s="678">
        <f t="shared" ca="1" si="0"/>
        <v>384042.73987041088</v>
      </c>
      <c r="F16" s="678">
        <f t="shared" si="0"/>
        <v>20785.317460553706</v>
      </c>
      <c r="G16" s="678">
        <f t="shared" ca="1" si="0"/>
        <v>269339.51426943921</v>
      </c>
      <c r="H16" s="678">
        <f t="shared" si="0"/>
        <v>0</v>
      </c>
      <c r="I16" s="678">
        <f t="shared" si="0"/>
        <v>0</v>
      </c>
      <c r="J16" s="678">
        <f t="shared" si="0"/>
        <v>0</v>
      </c>
      <c r="K16" s="678">
        <f t="shared" si="0"/>
        <v>963.67932312586811</v>
      </c>
      <c r="L16" s="678">
        <f t="shared" si="0"/>
        <v>0</v>
      </c>
      <c r="M16" s="678">
        <f t="shared" ca="1" si="0"/>
        <v>0</v>
      </c>
      <c r="N16" s="678">
        <f t="shared" si="0"/>
        <v>0</v>
      </c>
      <c r="O16" s="678">
        <f t="shared" ca="1" si="0"/>
        <v>43799.763019995109</v>
      </c>
      <c r="P16" s="678">
        <f t="shared" si="0"/>
        <v>2034.2359800682691</v>
      </c>
      <c r="Q16" s="678">
        <f t="shared" si="0"/>
        <v>2358.6922772979347</v>
      </c>
      <c r="R16" s="678">
        <f t="shared" ca="1" si="0"/>
        <v>1250355.657860657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190.29411752225818</v>
      </c>
      <c r="D19" s="642">
        <f>transport!C54</f>
        <v>0</v>
      </c>
      <c r="E19" s="642">
        <f>transport!D54</f>
        <v>0</v>
      </c>
      <c r="F19" s="642">
        <f>transport!E54</f>
        <v>0</v>
      </c>
      <c r="G19" s="642">
        <f>transport!F54</f>
        <v>0</v>
      </c>
      <c r="H19" s="642">
        <f>transport!G54</f>
        <v>13582.851263453938</v>
      </c>
      <c r="I19" s="642">
        <f>transport!H54</f>
        <v>0</v>
      </c>
      <c r="J19" s="642">
        <f>transport!I54</f>
        <v>0</v>
      </c>
      <c r="K19" s="642">
        <f>transport!J54</f>
        <v>0</v>
      </c>
      <c r="L19" s="642">
        <f>transport!K54</f>
        <v>0</v>
      </c>
      <c r="M19" s="642">
        <f>transport!L54</f>
        <v>0</v>
      </c>
      <c r="N19" s="642">
        <f>transport!M54</f>
        <v>750.02594766535378</v>
      </c>
      <c r="O19" s="642">
        <f>transport!N54</f>
        <v>0</v>
      </c>
      <c r="P19" s="642">
        <f>transport!O54</f>
        <v>0</v>
      </c>
      <c r="Q19" s="643">
        <f>transport!P54</f>
        <v>0</v>
      </c>
      <c r="R19" s="645">
        <f>SUM(C19:Q19)</f>
        <v>14523.171328641551</v>
      </c>
      <c r="S19" s="67"/>
    </row>
    <row r="20" spans="1:19" s="441" customFormat="1">
      <c r="A20" s="762" t="s">
        <v>296</v>
      </c>
      <c r="B20" s="767"/>
      <c r="C20" s="642">
        <f>transport!B14</f>
        <v>616.72891338819727</v>
      </c>
      <c r="D20" s="642">
        <f>transport!C14</f>
        <v>0</v>
      </c>
      <c r="E20" s="642">
        <f>transport!D14</f>
        <v>1023.3133966288993</v>
      </c>
      <c r="F20" s="642">
        <f>transport!E14</f>
        <v>608.76756784756378</v>
      </c>
      <c r="G20" s="642">
        <f>transport!F14</f>
        <v>0</v>
      </c>
      <c r="H20" s="642">
        <f>transport!G14</f>
        <v>278115.82774081652</v>
      </c>
      <c r="I20" s="642">
        <f>transport!H14</f>
        <v>68729.527178622069</v>
      </c>
      <c r="J20" s="642">
        <f>transport!I14</f>
        <v>0</v>
      </c>
      <c r="K20" s="642">
        <f>transport!J14</f>
        <v>0</v>
      </c>
      <c r="L20" s="642">
        <f>transport!K14</f>
        <v>0</v>
      </c>
      <c r="M20" s="642">
        <f>transport!L14</f>
        <v>0</v>
      </c>
      <c r="N20" s="642">
        <f>transport!M14</f>
        <v>20436.141703691872</v>
      </c>
      <c r="O20" s="642">
        <f>transport!N14</f>
        <v>0</v>
      </c>
      <c r="P20" s="642">
        <f>transport!O14</f>
        <v>0</v>
      </c>
      <c r="Q20" s="643">
        <f>transport!P14</f>
        <v>0</v>
      </c>
      <c r="R20" s="645">
        <f>SUM(C20:Q20)</f>
        <v>369530.30650099512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807.02303091045542</v>
      </c>
      <c r="D22" s="765">
        <f t="shared" ref="D22:R22" si="1">SUM(D18:D21)</f>
        <v>0</v>
      </c>
      <c r="E22" s="765">
        <f t="shared" si="1"/>
        <v>1023.3133966288993</v>
      </c>
      <c r="F22" s="765">
        <f t="shared" si="1"/>
        <v>608.76756784756378</v>
      </c>
      <c r="G22" s="765">
        <f t="shared" si="1"/>
        <v>0</v>
      </c>
      <c r="H22" s="765">
        <f t="shared" si="1"/>
        <v>291698.67900427047</v>
      </c>
      <c r="I22" s="765">
        <f t="shared" si="1"/>
        <v>68729.527178622069</v>
      </c>
      <c r="J22" s="765">
        <f t="shared" si="1"/>
        <v>0</v>
      </c>
      <c r="K22" s="765">
        <f t="shared" si="1"/>
        <v>0</v>
      </c>
      <c r="L22" s="765">
        <f t="shared" si="1"/>
        <v>0</v>
      </c>
      <c r="M22" s="765">
        <f t="shared" si="1"/>
        <v>0</v>
      </c>
      <c r="N22" s="765">
        <f t="shared" si="1"/>
        <v>21186.167651357227</v>
      </c>
      <c r="O22" s="765">
        <f t="shared" si="1"/>
        <v>0</v>
      </c>
      <c r="P22" s="765">
        <f t="shared" si="1"/>
        <v>0</v>
      </c>
      <c r="Q22" s="765">
        <f t="shared" si="1"/>
        <v>0</v>
      </c>
      <c r="R22" s="765">
        <f t="shared" si="1"/>
        <v>384053.47782963666</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276.57223599999998</v>
      </c>
      <c r="D24" s="642">
        <f>+landbouw!C8</f>
        <v>0</v>
      </c>
      <c r="E24" s="642">
        <f>+landbouw!D8</f>
        <v>278.30453317799999</v>
      </c>
      <c r="F24" s="642">
        <f>+landbouw!E8</f>
        <v>8.154131422901111</v>
      </c>
      <c r="G24" s="642">
        <f>+landbouw!F8</f>
        <v>879.04485678141145</v>
      </c>
      <c r="H24" s="642">
        <f>+landbouw!G8</f>
        <v>0</v>
      </c>
      <c r="I24" s="642">
        <f>+landbouw!H8</f>
        <v>0</v>
      </c>
      <c r="J24" s="642">
        <f>+landbouw!I8</f>
        <v>0</v>
      </c>
      <c r="K24" s="642">
        <f>+landbouw!J8</f>
        <v>69.749819559228669</v>
      </c>
      <c r="L24" s="642">
        <f>+landbouw!K8</f>
        <v>0</v>
      </c>
      <c r="M24" s="642">
        <f>+landbouw!L8</f>
        <v>0</v>
      </c>
      <c r="N24" s="642">
        <f>+landbouw!M8</f>
        <v>0</v>
      </c>
      <c r="O24" s="642">
        <f>+landbouw!N8</f>
        <v>0</v>
      </c>
      <c r="P24" s="642">
        <f>+landbouw!O8</f>
        <v>0</v>
      </c>
      <c r="Q24" s="643">
        <f>+landbouw!P8</f>
        <v>0</v>
      </c>
      <c r="R24" s="645">
        <f>SUM(C24:Q24)</f>
        <v>1511.8255769415412</v>
      </c>
      <c r="S24" s="67"/>
    </row>
    <row r="25" spans="1:19" s="441" customFormat="1" ht="15" thickBot="1">
      <c r="A25" s="784" t="s">
        <v>672</v>
      </c>
      <c r="B25" s="895"/>
      <c r="C25" s="896">
        <f>IF(Onbekend_ele_kWh="---",0,Onbekend_ele_kWh)/1000+IF(REST_rest_ele_kWh="---",0,REST_rest_ele_kWh)/1000</f>
        <v>7217.5099179999997</v>
      </c>
      <c r="D25" s="896"/>
      <c r="E25" s="896">
        <f>IF(onbekend_gas_kWh="---",0,onbekend_gas_kWh)/1000+IF(REST_rest_gas_kWh="---",0,REST_rest_gas_kWh)/1000</f>
        <v>9458.119863000009</v>
      </c>
      <c r="F25" s="896"/>
      <c r="G25" s="896"/>
      <c r="H25" s="896"/>
      <c r="I25" s="896"/>
      <c r="J25" s="896"/>
      <c r="K25" s="896"/>
      <c r="L25" s="896"/>
      <c r="M25" s="896"/>
      <c r="N25" s="896"/>
      <c r="O25" s="896"/>
      <c r="P25" s="896"/>
      <c r="Q25" s="897"/>
      <c r="R25" s="645">
        <f>SUM(C25:Q25)</f>
        <v>16675.629781000011</v>
      </c>
      <c r="S25" s="67"/>
    </row>
    <row r="26" spans="1:19" s="441" customFormat="1" ht="15.75" thickBot="1">
      <c r="A26" s="650" t="s">
        <v>673</v>
      </c>
      <c r="B26" s="770"/>
      <c r="C26" s="765">
        <f>SUM(C24:C25)</f>
        <v>7494.0821539999997</v>
      </c>
      <c r="D26" s="765">
        <f t="shared" ref="D26:R26" si="2">SUM(D24:D25)</f>
        <v>0</v>
      </c>
      <c r="E26" s="765">
        <f t="shared" si="2"/>
        <v>9736.4243961780085</v>
      </c>
      <c r="F26" s="765">
        <f t="shared" si="2"/>
        <v>8.154131422901111</v>
      </c>
      <c r="G26" s="765">
        <f t="shared" si="2"/>
        <v>879.04485678141145</v>
      </c>
      <c r="H26" s="765">
        <f t="shared" si="2"/>
        <v>0</v>
      </c>
      <c r="I26" s="765">
        <f t="shared" si="2"/>
        <v>0</v>
      </c>
      <c r="J26" s="765">
        <f t="shared" si="2"/>
        <v>0</v>
      </c>
      <c r="K26" s="765">
        <f t="shared" si="2"/>
        <v>69.749819559228669</v>
      </c>
      <c r="L26" s="765">
        <f t="shared" si="2"/>
        <v>0</v>
      </c>
      <c r="M26" s="765">
        <f t="shared" si="2"/>
        <v>0</v>
      </c>
      <c r="N26" s="765">
        <f t="shared" si="2"/>
        <v>0</v>
      </c>
      <c r="O26" s="765">
        <f t="shared" si="2"/>
        <v>0</v>
      </c>
      <c r="P26" s="765">
        <f t="shared" si="2"/>
        <v>0</v>
      </c>
      <c r="Q26" s="765">
        <f t="shared" si="2"/>
        <v>0</v>
      </c>
      <c r="R26" s="765">
        <f t="shared" si="2"/>
        <v>18187.455357941551</v>
      </c>
      <c r="S26" s="67"/>
    </row>
    <row r="27" spans="1:19" s="441" customFormat="1" ht="17.25" thickTop="1" thickBot="1">
      <c r="A27" s="651" t="s">
        <v>109</v>
      </c>
      <c r="B27" s="757"/>
      <c r="C27" s="652">
        <f ca="1">C22+C16+C26</f>
        <v>525464.96370181942</v>
      </c>
      <c r="D27" s="652">
        <f t="shared" ref="D27:R27" ca="1" si="3">D22+D16+D26</f>
        <v>9867.8571428571431</v>
      </c>
      <c r="E27" s="652">
        <f t="shared" ca="1" si="3"/>
        <v>394802.47766321775</v>
      </c>
      <c r="F27" s="652">
        <f t="shared" si="3"/>
        <v>21402.23915982417</v>
      </c>
      <c r="G27" s="652">
        <f t="shared" ca="1" si="3"/>
        <v>270218.55912622064</v>
      </c>
      <c r="H27" s="652">
        <f t="shared" si="3"/>
        <v>291698.67900427047</v>
      </c>
      <c r="I27" s="652">
        <f t="shared" si="3"/>
        <v>68729.527178622069</v>
      </c>
      <c r="J27" s="652">
        <f t="shared" si="3"/>
        <v>0</v>
      </c>
      <c r="K27" s="652">
        <f t="shared" si="3"/>
        <v>1033.4291426850968</v>
      </c>
      <c r="L27" s="652">
        <f t="shared" si="3"/>
        <v>0</v>
      </c>
      <c r="M27" s="652">
        <f t="shared" ca="1" si="3"/>
        <v>0</v>
      </c>
      <c r="N27" s="652">
        <f t="shared" si="3"/>
        <v>21186.167651357227</v>
      </c>
      <c r="O27" s="652">
        <f t="shared" ca="1" si="3"/>
        <v>43799.763019995109</v>
      </c>
      <c r="P27" s="652">
        <f t="shared" si="3"/>
        <v>2034.2359800682691</v>
      </c>
      <c r="Q27" s="652">
        <f t="shared" si="3"/>
        <v>2358.6922772979347</v>
      </c>
      <c r="R27" s="652">
        <f t="shared" ca="1" si="3"/>
        <v>1652596.5910482353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28869.439781901881</v>
      </c>
      <c r="D40" s="642">
        <f ca="1">tertiair!C20</f>
        <v>53.470588235294123</v>
      </c>
      <c r="E40" s="642">
        <f ca="1">tertiair!D20</f>
        <v>28556.621597549107</v>
      </c>
      <c r="F40" s="642">
        <f>tertiair!E20</f>
        <v>105.39255696048843</v>
      </c>
      <c r="G40" s="642">
        <f ca="1">tertiair!F20</f>
        <v>8303.322865292268</v>
      </c>
      <c r="H40" s="642">
        <f>tertiair!G20</f>
        <v>0</v>
      </c>
      <c r="I40" s="642">
        <f>tertiair!H20</f>
        <v>0</v>
      </c>
      <c r="J40" s="642">
        <f>tertiair!I20</f>
        <v>0</v>
      </c>
      <c r="K40" s="642">
        <f>tertiair!J20</f>
        <v>6.5617735167508434E-2</v>
      </c>
      <c r="L40" s="642">
        <f>tertiair!K20</f>
        <v>0</v>
      </c>
      <c r="M40" s="642">
        <f ca="1">tertiair!L20</f>
        <v>0</v>
      </c>
      <c r="N40" s="642">
        <f>tertiair!M20</f>
        <v>0</v>
      </c>
      <c r="O40" s="642">
        <f ca="1">tertiair!N20</f>
        <v>0</v>
      </c>
      <c r="P40" s="642">
        <f>tertiair!O20</f>
        <v>0</v>
      </c>
      <c r="Q40" s="725">
        <f>tertiair!P20</f>
        <v>0</v>
      </c>
      <c r="R40" s="803">
        <f t="shared" ca="1" si="4"/>
        <v>65888.313007674209</v>
      </c>
    </row>
    <row r="41" spans="1:18">
      <c r="A41" s="775" t="s">
        <v>214</v>
      </c>
      <c r="B41" s="782"/>
      <c r="C41" s="642">
        <f ca="1">huishoudens!B12</f>
        <v>20216.220730555422</v>
      </c>
      <c r="D41" s="642">
        <f ca="1">huishoudens!C12</f>
        <v>0</v>
      </c>
      <c r="E41" s="642">
        <f>huishoudens!D12</f>
        <v>37037.281223002821</v>
      </c>
      <c r="F41" s="642">
        <f>huishoudens!E12</f>
        <v>2314.5738107619081</v>
      </c>
      <c r="G41" s="642">
        <f>huishoudens!F12</f>
        <v>44614.287833678667</v>
      </c>
      <c r="H41" s="642">
        <f>huishoudens!G12</f>
        <v>0</v>
      </c>
      <c r="I41" s="642">
        <f>huishoudens!H12</f>
        <v>0</v>
      </c>
      <c r="J41" s="642">
        <f>huishoudens!I12</f>
        <v>0</v>
      </c>
      <c r="K41" s="642">
        <f>huishoudens!J12</f>
        <v>326.4867872278827</v>
      </c>
      <c r="L41" s="642">
        <f>huishoudens!K12</f>
        <v>0</v>
      </c>
      <c r="M41" s="642">
        <f>huishoudens!L12</f>
        <v>0</v>
      </c>
      <c r="N41" s="642">
        <f>huishoudens!M12</f>
        <v>0</v>
      </c>
      <c r="O41" s="642">
        <f>huishoudens!N12</f>
        <v>0</v>
      </c>
      <c r="P41" s="642">
        <f>huishoudens!O12</f>
        <v>0</v>
      </c>
      <c r="Q41" s="725">
        <f>huishoudens!P12</f>
        <v>0</v>
      </c>
      <c r="R41" s="803">
        <f t="shared" ca="1" si="4"/>
        <v>104508.8503852267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39963.217715742023</v>
      </c>
      <c r="D43" s="642">
        <f ca="1">industrie!C22</f>
        <v>2291.5966386554624</v>
      </c>
      <c r="E43" s="642">
        <f>industrie!D22</f>
        <v>11982.730633271063</v>
      </c>
      <c r="F43" s="642">
        <f>industrie!E22</f>
        <v>2298.3006958232954</v>
      </c>
      <c r="G43" s="642">
        <f>industrie!F22</f>
        <v>18996.039610969343</v>
      </c>
      <c r="H43" s="642">
        <f>industrie!G22</f>
        <v>0</v>
      </c>
      <c r="I43" s="642">
        <f>industrie!H22</f>
        <v>0</v>
      </c>
      <c r="J43" s="642">
        <f>industrie!I22</f>
        <v>0</v>
      </c>
      <c r="K43" s="642">
        <f>industrie!J22</f>
        <v>14.590075423507082</v>
      </c>
      <c r="L43" s="642">
        <f>industrie!K22</f>
        <v>0</v>
      </c>
      <c r="M43" s="642">
        <f>industrie!L22</f>
        <v>0</v>
      </c>
      <c r="N43" s="642">
        <f>industrie!M22</f>
        <v>0</v>
      </c>
      <c r="O43" s="642">
        <f>industrie!N22</f>
        <v>0</v>
      </c>
      <c r="P43" s="642">
        <f>industrie!O22</f>
        <v>0</v>
      </c>
      <c r="Q43" s="725">
        <f>industrie!P22</f>
        <v>0</v>
      </c>
      <c r="R43" s="802">
        <f t="shared" ca="1" si="4"/>
        <v>75546.475369884691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89048.878228199319</v>
      </c>
      <c r="D46" s="678">
        <f t="shared" ref="D46:Q46" ca="1" si="5">SUM(D39:D45)</f>
        <v>2345.0672268907565</v>
      </c>
      <c r="E46" s="678">
        <f t="shared" ca="1" si="5"/>
        <v>77576.633453822986</v>
      </c>
      <c r="F46" s="678">
        <f t="shared" si="5"/>
        <v>4718.2670635456925</v>
      </c>
      <c r="G46" s="678">
        <f t="shared" ca="1" si="5"/>
        <v>71913.650309940276</v>
      </c>
      <c r="H46" s="678">
        <f t="shared" si="5"/>
        <v>0</v>
      </c>
      <c r="I46" s="678">
        <f t="shared" si="5"/>
        <v>0</v>
      </c>
      <c r="J46" s="678">
        <f t="shared" si="5"/>
        <v>0</v>
      </c>
      <c r="K46" s="678">
        <f t="shared" si="5"/>
        <v>341.14248038655728</v>
      </c>
      <c r="L46" s="678">
        <f t="shared" si="5"/>
        <v>0</v>
      </c>
      <c r="M46" s="678">
        <f t="shared" ca="1" si="5"/>
        <v>0</v>
      </c>
      <c r="N46" s="678">
        <f t="shared" si="5"/>
        <v>0</v>
      </c>
      <c r="O46" s="678">
        <f t="shared" ca="1" si="5"/>
        <v>0</v>
      </c>
      <c r="P46" s="678">
        <f t="shared" si="5"/>
        <v>0</v>
      </c>
      <c r="Q46" s="678">
        <f t="shared" si="5"/>
        <v>0</v>
      </c>
      <c r="R46" s="678">
        <f ca="1">SUM(R39:R45)</f>
        <v>245943.63876278559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32.766167665655196</v>
      </c>
      <c r="D49" s="642">
        <f ca="1">transport!C58</f>
        <v>0</v>
      </c>
      <c r="E49" s="642">
        <f>transport!D58</f>
        <v>0</v>
      </c>
      <c r="F49" s="642">
        <f>transport!E58</f>
        <v>0</v>
      </c>
      <c r="G49" s="642">
        <f>transport!F58</f>
        <v>0</v>
      </c>
      <c r="H49" s="642">
        <f>transport!G58</f>
        <v>3626.6212873422019</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3659.3874550078572</v>
      </c>
    </row>
    <row r="50" spans="1:18">
      <c r="A50" s="778" t="s">
        <v>296</v>
      </c>
      <c r="B50" s="788"/>
      <c r="C50" s="648">
        <f ca="1">transport!B18</f>
        <v>106.19268342843733</v>
      </c>
      <c r="D50" s="648">
        <f>transport!C18</f>
        <v>0</v>
      </c>
      <c r="E50" s="648">
        <f>transport!D18</f>
        <v>206.70930611903768</v>
      </c>
      <c r="F50" s="648">
        <f>transport!E18</f>
        <v>138.19023790139698</v>
      </c>
      <c r="G50" s="648">
        <f>transport!F18</f>
        <v>0</v>
      </c>
      <c r="H50" s="648">
        <f>transport!G18</f>
        <v>74256.926006798007</v>
      </c>
      <c r="I50" s="648">
        <f>transport!H18</f>
        <v>17113.652267476897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91821.670501723769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138.95885109409252</v>
      </c>
      <c r="D52" s="678">
        <f t="shared" ref="D52:Q52" ca="1" si="6">SUM(D48:D51)</f>
        <v>0</v>
      </c>
      <c r="E52" s="678">
        <f t="shared" si="6"/>
        <v>206.70930611903768</v>
      </c>
      <c r="F52" s="678">
        <f t="shared" si="6"/>
        <v>138.19023790139698</v>
      </c>
      <c r="G52" s="678">
        <f t="shared" si="6"/>
        <v>0</v>
      </c>
      <c r="H52" s="678">
        <f t="shared" si="6"/>
        <v>77883.547294140211</v>
      </c>
      <c r="I52" s="678">
        <f t="shared" si="6"/>
        <v>17113.652267476897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95481.057956731631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47.622135536486958</v>
      </c>
      <c r="D54" s="648">
        <f ca="1">+landbouw!C12</f>
        <v>0</v>
      </c>
      <c r="E54" s="648">
        <f>+landbouw!D12</f>
        <v>56.217515701956003</v>
      </c>
      <c r="F54" s="648">
        <f>+landbouw!E12</f>
        <v>1.8509878329985523</v>
      </c>
      <c r="G54" s="648">
        <f>+landbouw!F12</f>
        <v>234.70497676063687</v>
      </c>
      <c r="H54" s="648">
        <f>+landbouw!G12</f>
        <v>0</v>
      </c>
      <c r="I54" s="648">
        <f>+landbouw!H12</f>
        <v>0</v>
      </c>
      <c r="J54" s="648">
        <f>+landbouw!I12</f>
        <v>0</v>
      </c>
      <c r="K54" s="648">
        <f>+landbouw!J12</f>
        <v>24.691436123966948</v>
      </c>
      <c r="L54" s="648">
        <f>+landbouw!K12</f>
        <v>0</v>
      </c>
      <c r="M54" s="648">
        <f>+landbouw!L12</f>
        <v>0</v>
      </c>
      <c r="N54" s="648">
        <f>+landbouw!M12</f>
        <v>0</v>
      </c>
      <c r="O54" s="648">
        <f>+landbouw!N12</f>
        <v>0</v>
      </c>
      <c r="P54" s="648">
        <f>+landbouw!O12</f>
        <v>0</v>
      </c>
      <c r="Q54" s="649">
        <f>+landbouw!P12</f>
        <v>0</v>
      </c>
      <c r="R54" s="677">
        <f ca="1">SUM(C54:Q54)</f>
        <v>365.08705195604534</v>
      </c>
    </row>
    <row r="55" spans="1:18" ht="15" thickBot="1">
      <c r="A55" s="778" t="s">
        <v>672</v>
      </c>
      <c r="B55" s="788"/>
      <c r="C55" s="648">
        <f ca="1">C25*'EF ele_warmte'!B12</f>
        <v>1242.7611698194278</v>
      </c>
      <c r="D55" s="648"/>
      <c r="E55" s="648">
        <f>E25*EF_CO2_aardgas</f>
        <v>1910.5402123260019</v>
      </c>
      <c r="F55" s="648"/>
      <c r="G55" s="648"/>
      <c r="H55" s="648"/>
      <c r="I55" s="648"/>
      <c r="J55" s="648"/>
      <c r="K55" s="648"/>
      <c r="L55" s="648"/>
      <c r="M55" s="648"/>
      <c r="N55" s="648"/>
      <c r="O55" s="648"/>
      <c r="P55" s="648"/>
      <c r="Q55" s="649"/>
      <c r="R55" s="677">
        <f ca="1">SUM(C55:Q55)</f>
        <v>3153.3013821454297</v>
      </c>
    </row>
    <row r="56" spans="1:18" ht="15.75" thickBot="1">
      <c r="A56" s="776" t="s">
        <v>673</v>
      </c>
      <c r="B56" s="789"/>
      <c r="C56" s="678">
        <f ca="1">SUM(C54:C55)</f>
        <v>1290.3833053559147</v>
      </c>
      <c r="D56" s="678">
        <f t="shared" ref="D56:Q56" ca="1" si="7">SUM(D54:D55)</f>
        <v>0</v>
      </c>
      <c r="E56" s="678">
        <f t="shared" si="7"/>
        <v>1966.7577280279579</v>
      </c>
      <c r="F56" s="678">
        <f t="shared" si="7"/>
        <v>1.8509878329985523</v>
      </c>
      <c r="G56" s="678">
        <f t="shared" si="7"/>
        <v>234.70497676063687</v>
      </c>
      <c r="H56" s="678">
        <f t="shared" si="7"/>
        <v>0</v>
      </c>
      <c r="I56" s="678">
        <f t="shared" si="7"/>
        <v>0</v>
      </c>
      <c r="J56" s="678">
        <f t="shared" si="7"/>
        <v>0</v>
      </c>
      <c r="K56" s="678">
        <f t="shared" si="7"/>
        <v>24.691436123966948</v>
      </c>
      <c r="L56" s="678">
        <f t="shared" si="7"/>
        <v>0</v>
      </c>
      <c r="M56" s="678">
        <f t="shared" si="7"/>
        <v>0</v>
      </c>
      <c r="N56" s="678">
        <f t="shared" si="7"/>
        <v>0</v>
      </c>
      <c r="O56" s="678">
        <f t="shared" si="7"/>
        <v>0</v>
      </c>
      <c r="P56" s="678">
        <f t="shared" si="7"/>
        <v>0</v>
      </c>
      <c r="Q56" s="679">
        <f t="shared" si="7"/>
        <v>0</v>
      </c>
      <c r="R56" s="680">
        <f ca="1">SUM(R54:R55)</f>
        <v>3518.388434101475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90478.220384649336</v>
      </c>
      <c r="D61" s="686">
        <f t="shared" ref="D61:Q61" ca="1" si="8">D46+D52+D56</f>
        <v>2345.0672268907565</v>
      </c>
      <c r="E61" s="686">
        <f t="shared" ca="1" si="8"/>
        <v>79750.100487969976</v>
      </c>
      <c r="F61" s="686">
        <f t="shared" si="8"/>
        <v>4858.3082892800885</v>
      </c>
      <c r="G61" s="686">
        <f t="shared" ca="1" si="8"/>
        <v>72148.355286700913</v>
      </c>
      <c r="H61" s="686">
        <f t="shared" si="8"/>
        <v>77883.547294140211</v>
      </c>
      <c r="I61" s="686">
        <f t="shared" si="8"/>
        <v>17113.652267476897</v>
      </c>
      <c r="J61" s="686">
        <f t="shared" si="8"/>
        <v>0</v>
      </c>
      <c r="K61" s="686">
        <f t="shared" si="8"/>
        <v>365.8339165105242</v>
      </c>
      <c r="L61" s="686">
        <f t="shared" si="8"/>
        <v>0</v>
      </c>
      <c r="M61" s="686">
        <f t="shared" ca="1" si="8"/>
        <v>0</v>
      </c>
      <c r="N61" s="686">
        <f t="shared" si="8"/>
        <v>0</v>
      </c>
      <c r="O61" s="686">
        <f t="shared" ca="1" si="8"/>
        <v>0</v>
      </c>
      <c r="P61" s="686">
        <f t="shared" si="8"/>
        <v>0</v>
      </c>
      <c r="Q61" s="686">
        <f t="shared" si="8"/>
        <v>0</v>
      </c>
      <c r="R61" s="686">
        <f ca="1">R46+R52+R56</f>
        <v>344943.08515361871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0.17218697084434376</v>
      </c>
      <c r="D63" s="732">
        <f t="shared" ca="1" si="9"/>
        <v>0.23764705882352943</v>
      </c>
      <c r="E63" s="921">
        <f t="shared" ca="1" si="9"/>
        <v>0.20199999999999999</v>
      </c>
      <c r="F63" s="732">
        <f t="shared" si="9"/>
        <v>0.22700000000000009</v>
      </c>
      <c r="G63" s="732">
        <f t="shared" ca="1" si="9"/>
        <v>0.26700000000000002</v>
      </c>
      <c r="H63" s="732">
        <f t="shared" si="9"/>
        <v>0.26700000000000002</v>
      </c>
      <c r="I63" s="732">
        <f t="shared" si="9"/>
        <v>0.24900000000000003</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75442.187201111941</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39519.379098780759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6907.5</v>
      </c>
      <c r="D76" s="904">
        <f>'lokale energieproductie'!C8</f>
        <v>8126.4705882352928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1641.5470588235291</v>
      </c>
      <c r="R76" s="805">
        <v>0</v>
      </c>
    </row>
    <row r="77" spans="1:18" ht="15.75" thickBot="1">
      <c r="A77" s="702" t="s">
        <v>717</v>
      </c>
      <c r="B77" s="699">
        <f>'lokale energieproductie'!B9*IFERROR(SUM(I77:O77)/SUM(D77:O77),0)</f>
        <v>1620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4628.5714285714284</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116581.5662998927</v>
      </c>
      <c r="C78" s="704">
        <f>SUM(C72:C77)</f>
        <v>6907.5</v>
      </c>
      <c r="D78" s="705">
        <f t="shared" ref="D78:H78" si="10">SUM(D76:D77)</f>
        <v>8126.4705882352928</v>
      </c>
      <c r="E78" s="705">
        <f t="shared" si="10"/>
        <v>0</v>
      </c>
      <c r="F78" s="705">
        <f t="shared" si="10"/>
        <v>0</v>
      </c>
      <c r="G78" s="705">
        <f t="shared" si="10"/>
        <v>0</v>
      </c>
      <c r="H78" s="705">
        <f t="shared" si="10"/>
        <v>0</v>
      </c>
      <c r="I78" s="705">
        <f>SUM(I76:I77)</f>
        <v>0</v>
      </c>
      <c r="J78" s="705">
        <f>SUM(J76:J77)</f>
        <v>4628.5714285714284</v>
      </c>
      <c r="K78" s="705">
        <f t="shared" ref="K78:L78" si="11">SUM(K76:K77)</f>
        <v>0</v>
      </c>
      <c r="L78" s="705">
        <f t="shared" si="11"/>
        <v>0</v>
      </c>
      <c r="M78" s="705">
        <f>SUM(M76:M77)</f>
        <v>0</v>
      </c>
      <c r="N78" s="705">
        <f>SUM(N76:N77)</f>
        <v>0</v>
      </c>
      <c r="O78" s="813">
        <f>SUM(O76:O77)</f>
        <v>0</v>
      </c>
      <c r="P78" s="706">
        <v>0</v>
      </c>
      <c r="Q78" s="706">
        <f>SUM(Q76:Q77)</f>
        <v>1641.5470588235291</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9867.8571428571431</v>
      </c>
      <c r="D87" s="728">
        <f>'lokale energieproductie'!C17</f>
        <v>11609.243697478991</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2345.0672268907565</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9867.8571428571431</v>
      </c>
      <c r="D90" s="704">
        <f t="shared" ref="D90:H90" si="12">SUM(D87:D89)</f>
        <v>11609.243697478991</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2345.0672268907565</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117408.53928390898</v>
      </c>
      <c r="C4" s="445">
        <f>huishoudens!C8</f>
        <v>0</v>
      </c>
      <c r="D4" s="445">
        <f>huishoudens!D8</f>
        <v>183352.8773415981</v>
      </c>
      <c r="E4" s="445">
        <f>huishoudens!E8</f>
        <v>10196.360399832194</v>
      </c>
      <c r="F4" s="445">
        <f>huishoudens!F8</f>
        <v>167094.71098756054</v>
      </c>
      <c r="G4" s="445">
        <f>huishoudens!G8</f>
        <v>0</v>
      </c>
      <c r="H4" s="445">
        <f>huishoudens!H8</f>
        <v>0</v>
      </c>
      <c r="I4" s="445">
        <f>huishoudens!I8</f>
        <v>0</v>
      </c>
      <c r="J4" s="445">
        <f>huishoudens!J8</f>
        <v>922.27905996577044</v>
      </c>
      <c r="K4" s="445">
        <f>huishoudens!K8</f>
        <v>0</v>
      </c>
      <c r="L4" s="445">
        <f>huishoudens!L8</f>
        <v>0</v>
      </c>
      <c r="M4" s="445">
        <f>huishoudens!M8</f>
        <v>0</v>
      </c>
      <c r="N4" s="445">
        <f>huishoudens!N8</f>
        <v>38193.469778196813</v>
      </c>
      <c r="O4" s="445">
        <f>huishoudens!O8</f>
        <v>2009.7496762390633</v>
      </c>
      <c r="P4" s="446">
        <f>huishoudens!P8</f>
        <v>1990.9183091524694</v>
      </c>
      <c r="Q4" s="447">
        <f>SUM(B4:P4)</f>
        <v>521168.90483645385</v>
      </c>
    </row>
    <row r="5" spans="1:17">
      <c r="A5" s="444" t="s">
        <v>149</v>
      </c>
      <c r="B5" s="445">
        <f ca="1">tertiair!B16</f>
        <v>163274.26574700003</v>
      </c>
      <c r="C5" s="445">
        <f ca="1">tertiair!C16</f>
        <v>225</v>
      </c>
      <c r="D5" s="445">
        <f ca="1">tertiair!D16</f>
        <v>141369.413849253</v>
      </c>
      <c r="E5" s="445">
        <f>tertiair!E16</f>
        <v>464.28439189642478</v>
      </c>
      <c r="F5" s="445">
        <f ca="1">tertiair!F16</f>
        <v>31098.587510457932</v>
      </c>
      <c r="G5" s="445">
        <f>tertiair!G16</f>
        <v>0</v>
      </c>
      <c r="H5" s="445">
        <f>tertiair!H16</f>
        <v>0</v>
      </c>
      <c r="I5" s="445">
        <f>tertiair!I16</f>
        <v>0</v>
      </c>
      <c r="J5" s="445">
        <f>tertiair!J16</f>
        <v>0.18536083380652102</v>
      </c>
      <c r="K5" s="445">
        <f>tertiair!K16</f>
        <v>0</v>
      </c>
      <c r="L5" s="445">
        <f ca="1">tertiair!L16</f>
        <v>0</v>
      </c>
      <c r="M5" s="445">
        <f>tertiair!M16</f>
        <v>0</v>
      </c>
      <c r="N5" s="445">
        <f ca="1">tertiair!N16</f>
        <v>2044.4692758256851</v>
      </c>
      <c r="O5" s="445">
        <f>tertiair!O16</f>
        <v>24.486303829205774</v>
      </c>
      <c r="P5" s="446">
        <f>tertiair!P16</f>
        <v>367.77396814546512</v>
      </c>
      <c r="Q5" s="444">
        <f t="shared" ref="Q5:Q14" ca="1" si="0">SUM(B5:P5)</f>
        <v>338868.46640724153</v>
      </c>
    </row>
    <row r="6" spans="1:17">
      <c r="A6" s="444" t="s">
        <v>187</v>
      </c>
      <c r="B6" s="445">
        <f>'openbare verlichting'!B8</f>
        <v>4389.0576760000004</v>
      </c>
      <c r="C6" s="445"/>
      <c r="D6" s="445"/>
      <c r="E6" s="445"/>
      <c r="F6" s="445"/>
      <c r="G6" s="445"/>
      <c r="H6" s="445"/>
      <c r="I6" s="445"/>
      <c r="J6" s="445"/>
      <c r="K6" s="445"/>
      <c r="L6" s="445"/>
      <c r="M6" s="445"/>
      <c r="N6" s="445"/>
      <c r="O6" s="445"/>
      <c r="P6" s="446"/>
      <c r="Q6" s="444">
        <f t="shared" si="0"/>
        <v>4389.0576760000004</v>
      </c>
    </row>
    <row r="7" spans="1:17">
      <c r="A7" s="444" t="s">
        <v>105</v>
      </c>
      <c r="B7" s="445">
        <f>landbouw!B8</f>
        <v>276.57223599999998</v>
      </c>
      <c r="C7" s="445">
        <f>landbouw!C8</f>
        <v>0</v>
      </c>
      <c r="D7" s="445">
        <f>landbouw!D8</f>
        <v>278.30453317799999</v>
      </c>
      <c r="E7" s="445">
        <f>landbouw!E8</f>
        <v>8.154131422901111</v>
      </c>
      <c r="F7" s="445">
        <f>landbouw!F8</f>
        <v>879.04485678141145</v>
      </c>
      <c r="G7" s="445">
        <f>landbouw!G8</f>
        <v>0</v>
      </c>
      <c r="H7" s="445">
        <f>landbouw!H8</f>
        <v>0</v>
      </c>
      <c r="I7" s="445">
        <f>landbouw!I8</f>
        <v>0</v>
      </c>
      <c r="J7" s="445">
        <f>landbouw!J8</f>
        <v>69.749819559228669</v>
      </c>
      <c r="K7" s="445">
        <f>landbouw!K8</f>
        <v>0</v>
      </c>
      <c r="L7" s="445">
        <f>landbouw!L8</f>
        <v>0</v>
      </c>
      <c r="M7" s="445">
        <f>landbouw!M8</f>
        <v>0</v>
      </c>
      <c r="N7" s="445">
        <f>landbouw!N8</f>
        <v>0</v>
      </c>
      <c r="O7" s="445">
        <f>landbouw!O8</f>
        <v>0</v>
      </c>
      <c r="P7" s="446">
        <f>landbouw!P8</f>
        <v>0</v>
      </c>
      <c r="Q7" s="444">
        <f t="shared" si="0"/>
        <v>1511.8255769415412</v>
      </c>
    </row>
    <row r="8" spans="1:17">
      <c r="A8" s="444" t="s">
        <v>587</v>
      </c>
      <c r="B8" s="445">
        <f>industrie!B18</f>
        <v>232091.99580999999</v>
      </c>
      <c r="C8" s="445">
        <f>industrie!C18</f>
        <v>9642.8571428571431</v>
      </c>
      <c r="D8" s="445">
        <f>industrie!D18</f>
        <v>59320.448679559719</v>
      </c>
      <c r="E8" s="445">
        <f>industrie!E18</f>
        <v>10124.672668825089</v>
      </c>
      <c r="F8" s="445">
        <f>industrie!F18</f>
        <v>71146.215771420757</v>
      </c>
      <c r="G8" s="445">
        <f>industrie!G18</f>
        <v>0</v>
      </c>
      <c r="H8" s="445">
        <f>industrie!H18</f>
        <v>0</v>
      </c>
      <c r="I8" s="445">
        <f>industrie!I18</f>
        <v>0</v>
      </c>
      <c r="J8" s="445">
        <f>industrie!J18</f>
        <v>41.214902326291195</v>
      </c>
      <c r="K8" s="445">
        <f>industrie!K18</f>
        <v>0</v>
      </c>
      <c r="L8" s="445">
        <f>industrie!L18</f>
        <v>0</v>
      </c>
      <c r="M8" s="445">
        <f>industrie!M18</f>
        <v>0</v>
      </c>
      <c r="N8" s="445">
        <f>industrie!N18</f>
        <v>3561.8239659726128</v>
      </c>
      <c r="O8" s="445">
        <f>industrie!O18</f>
        <v>0</v>
      </c>
      <c r="P8" s="446">
        <f>industrie!P18</f>
        <v>0</v>
      </c>
      <c r="Q8" s="444">
        <f t="shared" si="0"/>
        <v>385929.22894096159</v>
      </c>
    </row>
    <row r="9" spans="1:17" s="450" customFormat="1">
      <c r="A9" s="448" t="s">
        <v>536</v>
      </c>
      <c r="B9" s="449">
        <f>transport!B14</f>
        <v>616.72891338819727</v>
      </c>
      <c r="C9" s="449">
        <f>transport!C14</f>
        <v>0</v>
      </c>
      <c r="D9" s="449">
        <f>transport!D14</f>
        <v>1023.3133966288993</v>
      </c>
      <c r="E9" s="449">
        <f>transport!E14</f>
        <v>608.76756784756378</v>
      </c>
      <c r="F9" s="449">
        <f>transport!F14</f>
        <v>0</v>
      </c>
      <c r="G9" s="449">
        <f>transport!G14</f>
        <v>278115.82774081652</v>
      </c>
      <c r="H9" s="449">
        <f>transport!H14</f>
        <v>68729.527178622069</v>
      </c>
      <c r="I9" s="449">
        <f>transport!I14</f>
        <v>0</v>
      </c>
      <c r="J9" s="449">
        <f>transport!J14</f>
        <v>0</v>
      </c>
      <c r="K9" s="449">
        <f>transport!K14</f>
        <v>0</v>
      </c>
      <c r="L9" s="449">
        <f>transport!L14</f>
        <v>0</v>
      </c>
      <c r="M9" s="449">
        <f>transport!M14</f>
        <v>20436.141703691872</v>
      </c>
      <c r="N9" s="449">
        <f>transport!N14</f>
        <v>0</v>
      </c>
      <c r="O9" s="449">
        <f>transport!O14</f>
        <v>0</v>
      </c>
      <c r="P9" s="449">
        <f>transport!P14</f>
        <v>0</v>
      </c>
      <c r="Q9" s="448">
        <f>SUM(B9:P9)</f>
        <v>369530.30650099512</v>
      </c>
    </row>
    <row r="10" spans="1:17">
      <c r="A10" s="444" t="s">
        <v>526</v>
      </c>
      <c r="B10" s="445">
        <f>transport!B54</f>
        <v>190.29411752225818</v>
      </c>
      <c r="C10" s="445">
        <f>transport!C54</f>
        <v>0</v>
      </c>
      <c r="D10" s="445">
        <f>transport!D54</f>
        <v>0</v>
      </c>
      <c r="E10" s="445">
        <f>transport!E54</f>
        <v>0</v>
      </c>
      <c r="F10" s="445">
        <f>transport!F54</f>
        <v>0</v>
      </c>
      <c r="G10" s="445">
        <f>transport!G54</f>
        <v>13582.851263453938</v>
      </c>
      <c r="H10" s="445">
        <f>transport!H54</f>
        <v>0</v>
      </c>
      <c r="I10" s="445">
        <f>transport!I54</f>
        <v>0</v>
      </c>
      <c r="J10" s="445">
        <f>transport!J54</f>
        <v>0</v>
      </c>
      <c r="K10" s="445">
        <f>transport!K54</f>
        <v>0</v>
      </c>
      <c r="L10" s="445">
        <f>transport!L54</f>
        <v>0</v>
      </c>
      <c r="M10" s="445">
        <f>transport!M54</f>
        <v>750.02594766535378</v>
      </c>
      <c r="N10" s="445">
        <f>transport!N54</f>
        <v>0</v>
      </c>
      <c r="O10" s="445">
        <f>transport!O54</f>
        <v>0</v>
      </c>
      <c r="P10" s="446">
        <f>transport!P54</f>
        <v>0</v>
      </c>
      <c r="Q10" s="444">
        <f t="shared" si="0"/>
        <v>14523.171328641551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7217.5099179999997</v>
      </c>
      <c r="C14" s="452"/>
      <c r="D14" s="452">
        <f>'SEAP template'!E25</f>
        <v>9458.119863000009</v>
      </c>
      <c r="E14" s="452"/>
      <c r="F14" s="452"/>
      <c r="G14" s="452"/>
      <c r="H14" s="452"/>
      <c r="I14" s="452"/>
      <c r="J14" s="452"/>
      <c r="K14" s="452"/>
      <c r="L14" s="452"/>
      <c r="M14" s="452"/>
      <c r="N14" s="452"/>
      <c r="O14" s="452"/>
      <c r="P14" s="453"/>
      <c r="Q14" s="444">
        <f t="shared" si="0"/>
        <v>16675.629781000011</v>
      </c>
    </row>
    <row r="15" spans="1:17" s="456" customFormat="1">
      <c r="A15" s="454" t="s">
        <v>530</v>
      </c>
      <c r="B15" s="455">
        <f ca="1">SUM(B4:B14)</f>
        <v>525464.96370181942</v>
      </c>
      <c r="C15" s="455">
        <f t="shared" ref="C15:Q15" ca="1" si="1">SUM(C4:C14)</f>
        <v>9867.8571428571431</v>
      </c>
      <c r="D15" s="455">
        <f t="shared" ca="1" si="1"/>
        <v>394802.47766321775</v>
      </c>
      <c r="E15" s="455">
        <f t="shared" si="1"/>
        <v>21402.239159824174</v>
      </c>
      <c r="F15" s="455">
        <f t="shared" ca="1" si="1"/>
        <v>270218.55912622064</v>
      </c>
      <c r="G15" s="455">
        <f t="shared" si="1"/>
        <v>291698.67900427047</v>
      </c>
      <c r="H15" s="455">
        <f t="shared" si="1"/>
        <v>68729.527178622069</v>
      </c>
      <c r="I15" s="455">
        <f t="shared" si="1"/>
        <v>0</v>
      </c>
      <c r="J15" s="455">
        <f t="shared" si="1"/>
        <v>1033.4291426850968</v>
      </c>
      <c r="K15" s="455">
        <f t="shared" si="1"/>
        <v>0</v>
      </c>
      <c r="L15" s="455">
        <f t="shared" ca="1" si="1"/>
        <v>0</v>
      </c>
      <c r="M15" s="455">
        <f t="shared" si="1"/>
        <v>21186.167651357227</v>
      </c>
      <c r="N15" s="455">
        <f t="shared" ca="1" si="1"/>
        <v>43799.763019995109</v>
      </c>
      <c r="O15" s="455">
        <f t="shared" si="1"/>
        <v>2034.2359800682691</v>
      </c>
      <c r="P15" s="455">
        <f t="shared" si="1"/>
        <v>2358.6922772979347</v>
      </c>
      <c r="Q15" s="455">
        <f t="shared" ca="1" si="1"/>
        <v>1652596.5910482353</v>
      </c>
    </row>
    <row r="17" spans="1:17">
      <c r="A17" s="457" t="s">
        <v>531</v>
      </c>
      <c r="B17" s="737">
        <f ca="1">huishoudens!B10</f>
        <v>0.17218697084434376</v>
      </c>
      <c r="C17" s="737">
        <f ca="1">huishoudens!C10</f>
        <v>0.23764705882352943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20216.220730555422</v>
      </c>
      <c r="C22" s="445">
        <f t="shared" ref="C22:C32" ca="1" si="3">C4*$C$17</f>
        <v>0</v>
      </c>
      <c r="D22" s="445">
        <f t="shared" ref="D22:D32" si="4">D4*$D$17</f>
        <v>37037.281223002821</v>
      </c>
      <c r="E22" s="445">
        <f t="shared" ref="E22:E32" si="5">E4*$E$17</f>
        <v>2314.5738107619081</v>
      </c>
      <c r="F22" s="445">
        <f t="shared" ref="F22:F32" si="6">F4*$F$17</f>
        <v>44614.287833678667</v>
      </c>
      <c r="G22" s="445">
        <f t="shared" ref="G22:G32" si="7">G4*$G$17</f>
        <v>0</v>
      </c>
      <c r="H22" s="445">
        <f t="shared" ref="H22:H32" si="8">H4*$H$17</f>
        <v>0</v>
      </c>
      <c r="I22" s="445">
        <f t="shared" ref="I22:I32" si="9">I4*$I$17</f>
        <v>0</v>
      </c>
      <c r="J22" s="445">
        <f t="shared" ref="J22:J32" si="10">J4*$J$17</f>
        <v>326.4867872278827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104508.8503852267</v>
      </c>
    </row>
    <row r="23" spans="1:17">
      <c r="A23" s="444" t="s">
        <v>149</v>
      </c>
      <c r="B23" s="445">
        <f t="shared" ca="1" si="2"/>
        <v>28113.701235810327</v>
      </c>
      <c r="C23" s="445">
        <f t="shared" ca="1" si="3"/>
        <v>53.470588235294123</v>
      </c>
      <c r="D23" s="445">
        <f t="shared" ca="1" si="4"/>
        <v>28556.621597549107</v>
      </c>
      <c r="E23" s="445">
        <f t="shared" si="5"/>
        <v>105.39255696048843</v>
      </c>
      <c r="F23" s="445">
        <f t="shared" ca="1" si="6"/>
        <v>8303.322865292268</v>
      </c>
      <c r="G23" s="445">
        <f t="shared" si="7"/>
        <v>0</v>
      </c>
      <c r="H23" s="445">
        <f t="shared" si="8"/>
        <v>0</v>
      </c>
      <c r="I23" s="445">
        <f t="shared" si="9"/>
        <v>0</v>
      </c>
      <c r="J23" s="445">
        <f t="shared" si="10"/>
        <v>6.5617735167508434E-2</v>
      </c>
      <c r="K23" s="445">
        <f t="shared" si="11"/>
        <v>0</v>
      </c>
      <c r="L23" s="445">
        <f t="shared" ca="1" si="12"/>
        <v>0</v>
      </c>
      <c r="M23" s="445">
        <f t="shared" si="13"/>
        <v>0</v>
      </c>
      <c r="N23" s="445">
        <f t="shared" ca="1" si="14"/>
        <v>0</v>
      </c>
      <c r="O23" s="445">
        <f t="shared" si="15"/>
        <v>0</v>
      </c>
      <c r="P23" s="446">
        <f t="shared" si="16"/>
        <v>0</v>
      </c>
      <c r="Q23" s="444">
        <f t="shared" ref="Q23:Q31" ca="1" si="17">SUM(B23:P23)</f>
        <v>65132.574461582662</v>
      </c>
    </row>
    <row r="24" spans="1:17">
      <c r="A24" s="444" t="s">
        <v>187</v>
      </c>
      <c r="B24" s="445">
        <f t="shared" ca="1" si="2"/>
        <v>755.73854609155524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755.73854609155524</v>
      </c>
    </row>
    <row r="25" spans="1:17">
      <c r="A25" s="444" t="s">
        <v>105</v>
      </c>
      <c r="B25" s="445">
        <f t="shared" ca="1" si="2"/>
        <v>47.622135536486958</v>
      </c>
      <c r="C25" s="445">
        <f t="shared" ca="1" si="3"/>
        <v>0</v>
      </c>
      <c r="D25" s="445">
        <f t="shared" si="4"/>
        <v>56.217515701956003</v>
      </c>
      <c r="E25" s="445">
        <f t="shared" si="5"/>
        <v>1.8509878329985523</v>
      </c>
      <c r="F25" s="445">
        <f t="shared" si="6"/>
        <v>234.70497676063687</v>
      </c>
      <c r="G25" s="445">
        <f t="shared" si="7"/>
        <v>0</v>
      </c>
      <c r="H25" s="445">
        <f t="shared" si="8"/>
        <v>0</v>
      </c>
      <c r="I25" s="445">
        <f t="shared" si="9"/>
        <v>0</v>
      </c>
      <c r="J25" s="445">
        <f t="shared" si="10"/>
        <v>24.691436123966948</v>
      </c>
      <c r="K25" s="445">
        <f t="shared" si="11"/>
        <v>0</v>
      </c>
      <c r="L25" s="445">
        <f t="shared" si="12"/>
        <v>0</v>
      </c>
      <c r="M25" s="445">
        <f t="shared" si="13"/>
        <v>0</v>
      </c>
      <c r="N25" s="445">
        <f t="shared" si="14"/>
        <v>0</v>
      </c>
      <c r="O25" s="445">
        <f t="shared" si="15"/>
        <v>0</v>
      </c>
      <c r="P25" s="446">
        <f t="shared" si="16"/>
        <v>0</v>
      </c>
      <c r="Q25" s="444">
        <f t="shared" ca="1" si="17"/>
        <v>365.08705195604534</v>
      </c>
    </row>
    <row r="26" spans="1:17">
      <c r="A26" s="444" t="s">
        <v>587</v>
      </c>
      <c r="B26" s="445">
        <f t="shared" ca="1" si="2"/>
        <v>39963.217715742023</v>
      </c>
      <c r="C26" s="445">
        <f t="shared" ca="1" si="3"/>
        <v>2291.5966386554624</v>
      </c>
      <c r="D26" s="445">
        <f t="shared" si="4"/>
        <v>11982.730633271063</v>
      </c>
      <c r="E26" s="445">
        <f t="shared" si="5"/>
        <v>2298.3006958232954</v>
      </c>
      <c r="F26" s="445">
        <f t="shared" si="6"/>
        <v>18996.039610969343</v>
      </c>
      <c r="G26" s="445">
        <f t="shared" si="7"/>
        <v>0</v>
      </c>
      <c r="H26" s="445">
        <f t="shared" si="8"/>
        <v>0</v>
      </c>
      <c r="I26" s="445">
        <f t="shared" si="9"/>
        <v>0</v>
      </c>
      <c r="J26" s="445">
        <f t="shared" si="10"/>
        <v>14.590075423507082</v>
      </c>
      <c r="K26" s="445">
        <f t="shared" si="11"/>
        <v>0</v>
      </c>
      <c r="L26" s="445">
        <f t="shared" si="12"/>
        <v>0</v>
      </c>
      <c r="M26" s="445">
        <f t="shared" si="13"/>
        <v>0</v>
      </c>
      <c r="N26" s="445">
        <f t="shared" si="14"/>
        <v>0</v>
      </c>
      <c r="O26" s="445">
        <f t="shared" si="15"/>
        <v>0</v>
      </c>
      <c r="P26" s="446">
        <f t="shared" si="16"/>
        <v>0</v>
      </c>
      <c r="Q26" s="444">
        <f t="shared" ca="1" si="17"/>
        <v>75546.475369884691</v>
      </c>
    </row>
    <row r="27" spans="1:17" s="450" customFormat="1">
      <c r="A27" s="448" t="s">
        <v>536</v>
      </c>
      <c r="B27" s="731">
        <f t="shared" ca="1" si="2"/>
        <v>106.19268342843733</v>
      </c>
      <c r="C27" s="449">
        <f t="shared" ca="1" si="3"/>
        <v>0</v>
      </c>
      <c r="D27" s="449">
        <f t="shared" si="4"/>
        <v>206.70930611903768</v>
      </c>
      <c r="E27" s="449">
        <f t="shared" si="5"/>
        <v>138.19023790139698</v>
      </c>
      <c r="F27" s="449">
        <f t="shared" si="6"/>
        <v>0</v>
      </c>
      <c r="G27" s="449">
        <f t="shared" si="7"/>
        <v>74256.926006798007</v>
      </c>
      <c r="H27" s="449">
        <f t="shared" si="8"/>
        <v>17113.652267476897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91821.670501723769</v>
      </c>
    </row>
    <row r="28" spans="1:17" ht="16.5" customHeight="1">
      <c r="A28" s="444" t="s">
        <v>526</v>
      </c>
      <c r="B28" s="445">
        <f t="shared" ca="1" si="2"/>
        <v>32.766167665655196</v>
      </c>
      <c r="C28" s="445">
        <f t="shared" ca="1" si="3"/>
        <v>0</v>
      </c>
      <c r="D28" s="445">
        <f t="shared" si="4"/>
        <v>0</v>
      </c>
      <c r="E28" s="445">
        <f t="shared" si="5"/>
        <v>0</v>
      </c>
      <c r="F28" s="445">
        <f t="shared" si="6"/>
        <v>0</v>
      </c>
      <c r="G28" s="445">
        <f t="shared" si="7"/>
        <v>3626.6212873422019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3659.3874550078572</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1242.7611698194278</v>
      </c>
      <c r="C32" s="445">
        <f t="shared" ca="1" si="3"/>
        <v>0</v>
      </c>
      <c r="D32" s="445">
        <f t="shared" si="4"/>
        <v>1910.5402123260019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3153.3013821454297</v>
      </c>
    </row>
    <row r="33" spans="1:17" s="456" customFormat="1">
      <c r="A33" s="454" t="s">
        <v>530</v>
      </c>
      <c r="B33" s="455">
        <f ca="1">SUM(B22:B32)</f>
        <v>90478.220384649336</v>
      </c>
      <c r="C33" s="455">
        <f t="shared" ref="C33:Q33" ca="1" si="19">SUM(C22:C32)</f>
        <v>2345.0672268907565</v>
      </c>
      <c r="D33" s="455">
        <f t="shared" ca="1" si="19"/>
        <v>79750.100487969976</v>
      </c>
      <c r="E33" s="455">
        <f t="shared" si="19"/>
        <v>4858.3082892800885</v>
      </c>
      <c r="F33" s="455">
        <f t="shared" ca="1" si="19"/>
        <v>72148.355286700913</v>
      </c>
      <c r="G33" s="455">
        <f t="shared" si="19"/>
        <v>77883.547294140211</v>
      </c>
      <c r="H33" s="455">
        <f t="shared" si="19"/>
        <v>17113.652267476897</v>
      </c>
      <c r="I33" s="455">
        <f t="shared" si="19"/>
        <v>0</v>
      </c>
      <c r="J33" s="455">
        <f t="shared" si="19"/>
        <v>365.8339165105242</v>
      </c>
      <c r="K33" s="455">
        <f t="shared" si="19"/>
        <v>0</v>
      </c>
      <c r="L33" s="455">
        <f t="shared" ca="1" si="19"/>
        <v>0</v>
      </c>
      <c r="M33" s="455">
        <f t="shared" si="19"/>
        <v>0</v>
      </c>
      <c r="N33" s="455">
        <f t="shared" ca="1" si="19"/>
        <v>0</v>
      </c>
      <c r="O33" s="455">
        <f t="shared" si="19"/>
        <v>0</v>
      </c>
      <c r="P33" s="455">
        <f t="shared" si="19"/>
        <v>0</v>
      </c>
      <c r="Q33" s="455">
        <f t="shared" ca="1" si="19"/>
        <v>344943.08515361877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75442.187201111941</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39519.379098780759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6907.5</v>
      </c>
      <c r="D8" s="972">
        <f>'SEAP template'!D76</f>
        <v>8126.4705882352928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1641.5470588235291</v>
      </c>
    </row>
    <row r="9" spans="1:16">
      <c r="A9" s="978" t="s">
        <v>718</v>
      </c>
      <c r="B9" s="972">
        <f>'SEAP template'!B77</f>
        <v>1620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4628.5714285714284</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116581.5662998927</v>
      </c>
      <c r="C10" s="974">
        <f>SUM(C4:C9)</f>
        <v>6907.5</v>
      </c>
      <c r="D10" s="974">
        <f t="shared" ref="D10:H10" si="0">SUM(D8:D9)</f>
        <v>8126.4705882352928</v>
      </c>
      <c r="E10" s="974">
        <f t="shared" si="0"/>
        <v>0</v>
      </c>
      <c r="F10" s="974">
        <f t="shared" si="0"/>
        <v>0</v>
      </c>
      <c r="G10" s="974">
        <f t="shared" si="0"/>
        <v>0</v>
      </c>
      <c r="H10" s="974">
        <f t="shared" si="0"/>
        <v>0</v>
      </c>
      <c r="I10" s="974">
        <f>SUM(I8:I9)</f>
        <v>0</v>
      </c>
      <c r="J10" s="974">
        <f>SUM(J8:J9)</f>
        <v>4628.5714285714284</v>
      </c>
      <c r="K10" s="974">
        <f t="shared" ref="K10:L10" si="1">SUM(K8:K9)</f>
        <v>0</v>
      </c>
      <c r="L10" s="974">
        <f t="shared" si="1"/>
        <v>0</v>
      </c>
      <c r="M10" s="974">
        <f>SUM(M8:M9)</f>
        <v>0</v>
      </c>
      <c r="N10" s="974">
        <f>SUM(N8:N9)</f>
        <v>0</v>
      </c>
      <c r="O10" s="974">
        <f>SUM(O8:O9)</f>
        <v>0</v>
      </c>
      <c r="P10" s="974">
        <f>SUM(P8:P9)</f>
        <v>1641.5470588235291</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0.17218697084434376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9867.8571428571431</v>
      </c>
      <c r="D17" s="973">
        <f>'SEAP template'!D87</f>
        <v>11609.243697478991</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2345.0672268907565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9867.8571428571431</v>
      </c>
      <c r="D20" s="974">
        <f t="shared" ref="D20:H20" si="2">SUM(D17:D19)</f>
        <v>11609.243697478991</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2345.0672268907565</v>
      </c>
    </row>
    <row r="21" spans="1:16">
      <c r="B21" s="841"/>
    </row>
    <row r="22" spans="1:16">
      <c r="A22" s="457" t="s">
        <v>730</v>
      </c>
      <c r="B22" s="737" t="s">
        <v>728</v>
      </c>
      <c r="C22" s="737">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0.17218697084434376</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2022-07-26T09:59:27Z</dcterms:modified>
</cp:coreProperties>
</file>