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B3C59B40-9AF1-4A3A-BEA7-750CD59A8F6F}"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4" i="48"/>
  <c r="N23" i="48"/>
  <c r="R11" i="14"/>
  <c r="J22" i="48"/>
  <c r="R10" i="14"/>
  <c r="Q5" i="48"/>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<sst xmlns="http://schemas.openxmlformats.org/spreadsheetml/2006/main" count="2372" uniqueCount="861">
  <si>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</si>
  <si>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</si>
  <si>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</si>
  <si>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</si>
  <si>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</si>
  <si>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</si>
  <si>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</si>
  <si>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</si>
  <si>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</si>
  <si>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</si>
  <si>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</si>
  <si>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</si>
  <si>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</si>
  <si>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</si>
  <si>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</si>
  <si>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</si>
  <si>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</si>
  <si>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</si>
  <si>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</si>
  <si>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</si>
  <si>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</si>
  <si>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</si>
  <si>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</si>
  <si>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</si>
  <si>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</si>
  <si>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</si>
  <si>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</si>
  <si>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</si>
  <si>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</si>
  <si>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</si>
  <si>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</si>
  <si>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</si>
  <si>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</si>
  <si>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</si>
  <si>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</si>
  <si>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</si>
  <si>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</si>
  <si>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</si>
  <si>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</si>
  <si>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</si>
  <si>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</si>
  <si>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</si>
  <si>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</si>
  <si>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</si>
  <si>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</si>
  <si>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</si>
  <si>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</si>
  <si>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</si>
  <si>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</si>
  <si>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</si>
  <si>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</si>
  <si>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</si>
  <si>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</si>
  <si>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</si>
  <si>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</si>
  <si>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</si>
  <si>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</si>
  <si>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</si>
  <si>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</si>
  <si>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</si>
  <si>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</si>
  <si>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</si>
  <si>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</si>
  <si>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</si>
  <si>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</si>
  <si>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</si>
  <si>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</si>
  <si>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</si>
  <si>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</si>
  <si>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</si>
  <si>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</si>
  <si>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</si>
  <si>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</si>
  <si>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</si>
  <si>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</si>
  <si>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</si>
  <si>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</si>
  <si>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</si>
  <si>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</si>
  <si>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</si>
  <si>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</si>
  <si>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</si>
  <si>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</si>
  <si>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</si>
  <si>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</si>
  <si>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</si>
  <si>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</si>
  <si>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</si>
  <si>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</si>
  <si>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</si>
  <si>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</si>
  <si>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</si>
  <si>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</si>
  <si>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</si>
  <si>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</si>
  <si>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</si>
  <si>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</si>
  <si>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</si>
  <si>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</si>
  <si>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</si>
  <si>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</si>
  <si>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</si>
  <si>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</si>
  <si>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</si>
  <si>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</si>
  <si>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</si>
  <si>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</si>
  <si>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</si>
  <si>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</si>
  <si>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</si>
  <si>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</si>
  <si>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</si>
  <si>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</si>
  <si>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</si>
  <si>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</si>
  <si>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</si>
  <si>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</si>
  <si>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</si>
  <si>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</si>
  <si>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</si>
  <si>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</si>
  <si>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</si>
  <si>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</si>
  <si>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</si>
  <si>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</si>
  <si>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</si>
  <si>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</si>
  <si>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</si>
  <si>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</si>
  <si>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</si>
  <si>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</si>
  <si>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</si>
  <si>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</si>
  <si>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</si>
  <si>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</si>
  <si>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</si>
  <si>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</si>
  <si>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</si>
  <si>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</si>
  <si>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</si>
  <si>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</si>
  <si>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</si>
  <si>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</si>
  <si>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</si>
  <si>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</si>
  <si>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</si>
  <si>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</si>
  <si>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</si>
  <si>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</si>
  <si>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</si>
  <si>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</si>
  <si>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</si>
  <si>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</si>
  <si>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</si>
  <si>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</si>
  <si>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</si>
  <si>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</si>
  <si>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</si>
  <si>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</si>
  <si>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</si>
  <si>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</si>
  <si>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</si>
  <si>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</si>
  <si>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</si>
  <si>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</si>
  <si>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</si>
  <si>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</si>
  <si>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</si>
  <si>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</si>
  <si>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</si>
  <si>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</si>
  <si>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</si>
  <si>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</si>
  <si>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</si>
  <si>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</si>
  <si>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</si>
  <si>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</si>
  <si>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</si>
  <si>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</si>
  <si>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</si>
  <si>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</si>
  <si>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</si>
  <si>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</si>
  <si>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</si>
  <si>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</si>
  <si>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</si>
  <si>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</si>
  <si>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</si>
  <si>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</si>
  <si>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</si>
  <si>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</si>
  <si>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</si>
  <si>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</si>
  <si>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</si>
  <si>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</si>
  <si>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</si>
  <si>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</si>
  <si>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</si>
  <si>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</si>
  <si>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</si>
  <si>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</si>
  <si>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</si>
  <si>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</si>
  <si>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</si>
  <si>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</si>
  <si>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</si>
  <si>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</si>
  <si>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</si>
  <si>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</si>
  <si>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</si>
  <si>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</si>
  <si>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</si>
  <si>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</si>
  <si>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</si>
  <si>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</si>
  <si>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</si>
  <si>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</si>
  <si>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</si>
  <si>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</si>
  <si>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</si>
  <si>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</si>
  <si>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</si>
  <si>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</si>
  <si>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</si>
  <si>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</si>
  <si>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</si>
  <si>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</si>
  <si>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</si>
  <si>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</si>
  <si>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</si>
  <si>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</si>
  <si>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</si>
  <si>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</si>
  <si>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</si>
  <si>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</si>
  <si>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</si>
  <si>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</si>
  <si>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</si>
  <si>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</si>
  <si>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</si>
  <si>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</si>
  <si>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</si>
  <si>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</si>
  <si>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</si>
  <si>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</si>
  <si>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</si>
  <si>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</si>
  <si>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</si>
  <si>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</si>
  <si>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</si>
  <si>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</si>
  <si>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</si>
  <si>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</si>
  <si>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</si>
  <si>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</si>
  <si>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</si>
  <si>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</si>
  <si>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</si>
  <si>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</si>
  <si>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</si>
  <si>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</si>
  <si>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</si>
  <si>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</si>
  <si>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</si>
  <si>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</si>
  <si>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</si>
  <si>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</si>
  <si>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</si>
  <si>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</si>
  <si>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</si>
  <si>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</si>
  <si>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</si>
  <si>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</si>
  <si>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</si>
  <si>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</si>
  <si>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</si>
  <si>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</si>
  <si>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</si>
  <si>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</si>
  <si>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</si>
  <si>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</si>
  <si>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</si>
  <si>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</si>
  <si>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</si>
  <si>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</si>
  <si>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</si>
  <si>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</si>
  <si>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</si>
  <si>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</si>
  <si>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</si>
  <si>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</si>
  <si>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</si>
  <si>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</si>
  <si>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</si>
  <si>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</si>
  <si>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</si>
  <si>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</si>
  <si>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</si>
  <si>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</si>
  <si>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</si>
  <si>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</si>
  <si>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</si>
  <si>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</si>
  <si>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</si>
  <si>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</si>
  <si>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</si>
  <si>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</si>
  <si>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</si>
  <si>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</si>
  <si>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</si>
  <si>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</si>
  <si>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</si>
  <si>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</si>
  <si>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</si>
  <si>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</si>
  <si>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</si>
  <si>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</si>
  <si>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</si>
  <si>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</si>
  <si>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</si>
  <si>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</si>
  <si>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</si>
  <si>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</si>
  <si>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</si>
  <si>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</si>
  <si>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</si>
  <si>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</si>
  <si>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</si>
  <si>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</si>
  <si>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</si>
  <si>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</si>
  <si>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</si>
  <si>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</si>
  <si>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</si>
  <si>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</si>
  <si>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</si>
  <si>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</si>
  <si>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</si>
  <si>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</si>
  <si>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</si>
  <si>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</si>
  <si>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</si>
  <si>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</si>
  <si>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</si>
  <si>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</si>
  <si>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</si>
  <si>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</si>
  <si>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</si>
  <si>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</si>
  <si>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</si>
  <si>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</si>
  <si>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</si>
  <si>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</si>
  <si>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</si>
  <si>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</si>
  <si>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</si>
  <si>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</si>
  <si>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</si>
  <si>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</si>
  <si>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</si>
  <si>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</si>
  <si>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</si>
  <si>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</si>
  <si>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</si>
  <si>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</si>
  <si>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</si>
  <si>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</si>
  <si>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</si>
  <si>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</si>
  <si>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</si>
  <si>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</si>
  <si>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</si>
  <si>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</si>
  <si>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</si>
  <si>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</si>
  <si>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</si>
  <si>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</si>
  <si>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</si>
  <si>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</si>
  <si>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</si>
  <si>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</si>
  <si>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</si>
  <si>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</si>
  <si>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</si>
  <si>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</si>
  <si>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</si>
  <si>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</si>
  <si>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</si>
  <si>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</si>
  <si>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</si>
  <si>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</si>
  <si>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</si>
  <si>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</si>
  <si>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</si>
  <si>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</si>
  <si>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</si>
  <si>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</si>
  <si>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</si>
  <si>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</si>
  <si>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</si>
  <si>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</si>
  <si>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</si>
  <si>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</si>
  <si>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</si>
  <si>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</si>
  <si>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</si>
  <si>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</si>
  <si>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</si>
  <si>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</si>
  <si>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</si>
  <si>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</si>
  <si>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</si>
  <si>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</si>
  <si>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</si>
  <si>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</si>
  <si>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</si>
  <si>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</si>
  <si>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</si>
  <si>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</si>
  <si>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</si>
  <si>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</si>
  <si>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</si>
  <si>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</si>
  <si>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</si>
  <si>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</si>
  <si>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</si>
  <si>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</si>
  <si>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</si>
  <si>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</si>
  <si>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</si>
  <si>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</si>
  <si>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</si>
  <si>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</si>
  <si>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</si>
  <si>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</si>
  <si>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</si>
  <si>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</si>
  <si>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</si>
  <si>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</si>
  <si>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</si>
  <si>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</si>
  <si>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</si>
  <si>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</si>
  <si>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</si>
  <si>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</si>
  <si>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</si>
  <si>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</si>
  <si>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</si>
  <si>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</si>
  <si>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</si>
  <si>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</si>
  <si>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</si>
  <si>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</si>
  <si>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</si>
  <si>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</si>
  <si>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</si>
  <si>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</si>
  <si>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</si>
  <si>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</si>
  <si>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</si>
  <si>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</si>
  <si>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</si>
  <si>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</si>
  <si>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</si>
  <si>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</si>
  <si>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</si>
  <si>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</si>
  <si>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</si>
  <si>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</si>
  <si>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</si>
  <si>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</si>
  <si>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</si>
  <si>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</si>
  <si>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</si>
  <si>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</si>
  <si>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</si>
  <si>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</si>
  <si>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</si>
  <si>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</si>
  <si>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</si>
  <si>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</si>
  <si>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</si>
  <si>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</si>
  <si>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</si>
  <si>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</si>
  <si>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</si>
  <si>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</si>
  <si>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</si>
  <si>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</si>
  <si>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</si>
  <si>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</si>
  <si>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</si>
  <si>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</si>
  <si>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</si>
  <si>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</si>
  <si>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</si>
  <si>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</si>
  <si>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</si>
  <si>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</si>
  <si>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</si>
  <si>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</si>
  <si>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</si>
  <si>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</si>
  <si>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</si>
  <si>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</si>
  <si>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</si>
  <si>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</si>
  <si>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</si>
  <si>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</si>
  <si>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</si>
  <si>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</si>
  <si>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</si>
  <si>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</si>
  <si>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</si>
  <si>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</si>
  <si>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</si>
  <si>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</si>
  <si>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</si>
  <si>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</si>
  <si>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</si>
  <si>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</si>
  <si>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</si>
  <si>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</si>
  <si>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</si>
  <si>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</si>
  <si>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</si>
  <si>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</si>
  <si>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</si>
  <si>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</si>
  <si>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</si>
  <si>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</si>
  <si>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</si>
  <si>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</si>
  <si>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</si>
  <si>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</si>
  <si>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</si>
  <si>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</si>
  <si>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</si>
  <si>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</si>
  <si>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</si>
  <si>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</si>
  <si>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</si>
  <si>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</si>
  <si>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</si>
  <si>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</si>
  <si>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</si>
  <si>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</si>
  <si>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</si>
  <si>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</si>
  <si>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</si>
  <si>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</si>
  <si>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</si>
  <si>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</si>
  <si>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</si>
  <si>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</si>
  <si>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</si>
  <si>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</si>
  <si>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</si>
  <si>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</si>
  <si>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</si>
  <si>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</si>
  <si>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</si>
  <si>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</si>
  <si>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</si>
  <si>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</si>
  <si>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</si>
  <si>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</si>
  <si>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</si>
  <si>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</si>
  <si>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</si>
  <si>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</si>
  <si>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</si>
  <si>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</si>
  <si>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</si>
  <si>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</si>
  <si>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</si>
  <si>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</si>
  <si>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</si>
  <si>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</si>
  <si>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</si>
  <si>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</si>
  <si>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</si>
  <si>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</si>
  <si>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</si>
  <si>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</si>
  <si>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</si>
  <si>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</si>
  <si>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</si>
  <si>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</si>
  <si>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</si>
  <si>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</si>
  <si>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</si>
  <si>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</si>
  <si>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</si>
  <si>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</si>
  <si>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</si>
  <si>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</si>
  <si>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</si>
  <si>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</si>
  <si>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</si>
  <si>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</si>
  <si>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</si>
  <si>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</si>
  <si>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</si>
  <si>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</si>
  <si>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</si>
  <si>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</si>
  <si>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</si>
  <si>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</si>
  <si>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</si>
  <si>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</si>
  <si>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</si>
  <si>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</si>
  <si>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</si>
  <si>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</si>
  <si>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</si>
  <si>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</si>
  <si>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</si>
  <si>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</si>
  <si>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</si>
  <si>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</si>
  <si>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</si>
  <si>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</si>
  <si>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</si>
  <si>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</si>
  <si>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</si>
  <si>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</si>
  <si>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</si>
  <si>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</si>
  <si>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</si>
  <si>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</si>
  <si>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</si>
  <si>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</si>
  <si>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</si>
  <si>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</si>
  <si>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</si>
  <si>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</si>
  <si>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</si>
  <si>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</si>
  <si>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</si>
  <si>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</si>
  <si>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</si>
  <si>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</si>
  <si>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</si>
  <si>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</si>
  <si>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</si>
  <si>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</si>
  <si>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</si>
  <si>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</si>
  <si>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</si>
  <si>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</si>
  <si>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</si>
  <si>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</si>
  <si>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</si>
  <si>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</si>
  <si>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</si>
  <si>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</si>
  <si>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</si>
  <si>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</si>
  <si>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</si>
  <si>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</si>
  <si>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</si>
  <si>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</si>
  <si>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</si>
  <si>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</si>
  <si>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</si>
  <si>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</si>
  <si>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</si>
  <si>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</si>
  <si>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</si>
  <si>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</si>
  <si>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</si>
  <si>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</si>
  <si>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</si>
  <si>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</si>
  <si>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</si>
  <si>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</si>
  <si>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</si>
  <si>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</si>
  <si>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</si>
  <si>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</si>
  <si>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</si>
  <si>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</si>
  <si>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</si>
  <si>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</si>
  <si>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</si>
  <si>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</si>
  <si>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</si>
  <si>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</si>
  <si>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</si>
  <si>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</si>
  <si>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</si>
  <si>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</si>
  <si>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</si>
  <si>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</si>
  <si>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</si>
  <si>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</si>
  <si>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</si>
  <si>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</si>
  <si>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</si>
  <si>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</si>
  <si>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</si>
  <si>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</si>
  <si>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</si>
  <si>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</si>
  <si>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</si>
  <si>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</si>
  <si>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</si>
  <si>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</si>
  <si>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</si>
  <si>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</si>
  <si>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</si>
  <si>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</si>
  <si>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</si>
  <si>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</si>
  <si>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</si>
  <si>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</si>
  <si>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</si>
  <si>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</si>
  <si>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</si>
  <si>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</si>
  <si>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</si>
  <si>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</si>
  <si>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</si>
  <si>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</si>
  <si>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</si>
  <si>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</si>
  <si>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</si>
  <si>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</si>
  <si>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</si>
  <si>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</si>
  <si>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</si>
  <si>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</si>
  <si>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</si>
  <si>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</si>
  <si>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</si>
  <si>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</si>
  <si>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</si>
  <si>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</si>
  <si>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</si>
  <si>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</si>
  <si>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</si>
  <si>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</si>
  <si>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</si>
  <si>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</si>
  <si>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</si>
  <si>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</si>
  <si>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</si>
  <si>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</si>
  <si>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</si>
  <si>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</si>
  <si>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</si>
  <si>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</si>
  <si>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</si>
  <si>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</si>
  <si>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</si>
  <si>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</si>
  <si>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</si>
  <si>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</si>
  <si>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</si>
  <si>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</si>
  <si>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</si>
  <si>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</si>
  <si>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</si>
  <si>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</si>
  <si>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</si>
  <si>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</si>
  <si>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</si>
  <si>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</si>
  <si>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</si>
  <si>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</si>
  <si>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</si>
  <si>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</si>
  <si>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</si>
  <si>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</si>
  <si>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</si>
  <si>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</si>
  <si>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</si>
  <si>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</si>
  <si>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</si>
  <si>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</si>
  <si>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</si>
  <si>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</si>
  <si>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</si>
  <si>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</si>
  <si>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</si>
  <si>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</si>
  <si>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</si>
  <si>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</si>
  <si>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</si>
  <si>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</si>
  <si>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</si>
  <si>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</si>
  <si>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</si>
  <si>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</si>
  <si>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</si>
  <si>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</si>
  <si>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</si>
  <si>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</si>
  <si>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</si>
  <si>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</si>
  <si>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</si>
  <si>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</si>
  <si>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</si>
  <si>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</si>
  <si>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</si>
  <si>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</si>
  <si>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</si>
  <si>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</si>
  <si>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</si>
  <si>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</si>
  <si>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</si>
  <si>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</si>
  <si>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</si>
  <si>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</si>
  <si>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</si>
  <si>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</si>
  <si>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</si>
  <si>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</si>
  <si>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</si>
  <si>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</si>
  <si>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</si>
  <si>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</si>
  <si>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</si>
  <si>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</si>
  <si>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</si>
  <si>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</si>
  <si>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</si>
  <si>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</si>
  <si>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</si>
  <si>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</si>
  <si>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</si>
  <si>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</si>
  <si>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</si>
  <si>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</si>
  <si>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</si>
  <si>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</si>
  <si>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</si>
  <si>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</si>
  <si>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</si>
  <si>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</si>
  <si>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</si>
  <si>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</si>
  <si>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</si>
  <si>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</si>
  <si>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</si>
  <si>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</si>
  <si>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</si>
  <si>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</si>
  <si>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</si>
  <si>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</si>
  <si>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</si>
  <si>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</si>
  <si>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</si>
  <si>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</si>
  <si>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</si>
  <si>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</si>
  <si>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44052</t>
  </si>
  <si>
    <t>OOSTERZELE</t>
  </si>
  <si>
    <t>waterkracht</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</si>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</sst>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964B6A69-768D-45C7-9B7E-23B9404B19B8}"/>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114314.08884024111</c:v>
                </c:pt>
                <c:pt idx="1">
                  <c:v>21639.114707509256</c:v>
                </c:pt>
                <c:pt idx="2">
                  <c:v>1052.4110000000001</c:v>
                </c:pt>
                <c:pt idx="3">
                  <c:v>11620.133766083934</c:v>
                </c:pt>
                <c:pt idx="4">
                  <c:v>12554.175668050262</c:v>
                </c:pt>
                <c:pt idx="5">
                  <c:v>99754.081734427004</c:v>
                </c:pt>
                <c:pt idx="6">
                  <c:v>631.84562957982689</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114314.08884024111</c:v>
                </c:pt>
                <c:pt idx="1">
                  <c:v>21639.114707509256</c:v>
                </c:pt>
                <c:pt idx="2">
                  <c:v>1052.4110000000001</c:v>
                </c:pt>
                <c:pt idx="3">
                  <c:v>11620.133766083934</c:v>
                </c:pt>
                <c:pt idx="4">
                  <c:v>12554.175668050262</c:v>
                </c:pt>
                <c:pt idx="5">
                  <c:v>99754.081734427004</c:v>
                </c:pt>
                <c:pt idx="6">
                  <c:v>631.84562957982689</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23394.794650412412</c:v>
                </c:pt>
                <c:pt idx="1">
                  <c:v>4312.958267029192</c:v>
                </c:pt>
                <c:pt idx="2">
                  <c:v>205.33871420016641</c:v>
                </c:pt>
                <c:pt idx="3">
                  <c:v>2951.7906569031229</c:v>
                </c:pt>
                <c:pt idx="4">
                  <c:v>2450.0881920439151</c:v>
                </c:pt>
                <c:pt idx="5">
                  <c:v>24746.965568667023</c:v>
                </c:pt>
                <c:pt idx="6">
                  <c:v>159.39524662334023</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23394.794650412412</c:v>
                </c:pt>
                <c:pt idx="1">
                  <c:v>4312.958267029192</c:v>
                </c:pt>
                <c:pt idx="2">
                  <c:v>205.33871420016641</c:v>
                </c:pt>
                <c:pt idx="3">
                  <c:v>2951.7906569031229</c:v>
                </c:pt>
                <c:pt idx="4">
                  <c:v>2450.0881920439151</c:v>
                </c:pt>
                <c:pt idx="5">
                  <c:v>24746.965568667023</c:v>
                </c:pt>
                <c:pt idx="6">
                  <c:v>159.39524662334023</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44052</v>
      </c>
      <c r="B6" s="382"/>
      <c r="C6" s="383"/>
    </row>
    <row r="7" spans="1:7" s="380" customFormat="1" ht="15.75" customHeight="1">
      <c r="A7" s="384" t="str">
        <f>txtMunicipality</f>
        <v>OOSTERZELE</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0.1951126643489724</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0.1951126643489724</v>
      </c>
      <c r="C29" s="494">
        <f ca="1">'EF ele_warmte'!B22</f>
        <v>0</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5458</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2554.9</v>
      </c>
      <c r="C14" s="324"/>
      <c r="D14" s="324"/>
      <c r="E14" s="324"/>
      <c r="F14" s="324"/>
    </row>
    <row r="15" spans="1:6">
      <c r="A15" s="1264" t="s">
        <v>177</v>
      </c>
      <c r="B15" s="1265">
        <v>17</v>
      </c>
      <c r="C15" s="324"/>
      <c r="D15" s="324"/>
      <c r="E15" s="324"/>
      <c r="F15" s="324"/>
    </row>
    <row r="16" spans="1:6">
      <c r="A16" s="1264" t="s">
        <v>6</v>
      </c>
      <c r="B16" s="1265">
        <v>850</v>
      </c>
      <c r="C16" s="324"/>
      <c r="D16" s="324"/>
      <c r="E16" s="324"/>
      <c r="F16" s="324"/>
    </row>
    <row r="17" spans="1:6">
      <c r="A17" s="1264" t="s">
        <v>7</v>
      </c>
      <c r="B17" s="1265">
        <v>643</v>
      </c>
      <c r="C17" s="324"/>
      <c r="D17" s="324"/>
      <c r="E17" s="324"/>
      <c r="F17" s="324"/>
    </row>
    <row r="18" spans="1:6">
      <c r="A18" s="1264" t="s">
        <v>8</v>
      </c>
      <c r="B18" s="1265">
        <v>1005</v>
      </c>
      <c r="C18" s="324"/>
      <c r="D18" s="324"/>
      <c r="E18" s="324"/>
      <c r="F18" s="324"/>
    </row>
    <row r="19" spans="1:6">
      <c r="A19" s="1264" t="s">
        <v>9</v>
      </c>
      <c r="B19" s="1265">
        <v>1258</v>
      </c>
      <c r="C19" s="324"/>
      <c r="D19" s="324"/>
      <c r="E19" s="324"/>
      <c r="F19" s="324"/>
    </row>
    <row r="20" spans="1:6">
      <c r="A20" s="1264" t="s">
        <v>10</v>
      </c>
      <c r="B20" s="1265">
        <v>763</v>
      </c>
      <c r="C20" s="324"/>
      <c r="D20" s="324"/>
      <c r="E20" s="324"/>
      <c r="F20" s="324"/>
    </row>
    <row r="21" spans="1:6">
      <c r="A21" s="1264" t="s">
        <v>11</v>
      </c>
      <c r="B21" s="1265">
        <v>1030</v>
      </c>
      <c r="C21" s="324"/>
      <c r="D21" s="324"/>
      <c r="E21" s="324"/>
      <c r="F21" s="324"/>
    </row>
    <row r="22" spans="1:6">
      <c r="A22" s="1264" t="s">
        <v>12</v>
      </c>
      <c r="B22" s="1265">
        <v>7126</v>
      </c>
      <c r="C22" s="324"/>
      <c r="D22" s="324"/>
      <c r="E22" s="324"/>
      <c r="F22" s="324"/>
    </row>
    <row r="23" spans="1:6">
      <c r="A23" s="1264" t="s">
        <v>13</v>
      </c>
      <c r="B23" s="1265">
        <v>35</v>
      </c>
      <c r="C23" s="324"/>
      <c r="D23" s="324"/>
      <c r="E23" s="324"/>
      <c r="F23" s="324"/>
    </row>
    <row r="24" spans="1:6">
      <c r="A24" s="1264" t="s">
        <v>14</v>
      </c>
      <c r="B24" s="1265">
        <v>1</v>
      </c>
      <c r="C24" s="324"/>
      <c r="D24" s="324"/>
      <c r="E24" s="324"/>
      <c r="F24" s="324"/>
    </row>
    <row r="25" spans="1:6">
      <c r="A25" s="1264" t="s">
        <v>15</v>
      </c>
      <c r="B25" s="1265">
        <v>243</v>
      </c>
      <c r="C25" s="324"/>
      <c r="D25" s="324"/>
      <c r="E25" s="324"/>
      <c r="F25" s="324"/>
    </row>
    <row r="26" spans="1:6">
      <c r="A26" s="1264" t="s">
        <v>16</v>
      </c>
      <c r="B26" s="1265">
        <v>300</v>
      </c>
      <c r="C26" s="324"/>
      <c r="D26" s="324"/>
      <c r="E26" s="324"/>
      <c r="F26" s="324"/>
    </row>
    <row r="27" spans="1:6">
      <c r="A27" s="1264" t="s">
        <v>17</v>
      </c>
      <c r="B27" s="1265">
        <v>275</v>
      </c>
      <c r="C27" s="324"/>
      <c r="D27" s="324"/>
      <c r="E27" s="324"/>
      <c r="F27" s="324"/>
    </row>
    <row r="28" spans="1:6">
      <c r="A28" s="1264" t="s">
        <v>18</v>
      </c>
      <c r="B28" s="1266">
        <v>15753</v>
      </c>
      <c r="C28" s="324"/>
      <c r="D28" s="324"/>
      <c r="E28" s="324"/>
      <c r="F28" s="324"/>
    </row>
    <row r="29" spans="1:6">
      <c r="A29" s="1264" t="s">
        <v>657</v>
      </c>
      <c r="B29" s="1266">
        <v>257</v>
      </c>
      <c r="C29" s="324"/>
      <c r="D29" s="324"/>
      <c r="E29" s="324"/>
      <c r="F29" s="324"/>
    </row>
    <row r="30" spans="1:6">
      <c r="A30" s="1259" t="s">
        <v>658</v>
      </c>
      <c r="B30" s="1267">
        <v>42</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0</v>
      </c>
      <c r="D36" s="1265">
        <v>0</v>
      </c>
      <c r="E36" s="1265">
        <v>0</v>
      </c>
      <c r="F36" s="1265">
        <v>0</v>
      </c>
    </row>
    <row r="37" spans="1:6">
      <c r="A37" s="1264" t="s">
        <v>24</v>
      </c>
      <c r="B37" s="1264" t="s">
        <v>27</v>
      </c>
      <c r="C37" s="1265">
        <v>0</v>
      </c>
      <c r="D37" s="1265">
        <v>0</v>
      </c>
      <c r="E37" s="1265">
        <v>0</v>
      </c>
      <c r="F37" s="1265">
        <v>0</v>
      </c>
    </row>
    <row r="38" spans="1:6">
      <c r="A38" s="1264" t="s">
        <v>24</v>
      </c>
      <c r="B38" s="1264" t="s">
        <v>28</v>
      </c>
      <c r="C38" s="1265">
        <v>0</v>
      </c>
      <c r="D38" s="1265">
        <v>0</v>
      </c>
      <c r="E38" s="1265">
        <v>1</v>
      </c>
      <c r="F38" s="1265">
        <v>2067</v>
      </c>
    </row>
    <row r="39" spans="1:6">
      <c r="A39" s="1264" t="s">
        <v>29</v>
      </c>
      <c r="B39" s="1264" t="s">
        <v>30</v>
      </c>
      <c r="C39" s="1265">
        <v>2656</v>
      </c>
      <c r="D39" s="1265">
        <v>42676616.973339997</v>
      </c>
      <c r="E39" s="1265">
        <v>5169</v>
      </c>
      <c r="F39" s="1265">
        <v>22465492.394553799</v>
      </c>
    </row>
    <row r="40" spans="1:6">
      <c r="A40" s="1264" t="s">
        <v>29</v>
      </c>
      <c r="B40" s="1264" t="s">
        <v>28</v>
      </c>
      <c r="C40" s="1265">
        <v>1</v>
      </c>
      <c r="D40" s="1265">
        <v>30526.518294736401</v>
      </c>
      <c r="E40" s="1265">
        <v>1</v>
      </c>
      <c r="F40" s="1265">
        <v>11706.9027208844</v>
      </c>
    </row>
    <row r="41" spans="1:6">
      <c r="A41" s="1264" t="s">
        <v>31</v>
      </c>
      <c r="B41" s="1264" t="s">
        <v>32</v>
      </c>
      <c r="C41" s="1265">
        <v>53</v>
      </c>
      <c r="D41" s="1265">
        <v>1280517.0839082401</v>
      </c>
      <c r="E41" s="1265">
        <v>174</v>
      </c>
      <c r="F41" s="1265">
        <v>1258168.4892559799</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4</v>
      </c>
      <c r="D44" s="1265">
        <v>597708.16337861202</v>
      </c>
      <c r="E44" s="1265">
        <v>16</v>
      </c>
      <c r="F44" s="1265">
        <v>667435.86483496299</v>
      </c>
    </row>
    <row r="45" spans="1:6">
      <c r="A45" s="1264" t="s">
        <v>31</v>
      </c>
      <c r="B45" s="1264" t="s">
        <v>36</v>
      </c>
      <c r="C45" s="1265">
        <v>0</v>
      </c>
      <c r="D45" s="1265">
        <v>0</v>
      </c>
      <c r="E45" s="1265">
        <v>5</v>
      </c>
      <c r="F45" s="1265">
        <v>764890.02907601104</v>
      </c>
    </row>
    <row r="46" spans="1:6">
      <c r="A46" s="1264" t="s">
        <v>31</v>
      </c>
      <c r="B46" s="1264" t="s">
        <v>37</v>
      </c>
      <c r="C46" s="1265">
        <v>0</v>
      </c>
      <c r="D46" s="1265">
        <v>0</v>
      </c>
      <c r="E46" s="1265">
        <v>0</v>
      </c>
      <c r="F46" s="1265">
        <v>0</v>
      </c>
    </row>
    <row r="47" spans="1:6">
      <c r="A47" s="1264" t="s">
        <v>31</v>
      </c>
      <c r="B47" s="1264" t="s">
        <v>38</v>
      </c>
      <c r="C47" s="1265">
        <v>0</v>
      </c>
      <c r="D47" s="1265">
        <v>0</v>
      </c>
      <c r="E47" s="1265">
        <v>3</v>
      </c>
      <c r="F47" s="1265">
        <v>21957.3809572809</v>
      </c>
    </row>
    <row r="48" spans="1:6">
      <c r="A48" s="1264" t="s">
        <v>31</v>
      </c>
      <c r="B48" s="1264" t="s">
        <v>28</v>
      </c>
      <c r="C48" s="1265">
        <v>4</v>
      </c>
      <c r="D48" s="1265">
        <v>137435.27978908701</v>
      </c>
      <c r="E48" s="1265">
        <v>0</v>
      </c>
      <c r="F48" s="1265">
        <v>0</v>
      </c>
    </row>
    <row r="49" spans="1:6">
      <c r="A49" s="1264" t="s">
        <v>31</v>
      </c>
      <c r="B49" s="1264" t="s">
        <v>39</v>
      </c>
      <c r="C49" s="1265">
        <v>0</v>
      </c>
      <c r="D49" s="1265">
        <v>0</v>
      </c>
      <c r="E49" s="1265">
        <v>3</v>
      </c>
      <c r="F49" s="1265">
        <v>29174.907843253099</v>
      </c>
    </row>
    <row r="50" spans="1:6">
      <c r="A50" s="1264" t="s">
        <v>31</v>
      </c>
      <c r="B50" s="1264" t="s">
        <v>40</v>
      </c>
      <c r="C50" s="1265">
        <v>4</v>
      </c>
      <c r="D50" s="1265">
        <v>3577873.2894931701</v>
      </c>
      <c r="E50" s="1265">
        <v>13</v>
      </c>
      <c r="F50" s="1265">
        <v>3180125.52915315</v>
      </c>
    </row>
    <row r="51" spans="1:6">
      <c r="A51" s="1264" t="s">
        <v>41</v>
      </c>
      <c r="B51" s="1264" t="s">
        <v>42</v>
      </c>
      <c r="C51" s="1265">
        <v>15</v>
      </c>
      <c r="D51" s="1265">
        <v>363693.43822043302</v>
      </c>
      <c r="E51" s="1265">
        <v>108</v>
      </c>
      <c r="F51" s="1265">
        <v>2531757.2609623601</v>
      </c>
    </row>
    <row r="52" spans="1:6">
      <c r="A52" s="1264" t="s">
        <v>41</v>
      </c>
      <c r="B52" s="1264" t="s">
        <v>28</v>
      </c>
      <c r="C52" s="1265">
        <v>0</v>
      </c>
      <c r="D52" s="1265">
        <v>0</v>
      </c>
      <c r="E52" s="1265">
        <v>0</v>
      </c>
      <c r="F52" s="1265">
        <v>0</v>
      </c>
    </row>
    <row r="53" spans="1:6">
      <c r="A53" s="1264" t="s">
        <v>43</v>
      </c>
      <c r="B53" s="1264" t="s">
        <v>44</v>
      </c>
      <c r="C53" s="1265">
        <v>57</v>
      </c>
      <c r="D53" s="1265">
        <v>1113075.4549382001</v>
      </c>
      <c r="E53" s="1265">
        <v>195</v>
      </c>
      <c r="F53" s="1265">
        <v>679506.45610064699</v>
      </c>
    </row>
    <row r="54" spans="1:6">
      <c r="A54" s="1264" t="s">
        <v>45</v>
      </c>
      <c r="B54" s="1264" t="s">
        <v>46</v>
      </c>
      <c r="C54" s="1265">
        <v>0</v>
      </c>
      <c r="D54" s="1265">
        <v>0</v>
      </c>
      <c r="E54" s="1265">
        <v>2</v>
      </c>
      <c r="F54" s="1265">
        <v>1052411</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33</v>
      </c>
      <c r="D57" s="1265">
        <v>1058211.5852458</v>
      </c>
      <c r="E57" s="1265">
        <v>74</v>
      </c>
      <c r="F57" s="1265">
        <v>1029500.61726938</v>
      </c>
    </row>
    <row r="58" spans="1:6">
      <c r="A58" s="1264" t="s">
        <v>48</v>
      </c>
      <c r="B58" s="1264" t="s">
        <v>50</v>
      </c>
      <c r="C58" s="1265">
        <v>21</v>
      </c>
      <c r="D58" s="1265">
        <v>2193324.86506759</v>
      </c>
      <c r="E58" s="1265">
        <v>45</v>
      </c>
      <c r="F58" s="1265">
        <v>957145.11433735106</v>
      </c>
    </row>
    <row r="59" spans="1:6">
      <c r="A59" s="1264" t="s">
        <v>48</v>
      </c>
      <c r="B59" s="1264" t="s">
        <v>51</v>
      </c>
      <c r="C59" s="1265">
        <v>51</v>
      </c>
      <c r="D59" s="1265">
        <v>1755177.1980769001</v>
      </c>
      <c r="E59" s="1265">
        <v>140</v>
      </c>
      <c r="F59" s="1265">
        <v>3025648.7591724698</v>
      </c>
    </row>
    <row r="60" spans="1:6">
      <c r="A60" s="1264" t="s">
        <v>48</v>
      </c>
      <c r="B60" s="1264" t="s">
        <v>52</v>
      </c>
      <c r="C60" s="1265">
        <v>28</v>
      </c>
      <c r="D60" s="1265">
        <v>2401483.8737516599</v>
      </c>
      <c r="E60" s="1265">
        <v>52</v>
      </c>
      <c r="F60" s="1265">
        <v>1463098.1618095699</v>
      </c>
    </row>
    <row r="61" spans="1:6">
      <c r="A61" s="1264" t="s">
        <v>48</v>
      </c>
      <c r="B61" s="1264" t="s">
        <v>53</v>
      </c>
      <c r="C61" s="1265">
        <v>118</v>
      </c>
      <c r="D61" s="1265">
        <v>3659973.7742608399</v>
      </c>
      <c r="E61" s="1265">
        <v>279</v>
      </c>
      <c r="F61" s="1265">
        <v>2469467.6823310098</v>
      </c>
    </row>
    <row r="62" spans="1:6">
      <c r="A62" s="1264" t="s">
        <v>48</v>
      </c>
      <c r="B62" s="1264" t="s">
        <v>54</v>
      </c>
      <c r="C62" s="1265">
        <v>6</v>
      </c>
      <c r="D62" s="1265">
        <v>264358.92288430902</v>
      </c>
      <c r="E62" s="1265">
        <v>19</v>
      </c>
      <c r="F62" s="1265">
        <v>199733.10366095</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0</v>
      </c>
      <c r="D65" s="1265">
        <v>0</v>
      </c>
      <c r="E65" s="1265">
        <v>0</v>
      </c>
      <c r="F65" s="1265">
        <v>0</v>
      </c>
    </row>
    <row r="66" spans="1:6">
      <c r="A66" s="1264" t="s">
        <v>55</v>
      </c>
      <c r="B66" s="1264" t="s">
        <v>57</v>
      </c>
      <c r="C66" s="1265">
        <v>0</v>
      </c>
      <c r="D66" s="1265">
        <v>0</v>
      </c>
      <c r="E66" s="1265">
        <v>7</v>
      </c>
      <c r="F66" s="1265">
        <v>116410.52529108</v>
      </c>
    </row>
    <row r="67" spans="1:6">
      <c r="A67" s="1264" t="s">
        <v>55</v>
      </c>
      <c r="B67" s="1264" t="s">
        <v>58</v>
      </c>
      <c r="C67" s="1265">
        <v>0</v>
      </c>
      <c r="D67" s="1265">
        <v>0</v>
      </c>
      <c r="E67" s="1265">
        <v>0</v>
      </c>
      <c r="F67" s="1265">
        <v>0</v>
      </c>
    </row>
    <row r="68" spans="1:6">
      <c r="A68" s="1259" t="s">
        <v>55</v>
      </c>
      <c r="B68" s="1259" t="s">
        <v>59</v>
      </c>
      <c r="C68" s="1267">
        <v>4</v>
      </c>
      <c r="D68" s="1267">
        <v>68855.739588876604</v>
      </c>
      <c r="E68" s="1267">
        <v>6</v>
      </c>
      <c r="F68" s="1267">
        <v>52532.962721845397</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76713340</v>
      </c>
      <c r="E73" s="443"/>
      <c r="F73" s="324"/>
    </row>
    <row r="74" spans="1:6">
      <c r="A74" s="1264" t="s">
        <v>63</v>
      </c>
      <c r="B74" s="1264" t="s">
        <v>608</v>
      </c>
      <c r="C74" s="1277" t="s">
        <v>610</v>
      </c>
      <c r="D74" s="1265">
        <v>7098136.2960430067</v>
      </c>
      <c r="E74" s="443"/>
      <c r="F74" s="324"/>
    </row>
    <row r="75" spans="1:6">
      <c r="A75" s="1264" t="s">
        <v>64</v>
      </c>
      <c r="B75" s="1264" t="s">
        <v>607</v>
      </c>
      <c r="C75" s="1277" t="s">
        <v>611</v>
      </c>
      <c r="D75" s="1265">
        <v>30979249</v>
      </c>
      <c r="E75" s="443"/>
      <c r="F75" s="324"/>
    </row>
    <row r="76" spans="1:6">
      <c r="A76" s="1264" t="s">
        <v>64</v>
      </c>
      <c r="B76" s="1264" t="s">
        <v>608</v>
      </c>
      <c r="C76" s="1277" t="s">
        <v>612</v>
      </c>
      <c r="D76" s="1265">
        <v>1088595.2960430065</v>
      </c>
      <c r="E76" s="443"/>
      <c r="F76" s="324"/>
    </row>
    <row r="77" spans="1:6">
      <c r="A77" s="1264" t="s">
        <v>65</v>
      </c>
      <c r="B77" s="1264" t="s">
        <v>607</v>
      </c>
      <c r="C77" s="1277" t="s">
        <v>613</v>
      </c>
      <c r="D77" s="1265">
        <v>0</v>
      </c>
      <c r="E77" s="443"/>
      <c r="F77" s="324"/>
    </row>
    <row r="78" spans="1:6">
      <c r="A78" s="1259" t="s">
        <v>65</v>
      </c>
      <c r="B78" s="1259" t="s">
        <v>608</v>
      </c>
      <c r="C78" s="1259" t="s">
        <v>614</v>
      </c>
      <c r="D78" s="1267">
        <v>0</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174991.407913987</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0</v>
      </c>
      <c r="C90" s="324"/>
      <c r="D90" s="324"/>
      <c r="E90" s="324"/>
      <c r="F90" s="324"/>
    </row>
    <row r="91" spans="1:6">
      <c r="A91" s="1264" t="s">
        <v>67</v>
      </c>
      <c r="B91" s="1265">
        <v>5000.2049772851105</v>
      </c>
      <c r="C91" s="324"/>
      <c r="D91" s="324"/>
      <c r="E91" s="324"/>
      <c r="F91" s="324"/>
    </row>
    <row r="92" spans="1:6">
      <c r="A92" s="1259" t="s">
        <v>68</v>
      </c>
      <c r="B92" s="1260">
        <v>502.84322920422318</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652</v>
      </c>
      <c r="C97" s="324"/>
      <c r="D97" s="324"/>
      <c r="E97" s="324"/>
      <c r="F97" s="324"/>
    </row>
    <row r="98" spans="1:6">
      <c r="A98" s="1264" t="s">
        <v>71</v>
      </c>
      <c r="B98" s="1265">
        <v>0</v>
      </c>
      <c r="C98" s="324"/>
      <c r="D98" s="324"/>
      <c r="E98" s="324"/>
      <c r="F98" s="324"/>
    </row>
    <row r="99" spans="1:6">
      <c r="A99" s="1264" t="s">
        <v>72</v>
      </c>
      <c r="B99" s="1265">
        <v>126</v>
      </c>
      <c r="C99" s="324"/>
      <c r="D99" s="324"/>
      <c r="E99" s="324"/>
      <c r="F99" s="324"/>
    </row>
    <row r="100" spans="1:6">
      <c r="A100" s="1264" t="s">
        <v>73</v>
      </c>
      <c r="B100" s="1265">
        <v>687</v>
      </c>
      <c r="C100" s="324"/>
      <c r="D100" s="324"/>
      <c r="E100" s="324"/>
      <c r="F100" s="324"/>
    </row>
    <row r="101" spans="1:6">
      <c r="A101" s="1264" t="s">
        <v>74</v>
      </c>
      <c r="B101" s="1265">
        <v>108</v>
      </c>
      <c r="C101" s="324"/>
      <c r="D101" s="324"/>
      <c r="E101" s="324"/>
      <c r="F101" s="324"/>
    </row>
    <row r="102" spans="1:6">
      <c r="A102" s="1264" t="s">
        <v>75</v>
      </c>
      <c r="B102" s="1265">
        <v>99</v>
      </c>
      <c r="C102" s="324"/>
      <c r="D102" s="324"/>
      <c r="E102" s="324"/>
      <c r="F102" s="324"/>
    </row>
    <row r="103" spans="1:6">
      <c r="A103" s="1264" t="s">
        <v>76</v>
      </c>
      <c r="B103" s="1265">
        <v>350</v>
      </c>
      <c r="C103" s="324"/>
      <c r="D103" s="324"/>
      <c r="E103" s="324"/>
      <c r="F103" s="324"/>
    </row>
    <row r="104" spans="1:6">
      <c r="A104" s="1264" t="s">
        <v>77</v>
      </c>
      <c r="B104" s="1265">
        <v>2839</v>
      </c>
      <c r="C104" s="324"/>
      <c r="D104" s="324"/>
      <c r="E104" s="324"/>
      <c r="F104" s="324"/>
    </row>
    <row r="105" spans="1:6">
      <c r="A105" s="1259" t="s">
        <v>78</v>
      </c>
      <c r="B105" s="1267">
        <v>9</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0</v>
      </c>
      <c r="C121" s="1265">
        <v>0</v>
      </c>
      <c r="D121" s="324"/>
      <c r="E121" s="324"/>
      <c r="F121" s="324"/>
    </row>
    <row r="122" spans="1:6">
      <c r="A122" s="1264" t="s">
        <v>86</v>
      </c>
      <c r="B122" s="1265">
        <v>0</v>
      </c>
      <c r="C122" s="1265">
        <v>0</v>
      </c>
      <c r="D122" s="324"/>
      <c r="E122" s="324"/>
      <c r="F122" s="324"/>
    </row>
    <row r="123" spans="1:6">
      <c r="A123" s="1264" t="s">
        <v>87</v>
      </c>
      <c r="B123" s="1265">
        <v>58</v>
      </c>
      <c r="C123" s="1265">
        <v>37</v>
      </c>
      <c r="D123" s="324"/>
      <c r="E123" s="324"/>
      <c r="F123" s="324"/>
    </row>
    <row r="124" spans="1:6">
      <c r="A124" s="1264" t="s">
        <v>88</v>
      </c>
      <c r="B124" s="1265">
        <v>2</v>
      </c>
      <c r="C124" s="1265">
        <v>1</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185</v>
      </c>
      <c r="C129" s="324"/>
      <c r="D129" s="324"/>
      <c r="E129" s="324"/>
      <c r="F129" s="324"/>
    </row>
    <row r="130" spans="1:6">
      <c r="A130" s="1264" t="s">
        <v>284</v>
      </c>
      <c r="B130" s="1265">
        <v>1</v>
      </c>
      <c r="C130" s="324"/>
      <c r="D130" s="324"/>
      <c r="E130" s="324"/>
      <c r="F130" s="324"/>
    </row>
    <row r="131" spans="1:6">
      <c r="A131" s="1264" t="s">
        <v>285</v>
      </c>
      <c r="B131" s="1265">
        <v>3</v>
      </c>
      <c r="C131" s="324"/>
      <c r="D131" s="324"/>
      <c r="E131" s="324"/>
      <c r="F131" s="324"/>
    </row>
    <row r="132" spans="1:6">
      <c r="A132" s="1259" t="s">
        <v>286</v>
      </c>
      <c r="B132" s="1260">
        <v>47</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46979.483328399918</v>
      </c>
      <c r="C3" s="43" t="s">
        <v>163</v>
      </c>
      <c r="D3" s="43"/>
      <c r="E3" s="153"/>
      <c r="F3" s="43"/>
      <c r="G3" s="43"/>
      <c r="H3" s="43"/>
      <c r="I3" s="43"/>
      <c r="J3" s="43"/>
      <c r="K3" s="96"/>
    </row>
    <row r="4" spans="1:11">
      <c r="A4" s="350" t="s">
        <v>164</v>
      </c>
      <c r="B4" s="49">
        <f>IF(ISERROR('SEAP template'!B78+'SEAP template'!C78),0,'SEAP template'!B78+'SEAP template'!C78)</f>
        <v>5503.048206489334</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0.1951126643489724</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1052.4110000000001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1052.4110000000001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0.1951126643489724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205.33871420016641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22477.199297274681</v>
      </c>
      <c r="C5" s="17">
        <f>IF(ISERROR('Eigen informatie GS &amp; warmtenet'!B59),0,'Eigen informatie GS &amp; warmtenet'!B59)</f>
        <v>0</v>
      </c>
      <c r="D5" s="30">
        <f>(SUM(HH_hh_gas_kWh,HH_rest_gas_kWh)/1000)*0.903</f>
        <v>38564.550572946166</v>
      </c>
      <c r="E5" s="17">
        <f>B32*B41</f>
        <v>2210.2702219017801</v>
      </c>
      <c r="F5" s="17">
        <f>B36*B45</f>
        <v>36221.205356684659</v>
      </c>
      <c r="G5" s="18"/>
      <c r="H5" s="17"/>
      <c r="I5" s="17"/>
      <c r="J5" s="17">
        <f>B35*B44+C35*C44</f>
        <v>199.92290019088153</v>
      </c>
      <c r="K5" s="17"/>
      <c r="L5" s="17"/>
      <c r="M5" s="17"/>
      <c r="N5" s="17">
        <f>B34*B43+C34*C43</f>
        <v>8071.1791851122234</v>
      </c>
      <c r="O5" s="17">
        <f>B52*B53*B54</f>
        <v>442.42268292330812</v>
      </c>
      <c r="P5" s="17">
        <f>B60*B61*B62/1000-B60*B61*B62/1000/B63</f>
        <v>1127.1336459222975</v>
      </c>
    </row>
    <row r="6" spans="1:16">
      <c r="A6" s="16" t="s">
        <v>573</v>
      </c>
      <c r="B6" s="739">
        <f>kWh_PV_kleiner_dan_10kW</f>
        <v>5000.2049772851105</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27477.404274559791</v>
      </c>
      <c r="C8" s="21">
        <f>C5</f>
        <v>0</v>
      </c>
      <c r="D8" s="21">
        <f>D5</f>
        <v>38564.550572946166</v>
      </c>
      <c r="E8" s="21">
        <f>E5</f>
        <v>2210.2702219017801</v>
      </c>
      <c r="F8" s="21">
        <f>F5</f>
        <v>36221.205356684659</v>
      </c>
      <c r="G8" s="21"/>
      <c r="H8" s="21"/>
      <c r="I8" s="21"/>
      <c r="J8" s="21">
        <f>J5</f>
        <v>199.92290019088153</v>
      </c>
      <c r="K8" s="21"/>
      <c r="L8" s="21">
        <f>L5</f>
        <v>0</v>
      </c>
      <c r="M8" s="21">
        <f>M5</f>
        <v>0</v>
      </c>
      <c r="N8" s="21">
        <f>N5</f>
        <v>8071.1791851122234</v>
      </c>
      <c r="O8" s="21">
        <f>O5</f>
        <v>442.42268292330812</v>
      </c>
      <c r="P8" s="21">
        <f>P5</f>
        <v>1127.1336459222975</v>
      </c>
    </row>
    <row r="9" spans="1:16">
      <c r="B9" s="19"/>
      <c r="C9" s="19"/>
      <c r="D9" s="253"/>
      <c r="E9" s="19"/>
      <c r="F9" s="19"/>
      <c r="G9" s="19"/>
      <c r="H9" s="19"/>
      <c r="I9" s="19"/>
      <c r="J9" s="19"/>
      <c r="K9" s="19"/>
      <c r="L9" s="19"/>
      <c r="M9" s="19"/>
      <c r="N9" s="19"/>
      <c r="O9" s="19"/>
      <c r="P9" s="19"/>
    </row>
    <row r="10" spans="1:16">
      <c r="A10" s="24" t="s">
        <v>207</v>
      </c>
      <c r="B10" s="25">
        <f ca="1">'EF ele_warmte'!B12</f>
        <v>0.1951126643489724</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5361.1895574032042</v>
      </c>
      <c r="C12" s="23">
        <f ca="1">C10*C8</f>
        <v>0</v>
      </c>
      <c r="D12" s="23">
        <f>D8*D10</f>
        <v>7790.0392157351262</v>
      </c>
      <c r="E12" s="23">
        <f>E10*E8</f>
        <v>501.73134037170411</v>
      </c>
      <c r="F12" s="23">
        <f>F10*F8</f>
        <v>9671.0618302348048</v>
      </c>
      <c r="G12" s="23"/>
      <c r="H12" s="23"/>
      <c r="I12" s="23"/>
      <c r="J12" s="23">
        <f>J10*J8</f>
        <v>70.772706667572066</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5458</v>
      </c>
      <c r="C26" s="36"/>
      <c r="D26" s="224"/>
    </row>
    <row r="27" spans="1:5" s="15" customFormat="1">
      <c r="A27" s="226" t="s">
        <v>784</v>
      </c>
      <c r="B27" s="37">
        <f>SUM(HH_hh_gas_aantal,HH_rest_gas_aantal)</f>
        <v>2657</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2524.15</v>
      </c>
      <c r="C31" s="34" t="s">
        <v>104</v>
      </c>
      <c r="D31" s="170"/>
    </row>
    <row r="32" spans="1:5">
      <c r="A32" s="167" t="s">
        <v>72</v>
      </c>
      <c r="B32" s="33">
        <f>IF((B21*($B$26-($B$27-0.05*$B$27)-$B$60))&lt;0,0,B21*($B$26-($B$27-0.05*$B$27)-$B$60))</f>
        <v>43.604054354662644</v>
      </c>
      <c r="C32" s="34" t="s">
        <v>104</v>
      </c>
      <c r="D32" s="170"/>
    </row>
    <row r="33" spans="1:6">
      <c r="A33" s="167" t="s">
        <v>73</v>
      </c>
      <c r="B33" s="33">
        <f>IF((B22*($B$26-($B$27-0.05*$B$27)-$B$60))&lt;0,0,B22*($B$26-($B$27-0.05*$B$27)-$B$60))</f>
        <v>708.04348394220767</v>
      </c>
      <c r="C33" s="34" t="s">
        <v>104</v>
      </c>
      <c r="D33" s="170"/>
    </row>
    <row r="34" spans="1:6">
      <c r="A34" s="167" t="s">
        <v>74</v>
      </c>
      <c r="B34" s="33">
        <f>IF((B24*($B$26-($B$27-0.05*$B$27)-$B$60))&lt;0,0,B24*($B$26-($B$27-0.05*$B$27)-$B$60))</f>
        <v>309.59857799147841</v>
      </c>
      <c r="C34" s="33">
        <f>B26*C24</f>
        <v>916.94362783310703</v>
      </c>
      <c r="D34" s="229"/>
    </row>
    <row r="35" spans="1:6">
      <c r="A35" s="167" t="s">
        <v>76</v>
      </c>
      <c r="B35" s="33">
        <f>IF((B19*($B$26-($B$27-0.05*$B$27)-$B$60))&lt;0,0,B19*($B$26-($B$27-0.05*$B$27)-$B$60))</f>
        <v>18.954578473060881</v>
      </c>
      <c r="C35" s="33">
        <f>B35/2</f>
        <v>9.4772892365304404</v>
      </c>
      <c r="D35" s="229"/>
    </row>
    <row r="36" spans="1:6">
      <c r="A36" s="167" t="s">
        <v>77</v>
      </c>
      <c r="B36" s="33">
        <f>IF((B18*($B$26-($B$27-0.05*$B$27)-$B$60))&lt;0,0,B18*($B$26-($B$27-0.05*$B$27)-$B$60))</f>
        <v>1746.6493052385895</v>
      </c>
      <c r="C36" s="34" t="s">
        <v>104</v>
      </c>
      <c r="D36" s="170"/>
    </row>
    <row r="37" spans="1:6">
      <c r="A37" s="167" t="s">
        <v>78</v>
      </c>
      <c r="B37" s="33">
        <f>B60</f>
        <v>107</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223</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107</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9144.5934385807304</v>
      </c>
      <c r="C5" s="17">
        <f>IF(ISERROR('Eigen informatie GS &amp; warmtenet'!B60),0,'Eigen informatie GS &amp; warmtenet'!B60)</f>
        <v>0</v>
      </c>
      <c r="D5" s="30">
        <f>SUM(D6:D12)</f>
        <v>10233.274788016251</v>
      </c>
      <c r="E5" s="17">
        <f>SUM(E6:E12)</f>
        <v>26.071236296360343</v>
      </c>
      <c r="F5" s="17">
        <f>SUM(F6:F12)</f>
        <v>1706.7003739526299</v>
      </c>
      <c r="G5" s="18"/>
      <c r="H5" s="17"/>
      <c r="I5" s="17"/>
      <c r="J5" s="17">
        <f>SUM(J6:J12)</f>
        <v>1.0167162896310374E-2</v>
      </c>
      <c r="K5" s="17"/>
      <c r="L5" s="17"/>
      <c r="M5" s="17"/>
      <c r="N5" s="17">
        <f>SUM(N6:N12)</f>
        <v>365.9500278150615</v>
      </c>
      <c r="O5" s="17">
        <f>B38*B39*B40</f>
        <v>4.8972607658411542</v>
      </c>
      <c r="P5" s="17">
        <f>B46*B47*B48/1000-B46*B47*B48/1000/B49</f>
        <v>157.61741491948504</v>
      </c>
      <c r="R5" s="32"/>
    </row>
    <row r="6" spans="1:18">
      <c r="A6" s="32" t="s">
        <v>53</v>
      </c>
      <c r="B6" s="37">
        <f>B26</f>
        <v>2469.4676823310097</v>
      </c>
      <c r="C6" s="33"/>
      <c r="D6" s="37">
        <f>IF(ISERROR(TER_kantoor_gas_kWh/1000),0,TER_kantoor_gas_kWh/1000)*0.903</f>
        <v>3304.9563181575386</v>
      </c>
      <c r="E6" s="33">
        <f>$C$26*'E Balans VL '!I12/100/3.6*1000000</f>
        <v>0.60059201811081153</v>
      </c>
      <c r="F6" s="33">
        <f>$C$26*('E Balans VL '!L12+'E Balans VL '!N12)/100/3.6*1000000</f>
        <v>236.46716759186012</v>
      </c>
      <c r="G6" s="34"/>
      <c r="H6" s="33"/>
      <c r="I6" s="33"/>
      <c r="J6" s="33">
        <f>$C$26*('E Balans VL '!D12+'E Balans VL '!E12)/100/3.6*1000000</f>
        <v>0</v>
      </c>
      <c r="K6" s="33"/>
      <c r="L6" s="33"/>
      <c r="M6" s="33"/>
      <c r="N6" s="33">
        <f>$C$26*'E Balans VL '!Y12/100/3.6*1000000</f>
        <v>1.2536845729745587</v>
      </c>
      <c r="O6" s="33"/>
      <c r="P6" s="33"/>
      <c r="R6" s="32"/>
    </row>
    <row r="7" spans="1:18">
      <c r="A7" s="32" t="s">
        <v>52</v>
      </c>
      <c r="B7" s="37">
        <f t="shared" ref="B7:B12" si="0">B27</f>
        <v>1463.09816180957</v>
      </c>
      <c r="C7" s="33"/>
      <c r="D7" s="37">
        <f>IF(ISERROR(TER_horeca_gas_kWh/1000),0,TER_horeca_gas_kWh/1000)*0.903</f>
        <v>2168.5399379977489</v>
      </c>
      <c r="E7" s="33">
        <f>$C$27*'E Balans VL '!I9/100/3.6*1000000</f>
        <v>0</v>
      </c>
      <c r="F7" s="33">
        <f>$C$27*('E Balans VL '!L9+'E Balans VL '!N9)/100/3.6*1000000</f>
        <v>120.00197841751637</v>
      </c>
      <c r="G7" s="34"/>
      <c r="H7" s="33"/>
      <c r="I7" s="33"/>
      <c r="J7" s="33">
        <f>$C$27*('E Balans VL '!D9+'E Balans VL '!E9)/100/3.6*1000000</f>
        <v>0</v>
      </c>
      <c r="K7" s="33"/>
      <c r="L7" s="33"/>
      <c r="M7" s="33"/>
      <c r="N7" s="33">
        <f>$C$27*'E Balans VL '!Y9/100/3.6*1000000</f>
        <v>9.6093388192234546</v>
      </c>
      <c r="O7" s="33"/>
      <c r="P7" s="33"/>
      <c r="R7" s="32"/>
    </row>
    <row r="8" spans="1:18">
      <c r="A8" s="6" t="s">
        <v>51</v>
      </c>
      <c r="B8" s="37">
        <f t="shared" si="0"/>
        <v>3025.6487591724699</v>
      </c>
      <c r="C8" s="33"/>
      <c r="D8" s="37">
        <f>IF(ISERROR(TER_handel_gas_kWh/1000),0,TER_handel_gas_kWh/1000)*0.903</f>
        <v>1584.9250098634409</v>
      </c>
      <c r="E8" s="33">
        <f>$C$28*'E Balans VL '!I13/100/3.6*1000000</f>
        <v>10.695825108273247</v>
      </c>
      <c r="F8" s="33">
        <f>$C$28*('E Balans VL '!L13+'E Balans VL '!N13)/100/3.6*1000000</f>
        <v>278.59752741900797</v>
      </c>
      <c r="G8" s="34"/>
      <c r="H8" s="33"/>
      <c r="I8" s="33"/>
      <c r="J8" s="33">
        <f>$C$28*('E Balans VL '!D13+'E Balans VL '!E13)/100/3.6*1000000</f>
        <v>0</v>
      </c>
      <c r="K8" s="33"/>
      <c r="L8" s="33"/>
      <c r="M8" s="33"/>
      <c r="N8" s="33">
        <f>$C$28*'E Balans VL '!Y13/100/3.6*1000000</f>
        <v>1.0957597215182888</v>
      </c>
      <c r="O8" s="33"/>
      <c r="P8" s="33"/>
      <c r="R8" s="32"/>
    </row>
    <row r="9" spans="1:18">
      <c r="A9" s="32" t="s">
        <v>50</v>
      </c>
      <c r="B9" s="37">
        <f t="shared" si="0"/>
        <v>957.14511433735106</v>
      </c>
      <c r="C9" s="33"/>
      <c r="D9" s="37">
        <f>IF(ISERROR(TER_gezond_gas_kWh/1000),0,TER_gezond_gas_kWh/1000)*0.903</f>
        <v>1980.5723531560338</v>
      </c>
      <c r="E9" s="33">
        <f>$C$29*'E Balans VL '!I10/100/3.6*1000000</f>
        <v>0</v>
      </c>
      <c r="F9" s="33">
        <f>$C$29*('E Balans VL '!L10+'E Balans VL '!N10)/100/3.6*1000000</f>
        <v>117.58136961697627</v>
      </c>
      <c r="G9" s="34"/>
      <c r="H9" s="33"/>
      <c r="I9" s="33"/>
      <c r="J9" s="33">
        <f>$C$29*('E Balans VL '!D10+'E Balans VL '!E10)/100/3.6*1000000</f>
        <v>0</v>
      </c>
      <c r="K9" s="33"/>
      <c r="L9" s="33"/>
      <c r="M9" s="33"/>
      <c r="N9" s="33">
        <f>$C$29*'E Balans VL '!Y10/100/3.6*1000000</f>
        <v>7.0582782270369275</v>
      </c>
      <c r="O9" s="33"/>
      <c r="P9" s="33"/>
      <c r="R9" s="32"/>
    </row>
    <row r="10" spans="1:18">
      <c r="A10" s="32" t="s">
        <v>49</v>
      </c>
      <c r="B10" s="37">
        <f t="shared" si="0"/>
        <v>1029.50061726938</v>
      </c>
      <c r="C10" s="33"/>
      <c r="D10" s="37">
        <f>IF(ISERROR(TER_ander_gas_kWh/1000),0,TER_ander_gas_kWh/1000)*0.903</f>
        <v>955.56506147695745</v>
      </c>
      <c r="E10" s="33">
        <f>$C$30*'E Balans VL '!I14/100/3.6*1000000</f>
        <v>14.774819169976285</v>
      </c>
      <c r="F10" s="33">
        <f>$C$30*('E Balans VL '!L14+'E Balans VL '!N14)/100/3.6*1000000</f>
        <v>930.70115258505825</v>
      </c>
      <c r="G10" s="34"/>
      <c r="H10" s="33"/>
      <c r="I10" s="33"/>
      <c r="J10" s="33">
        <f>$C$30*('E Balans VL '!D14+'E Balans VL '!E14)/100/3.6*1000000</f>
        <v>1.0167162896310374E-2</v>
      </c>
      <c r="K10" s="33"/>
      <c r="L10" s="33"/>
      <c r="M10" s="33"/>
      <c r="N10" s="33">
        <f>$C$30*'E Balans VL '!Y14/100/3.6*1000000</f>
        <v>346.37054098999448</v>
      </c>
      <c r="O10" s="33"/>
      <c r="P10" s="33"/>
      <c r="R10" s="32"/>
    </row>
    <row r="11" spans="1:18">
      <c r="A11" s="32" t="s">
        <v>54</v>
      </c>
      <c r="B11" s="37">
        <f t="shared" si="0"/>
        <v>199.73310366095001</v>
      </c>
      <c r="C11" s="33"/>
      <c r="D11" s="37">
        <f>IF(ISERROR(TER_onderwijs_gas_kWh/1000),0,TER_onderwijs_gas_kWh/1000)*0.903</f>
        <v>238.71610736453107</v>
      </c>
      <c r="E11" s="33">
        <f>$C$31*'E Balans VL '!I11/100/3.6*1000000</f>
        <v>0</v>
      </c>
      <c r="F11" s="33">
        <f>$C$31*('E Balans VL '!L11+'E Balans VL '!N11)/100/3.6*1000000</f>
        <v>23.351178322210949</v>
      </c>
      <c r="G11" s="34"/>
      <c r="H11" s="33"/>
      <c r="I11" s="33"/>
      <c r="J11" s="33">
        <f>$C$31*('E Balans VL '!D11+'E Balans VL '!E11)/100/3.6*1000000</f>
        <v>0</v>
      </c>
      <c r="K11" s="33"/>
      <c r="L11" s="33"/>
      <c r="M11" s="33"/>
      <c r="N11" s="33">
        <f>$C$31*'E Balans VL '!Y11/100/3.6*1000000</f>
        <v>0.56242548431380868</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9144.5934385807304</v>
      </c>
      <c r="C16" s="21">
        <f t="shared" ca="1" si="1"/>
        <v>0</v>
      </c>
      <c r="D16" s="21">
        <f t="shared" ca="1" si="1"/>
        <v>10233.274788016251</v>
      </c>
      <c r="E16" s="21">
        <f t="shared" si="1"/>
        <v>26.071236296360343</v>
      </c>
      <c r="F16" s="21">
        <f t="shared" ca="1" si="1"/>
        <v>1706.7003739526299</v>
      </c>
      <c r="G16" s="21">
        <f t="shared" si="1"/>
        <v>0</v>
      </c>
      <c r="H16" s="21">
        <f t="shared" si="1"/>
        <v>0</v>
      </c>
      <c r="I16" s="21">
        <f t="shared" si="1"/>
        <v>0</v>
      </c>
      <c r="J16" s="21">
        <f t="shared" si="1"/>
        <v>1.0167162896310374E-2</v>
      </c>
      <c r="K16" s="21">
        <f t="shared" si="1"/>
        <v>0</v>
      </c>
      <c r="L16" s="21">
        <f t="shared" ca="1" si="1"/>
        <v>0</v>
      </c>
      <c r="M16" s="21">
        <f t="shared" si="1"/>
        <v>0</v>
      </c>
      <c r="N16" s="21">
        <f t="shared" ca="1" si="1"/>
        <v>365.9500278150615</v>
      </c>
      <c r="O16" s="21">
        <f>O5</f>
        <v>4.8972607658411542</v>
      </c>
      <c r="P16" s="21">
        <f>P5</f>
        <v>157.61741491948504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0.1951126643489724</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1784.2259901896175</v>
      </c>
      <c r="C20" s="23">
        <f t="shared" ref="C20:P20" ca="1" si="2">C16*C18</f>
        <v>0</v>
      </c>
      <c r="D20" s="23">
        <f t="shared" ca="1" si="2"/>
        <v>2067.1215071792831</v>
      </c>
      <c r="E20" s="23">
        <f t="shared" si="2"/>
        <v>5.9181706392737983</v>
      </c>
      <c r="F20" s="23">
        <f t="shared" ca="1" si="2"/>
        <v>455.68899984535221</v>
      </c>
      <c r="G20" s="23">
        <f t="shared" si="2"/>
        <v>0</v>
      </c>
      <c r="H20" s="23">
        <f t="shared" si="2"/>
        <v>0</v>
      </c>
      <c r="I20" s="23">
        <f t="shared" si="2"/>
        <v>0</v>
      </c>
      <c r="J20" s="23">
        <f t="shared" si="2"/>
        <v>3.5991756652938721E-3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2469.4676823310097</v>
      </c>
      <c r="C26" s="39">
        <f>IF(ISERROR(B26*3.6/1000000/'E Balans VL '!Z12*100),0,B26*3.6/1000000/'E Balans VL '!Z12*100)</f>
        <v>6.9607923743690819E-2</v>
      </c>
      <c r="D26" s="232" t="s">
        <v>660</v>
      </c>
      <c r="F26" s="6"/>
    </row>
    <row r="27" spans="1:18">
      <c r="A27" s="227" t="s">
        <v>52</v>
      </c>
      <c r="B27" s="33">
        <f>IF(ISERROR(TER_horeca_ele_kWh/1000),0,TER_horeca_ele_kWh/1000)</f>
        <v>1463.09816180957</v>
      </c>
      <c r="C27" s="39">
        <f>IF(ISERROR(B27*3.6/1000000/'E Balans VL '!Z9*100),0,B27*3.6/1000000/'E Balans VL '!Z9*100)</f>
        <v>0.10847075500950551</v>
      </c>
      <c r="D27" s="232" t="s">
        <v>660</v>
      </c>
      <c r="F27" s="6"/>
    </row>
    <row r="28" spans="1:18">
      <c r="A28" s="167" t="s">
        <v>51</v>
      </c>
      <c r="B28" s="33">
        <f>IF(ISERROR(TER_handel_ele_kWh/1000),0,TER_handel_ele_kWh/1000)</f>
        <v>3025.6487591724699</v>
      </c>
      <c r="C28" s="39">
        <f>IF(ISERROR(B28*3.6/1000000/'E Balans VL '!Z13*100),0,B28*3.6/1000000/'E Balans VL '!Z13*100)</f>
        <v>9.0641243076297923E-2</v>
      </c>
      <c r="D28" s="232" t="s">
        <v>660</v>
      </c>
      <c r="F28" s="6"/>
    </row>
    <row r="29" spans="1:18">
      <c r="A29" s="227" t="s">
        <v>50</v>
      </c>
      <c r="B29" s="33">
        <f>IF(ISERROR(TER_gezond_ele_kWh/1000),0,TER_gezond_ele_kWh/1000)</f>
        <v>957.14511433735106</v>
      </c>
      <c r="C29" s="39">
        <f>IF(ISERROR(B29*3.6/1000000/'E Balans VL '!Z10*100),0,B29*3.6/1000000/'E Balans VL '!Z10*100)</f>
        <v>9.464288405689765E-2</v>
      </c>
      <c r="D29" s="232" t="s">
        <v>660</v>
      </c>
      <c r="F29" s="6"/>
    </row>
    <row r="30" spans="1:18">
      <c r="A30" s="227" t="s">
        <v>49</v>
      </c>
      <c r="B30" s="33">
        <f>IF(ISERROR(TER_ander_ele_kWh/1000),0,TER_ander_ele_kWh/1000)</f>
        <v>1029.50061726938</v>
      </c>
      <c r="C30" s="39">
        <f>IF(ISERROR(B30*3.6/1000000/'E Balans VL '!Z14*100),0,B30*3.6/1000000/'E Balans VL '!Z14*100)</f>
        <v>4.1640257595810401E-2</v>
      </c>
      <c r="D30" s="232" t="s">
        <v>660</v>
      </c>
      <c r="F30" s="6"/>
    </row>
    <row r="31" spans="1:18">
      <c r="A31" s="227" t="s">
        <v>54</v>
      </c>
      <c r="B31" s="33">
        <f>IF(ISERROR(TER_onderwijs_ele_kWh/1000),0,TER_onderwijs_ele_kWh/1000)</f>
        <v>199.73310366095001</v>
      </c>
      <c r="C31" s="39">
        <f>IF(ISERROR(B31*3.6/1000000/'E Balans VL '!Z11*100),0,B31*3.6/1000000/'E Balans VL '!Z11*100)</f>
        <v>5.4875418830256414E-2</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1</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3</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5921.7522011206383</v>
      </c>
      <c r="C5" s="17">
        <f>IF(ISERROR('Eigen informatie GS &amp; warmtenet'!B61),0,'Eigen informatie GS &amp; warmtenet'!B61)</f>
        <v>0</v>
      </c>
      <c r="D5" s="30">
        <f>SUM(D6:D15)</f>
        <v>5050.9610363619049</v>
      </c>
      <c r="E5" s="17">
        <f>SUM(E6:E15)</f>
        <v>24.093906179737779</v>
      </c>
      <c r="F5" s="17">
        <f>SUM(F6:F15)</f>
        <v>1006.2914963466067</v>
      </c>
      <c r="G5" s="18"/>
      <c r="H5" s="17"/>
      <c r="I5" s="17"/>
      <c r="J5" s="17">
        <f>SUM(J6:J15)</f>
        <v>0.666855639623539</v>
      </c>
      <c r="K5" s="17"/>
      <c r="L5" s="17"/>
      <c r="M5" s="17"/>
      <c r="N5" s="17">
        <f>SUM(N6:N15)</f>
        <v>550.41017240175063</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667.43586483496301</v>
      </c>
      <c r="C8" s="33"/>
      <c r="D8" s="37">
        <f>IF( ISERROR(IND_metaal_Gas_kWH/1000),0,IND_metaal_Gas_kWH/1000)*0.903</f>
        <v>539.73047153088658</v>
      </c>
      <c r="E8" s="33">
        <f>C30*'E Balans VL '!I18/100/3.6*1000000</f>
        <v>3.6478269069562614</v>
      </c>
      <c r="F8" s="33">
        <f>C30*'E Balans VL '!L18/100/3.6*1000000+C30*'E Balans VL '!N18/100/3.6*1000000</f>
        <v>45.684991006240296</v>
      </c>
      <c r="G8" s="34"/>
      <c r="H8" s="33"/>
      <c r="I8" s="33"/>
      <c r="J8" s="40">
        <f>C30*'E Balans VL '!D18/100/3.6*1000000+C30*'E Balans VL '!E18/100/3.6*1000000</f>
        <v>0.66514483379818734</v>
      </c>
      <c r="K8" s="33"/>
      <c r="L8" s="33"/>
      <c r="M8" s="33"/>
      <c r="N8" s="33">
        <f>C30*'E Balans VL '!Y18/100/3.6*1000000</f>
        <v>9.8716978321669462</v>
      </c>
      <c r="O8" s="33"/>
      <c r="P8" s="33"/>
      <c r="R8" s="32"/>
    </row>
    <row r="9" spans="1:18">
      <c r="A9" s="6" t="s">
        <v>32</v>
      </c>
      <c r="B9" s="37">
        <f t="shared" si="0"/>
        <v>1258.1684892559799</v>
      </c>
      <c r="C9" s="33"/>
      <c r="D9" s="37">
        <f>IF( ISERROR(IND_andere_gas_kWh/1000),0,IND_andere_gas_kWh/1000)*0.903</f>
        <v>1156.3069267691408</v>
      </c>
      <c r="E9" s="33">
        <f>C31*'E Balans VL '!I19/100/3.6*1000000</f>
        <v>4.734820739429983</v>
      </c>
      <c r="F9" s="33">
        <f>C31*'E Balans VL '!L19/100/3.6*1000000+C31*'E Balans VL '!N19/100/3.6*1000000</f>
        <v>809.79126366777894</v>
      </c>
      <c r="G9" s="34"/>
      <c r="H9" s="33"/>
      <c r="I9" s="33"/>
      <c r="J9" s="40">
        <f>C31*'E Balans VL '!D19/100/3.6*1000000+C31*'E Balans VL '!E19/100/3.6*1000000</f>
        <v>0</v>
      </c>
      <c r="K9" s="33"/>
      <c r="L9" s="33"/>
      <c r="M9" s="33"/>
      <c r="N9" s="33">
        <f>C31*'E Balans VL '!Y19/100/3.6*1000000</f>
        <v>45.452178564880285</v>
      </c>
      <c r="O9" s="33"/>
      <c r="P9" s="33"/>
      <c r="R9" s="32"/>
    </row>
    <row r="10" spans="1:18">
      <c r="A10" s="6" t="s">
        <v>40</v>
      </c>
      <c r="B10" s="37">
        <f t="shared" si="0"/>
        <v>3180.1255291531502</v>
      </c>
      <c r="C10" s="33"/>
      <c r="D10" s="37">
        <f>IF( ISERROR(IND_voed_gas_kWh/1000),0,IND_voed_gas_kWh/1000)*0.903</f>
        <v>3230.8195804123325</v>
      </c>
      <c r="E10" s="33">
        <f>C32*'E Balans VL '!I20/100/3.6*1000000</f>
        <v>6.295296677711729</v>
      </c>
      <c r="F10" s="33">
        <f>C32*'E Balans VL '!L20/100/3.6*1000000+C32*'E Balans VL '!N20/100/3.6*1000000</f>
        <v>67.541966160650617</v>
      </c>
      <c r="G10" s="34"/>
      <c r="H10" s="33"/>
      <c r="I10" s="33"/>
      <c r="J10" s="40">
        <f>C32*'E Balans VL '!D20/100/3.6*1000000+C32*'E Balans VL '!E20/100/3.6*1000000</f>
        <v>0</v>
      </c>
      <c r="K10" s="33"/>
      <c r="L10" s="33"/>
      <c r="M10" s="33"/>
      <c r="N10" s="33">
        <f>C32*'E Balans VL '!Y20/100/3.6*1000000</f>
        <v>128.17114317512917</v>
      </c>
      <c r="O10" s="33"/>
      <c r="P10" s="33"/>
      <c r="R10" s="32"/>
    </row>
    <row r="11" spans="1:18">
      <c r="A11" s="6" t="s">
        <v>39</v>
      </c>
      <c r="B11" s="37">
        <f t="shared" si="0"/>
        <v>29.174907843253099</v>
      </c>
      <c r="C11" s="33"/>
      <c r="D11" s="37">
        <f>IF( ISERROR(IND_textiel_gas_kWh/1000),0,IND_textiel_gas_kWh/1000)*0.903</f>
        <v>0</v>
      </c>
      <c r="E11" s="33">
        <f>C33*'E Balans VL '!I21/100/3.6*1000000</f>
        <v>5.6810365504221839E-2</v>
      </c>
      <c r="F11" s="33">
        <f>C33*'E Balans VL '!L21/100/3.6*1000000+C33*'E Balans VL '!N21/100/3.6*1000000</f>
        <v>0.69106262890957249</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764.89002907601105</v>
      </c>
      <c r="C12" s="33"/>
      <c r="D12" s="37">
        <f>IF( ISERROR(IND_min_gas_kWh/1000),0,IND_min_gas_kWh/1000)*0.903</f>
        <v>0</v>
      </c>
      <c r="E12" s="33">
        <f>C34*'E Balans VL '!I22/100/3.6*1000000</f>
        <v>9.3591514901355861</v>
      </c>
      <c r="F12" s="33">
        <f>C34*'E Balans VL '!L22/100/3.6*1000000+C34*'E Balans VL '!N22/100/3.6*1000000</f>
        <v>82.579522965260594</v>
      </c>
      <c r="G12" s="34"/>
      <c r="H12" s="33"/>
      <c r="I12" s="33"/>
      <c r="J12" s="40">
        <f>C34*'E Balans VL '!D22/100/3.6*1000000+C34*'E Balans VL '!E22/100/3.6*1000000</f>
        <v>0</v>
      </c>
      <c r="K12" s="33"/>
      <c r="L12" s="33"/>
      <c r="M12" s="33"/>
      <c r="N12" s="33">
        <f>C34*'E Balans VL '!Y22/100/3.6*1000000</f>
        <v>368.93009371987324</v>
      </c>
      <c r="O12" s="33"/>
      <c r="P12" s="33"/>
      <c r="R12" s="32"/>
    </row>
    <row r="13" spans="1:18">
      <c r="A13" s="6" t="s">
        <v>38</v>
      </c>
      <c r="B13" s="37">
        <f t="shared" si="0"/>
        <v>21.9573809572809</v>
      </c>
      <c r="C13" s="33"/>
      <c r="D13" s="37">
        <f>IF( ISERROR(IND_papier_gas_kWh/1000),0,IND_papier_gas_kWh/1000)*0.903</f>
        <v>0</v>
      </c>
      <c r="E13" s="33">
        <f>C35*'E Balans VL '!I23/100/3.6*1000000</f>
        <v>0</v>
      </c>
      <c r="F13" s="33">
        <f>C35*'E Balans VL '!L23/100/3.6*1000000+C35*'E Balans VL '!N23/100/3.6*1000000</f>
        <v>2.6899177667178338E-3</v>
      </c>
      <c r="G13" s="34"/>
      <c r="H13" s="33"/>
      <c r="I13" s="33"/>
      <c r="J13" s="40">
        <f>C35*'E Balans VL '!D23/100/3.6*1000000+C35*'E Balans VL '!E23/100/3.6*1000000</f>
        <v>1.7108058253517064E-3</v>
      </c>
      <c r="K13" s="33"/>
      <c r="L13" s="33"/>
      <c r="M13" s="33"/>
      <c r="N13" s="33">
        <f>C35*'E Balans VL '!Y23/100/3.6*1000000</f>
        <v>-2.0149408902990884</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0</v>
      </c>
      <c r="C15" s="33"/>
      <c r="D15" s="37">
        <f>IF( ISERROR(IND_rest_gas_kWh/1000),0,IND_rest_gas_kWh/1000)*0.903</f>
        <v>124.10405764954558</v>
      </c>
      <c r="E15" s="33">
        <f>C37*'E Balans VL '!I15/100/3.6*1000000</f>
        <v>0</v>
      </c>
      <c r="F15" s="33">
        <f>C37*'E Balans VL '!L15/100/3.6*1000000+C37*'E Balans VL '!N15/100/3.6*1000000</f>
        <v>0</v>
      </c>
      <c r="G15" s="34"/>
      <c r="H15" s="33"/>
      <c r="I15" s="33"/>
      <c r="J15" s="40">
        <f>C37*'E Balans VL '!D15/100/3.6*1000000+C37*'E Balans VL '!E15/100/3.6*1000000</f>
        <v>0</v>
      </c>
      <c r="K15" s="33"/>
      <c r="L15" s="33"/>
      <c r="M15" s="33"/>
      <c r="N15" s="33">
        <f>C37*'E Balans VL '!Y15/100/3.6*1000000</f>
        <v>0</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5921.7522011206383</v>
      </c>
      <c r="C18" s="21">
        <f>C5+C16</f>
        <v>0</v>
      </c>
      <c r="D18" s="21">
        <f>MAX((D5+D16),0)</f>
        <v>5050.9610363619049</v>
      </c>
      <c r="E18" s="21">
        <f>MAX((E5+E16),0)</f>
        <v>24.093906179737779</v>
      </c>
      <c r="F18" s="21">
        <f>MAX((F5+F16),0)</f>
        <v>1006.2914963466067</v>
      </c>
      <c r="G18" s="21"/>
      <c r="H18" s="21"/>
      <c r="I18" s="21"/>
      <c r="J18" s="21">
        <f>MAX((J5+J16),0)</f>
        <v>0.666855639623539</v>
      </c>
      <c r="K18" s="21"/>
      <c r="L18" s="21">
        <f>MAX((L5+L16),0)</f>
        <v>0</v>
      </c>
      <c r="M18" s="21"/>
      <c r="N18" s="21">
        <f>MAX((N5+N16),0)</f>
        <v>550.41017240175063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0.1951126643489724</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1155.4088495750395</v>
      </c>
      <c r="C22" s="23">
        <f ca="1">C18*C20</f>
        <v>0</v>
      </c>
      <c r="D22" s="23">
        <f>D18*D20</f>
        <v>1020.2941293451048</v>
      </c>
      <c r="E22" s="23">
        <f>E18*E20</f>
        <v>5.4693167028004757</v>
      </c>
      <c r="F22" s="23">
        <f>F18*F20</f>
        <v>268.679829524544</v>
      </c>
      <c r="G22" s="23"/>
      <c r="H22" s="23"/>
      <c r="I22" s="23"/>
      <c r="J22" s="23">
        <f>J18*J20</f>
        <v>0.23606689642673279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667.43586483496301</v>
      </c>
      <c r="C30" s="39">
        <f>IF(ISERROR(B30*3.6/1000000/'E Balans VL '!Z18*100),0,B30*3.6/1000000/'E Balans VL '!Z18*100)</f>
        <v>3.7239835173770872E-2</v>
      </c>
      <c r="D30" s="232" t="s">
        <v>660</v>
      </c>
    </row>
    <row r="31" spans="1:18">
      <c r="A31" s="6" t="s">
        <v>32</v>
      </c>
      <c r="B31" s="37">
        <f>IF( ISERROR(IND_ander_ele_kWh/1000),0,IND_ander_ele_kWh/1000)</f>
        <v>1258.1684892559799</v>
      </c>
      <c r="C31" s="39">
        <f>IF(ISERROR(B31*3.6/1000000/'E Balans VL '!Z19*100),0,B31*3.6/1000000/'E Balans VL '!Z19*100)</f>
        <v>5.1211339905849612E-2</v>
      </c>
      <c r="D31" s="232" t="s">
        <v>660</v>
      </c>
    </row>
    <row r="32" spans="1:18">
      <c r="A32" s="167" t="s">
        <v>40</v>
      </c>
      <c r="B32" s="37">
        <f>IF( ISERROR(IND_voed_ele_kWh/1000),0,IND_voed_ele_kWh/1000)</f>
        <v>3180.1255291531502</v>
      </c>
      <c r="C32" s="39">
        <f>IF(ISERROR(B32*3.6/1000000/'E Balans VL '!Z20*100),0,B32*3.6/1000000/'E Balans VL '!Z20*100)</f>
        <v>9.24934457758078E-2</v>
      </c>
      <c r="D32" s="232" t="s">
        <v>660</v>
      </c>
    </row>
    <row r="33" spans="1:5">
      <c r="A33" s="167" t="s">
        <v>39</v>
      </c>
      <c r="B33" s="37">
        <f>IF( ISERROR(IND_textiel_ele_kWh/1000),0,IND_textiel_ele_kWh/1000)</f>
        <v>29.174907843253099</v>
      </c>
      <c r="C33" s="39">
        <f>IF(ISERROR(B33*3.6/1000000/'E Balans VL '!Z21*100),0,B33*3.6/1000000/'E Balans VL '!Z21*100)</f>
        <v>4.2974850980289688E-3</v>
      </c>
      <c r="D33" s="232" t="s">
        <v>660</v>
      </c>
    </row>
    <row r="34" spans="1:5">
      <c r="A34" s="167" t="s">
        <v>36</v>
      </c>
      <c r="B34" s="37">
        <f>IF( ISERROR(IND_min_ele_kWh/1000),0,IND_min_ele_kWh/1000)</f>
        <v>764.89002907601105</v>
      </c>
      <c r="C34" s="39">
        <f>IF(ISERROR(B34*3.6/1000000/'E Balans VL '!Z22*100),0,B34*3.6/1000000/'E Balans VL '!Z22*100)</f>
        <v>0.30684234647710856</v>
      </c>
      <c r="D34" s="232" t="s">
        <v>660</v>
      </c>
    </row>
    <row r="35" spans="1:5">
      <c r="A35" s="167" t="s">
        <v>38</v>
      </c>
      <c r="B35" s="37">
        <f>IF( ISERROR(IND_papier_ele_kWh/1000),0,IND_papier_ele_kWh/1000)</f>
        <v>21.9573809572809</v>
      </c>
      <c r="C35" s="39">
        <f>IF(ISERROR(B35*3.6/1000000/'E Balans VL '!Z22*100),0,B35*3.6/1000000/'E Balans VL '!Z22*100)</f>
        <v>8.8083960299008106E-3</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0</v>
      </c>
      <c r="C37" s="39">
        <f>IF(ISERROR(B37*3.6/1000000/'E Balans VL '!Z15*100),0,B37*3.6/1000000/'E Balans VL '!Z15*100)</f>
        <v>0</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2531.7572609623599</v>
      </c>
      <c r="C5" s="17">
        <f>'Eigen informatie GS &amp; warmtenet'!B62</f>
        <v>0</v>
      </c>
      <c r="D5" s="30">
        <f>IF(ISERROR(SUM(LB_lb_gas_kWh,LB_rest_gas_kWh)/1000),0,SUM(LB_lb_gas_kWh,LB_rest_gas_kWh)/1000)*0.903</f>
        <v>328.41517471305099</v>
      </c>
      <c r="E5" s="17">
        <f>B17*'E Balans VL '!I25/3.6*1000000/100</f>
        <v>74.64336165966867</v>
      </c>
      <c r="F5" s="17">
        <f>B17*('E Balans VL '!L25/3.6*1000000+'E Balans VL '!N25/3.6*1000000)/100</f>
        <v>8046.8243344135144</v>
      </c>
      <c r="G5" s="18"/>
      <c r="H5" s="17"/>
      <c r="I5" s="17"/>
      <c r="J5" s="17">
        <f>('E Balans VL '!D25+'E Balans VL '!E25)/3.6*1000000*landbouw!B17/100</f>
        <v>638.49363433534108</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2531.7572609623599</v>
      </c>
      <c r="C8" s="21">
        <f>C5+C6</f>
        <v>0</v>
      </c>
      <c r="D8" s="21">
        <f>MAX((D5+D6),0)</f>
        <v>328.41517471305099</v>
      </c>
      <c r="E8" s="21">
        <f>MAX((E5+E6),0)</f>
        <v>74.64336165966867</v>
      </c>
      <c r="F8" s="21">
        <f>MAX((F5+F6),0)</f>
        <v>8046.8243344135144</v>
      </c>
      <c r="G8" s="21"/>
      <c r="H8" s="21"/>
      <c r="I8" s="21"/>
      <c r="J8" s="21">
        <f>MAX((J5+J6),0)</f>
        <v>638.49363433534108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0.1951126643489724</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493.97790467122263</v>
      </c>
      <c r="C12" s="23">
        <f ca="1">C8*C10</f>
        <v>0</v>
      </c>
      <c r="D12" s="23">
        <f>D8*D10</f>
        <v>66.339865292036308</v>
      </c>
      <c r="E12" s="23">
        <f>E8*E10</f>
        <v>16.944043096744789</v>
      </c>
      <c r="F12" s="23">
        <f>F8*F10</f>
        <v>2148.5020972884085</v>
      </c>
      <c r="G12" s="23"/>
      <c r="H12" s="23"/>
      <c r="I12" s="23"/>
      <c r="J12" s="23">
        <f>J8*J10</f>
        <v>226.02674655471074</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0.34773025312613959</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301.94551488952908</v>
      </c>
      <c r="C26" s="242">
        <f>B26*'GWP N2O_CH4'!B5</f>
        <v>6340.8558126801108</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79.455653714576783</v>
      </c>
      <c r="C27" s="242">
        <f>B27*'GWP N2O_CH4'!B5</f>
        <v>1668.5687280061125</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4.3946302304644753</v>
      </c>
      <c r="C28" s="242">
        <f>B28*'GWP N2O_CH4'!B4</f>
        <v>1362.3353714439872</v>
      </c>
      <c r="D28" s="50"/>
    </row>
    <row r="29" spans="1:4">
      <c r="A29" s="41" t="s">
        <v>266</v>
      </c>
      <c r="B29" s="242">
        <f>B34*'ha_N2O bodem landbouw'!B4</f>
        <v>16.585618402734298</v>
      </c>
      <c r="C29" s="242">
        <f>B29*'GWP N2O_CH4'!B4</f>
        <v>5141.541704847632</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3.7799097993891548E-3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5.8960711494979287E-4</v>
      </c>
      <c r="C5" s="430" t="s">
        <v>204</v>
      </c>
      <c r="D5" s="415">
        <f>SUM(D6:D11)</f>
        <v>1.1264205692405778E-3</v>
      </c>
      <c r="E5" s="415">
        <f>SUM(E6:E11)</f>
        <v>6.0803129786978275E-4</v>
      </c>
      <c r="F5" s="428" t="s">
        <v>204</v>
      </c>
      <c r="G5" s="415">
        <f>SUM(G6:G11)</f>
        <v>0.26294918437943637</v>
      </c>
      <c r="H5" s="415">
        <f>SUM(H6:H11)</f>
        <v>7.3899774872175791E-2</v>
      </c>
      <c r="I5" s="430" t="s">
        <v>204</v>
      </c>
      <c r="J5" s="430" t="s">
        <v>204</v>
      </c>
      <c r="K5" s="430" t="s">
        <v>204</v>
      </c>
      <c r="L5" s="430" t="s">
        <v>204</v>
      </c>
      <c r="M5" s="415">
        <f>SUM(M6:M11)</f>
        <v>1.9941676010264957E-2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3.8289500452949447E-4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6.6820781302260484E-4</v>
      </c>
      <c r="E6" s="844">
        <f>vkm_GW_PW*SUMIFS(TableVerdeelsleutelVkm[LPG],TableVerdeelsleutelVkm[Voertuigtype],"Lichte voertuigen")*SUMIFS(TableECFTransport[EnergieConsumptieFactor (PJ per km)],TableECFTransport[Index],CONCATENATE($A6,"_LPG_LPG"))</f>
        <v>3.6740112077805764E-4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0.11307663029605969</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4.4117846299027014E-2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9.4333246984634606E-3</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1.643090702523288E-6</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6.8003326559795865E-2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7.452826810459842E-7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3.8286958436687495E-3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2.0481702951427111E-4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4.5821275621797295E-4</v>
      </c>
      <c r="E8" s="418">
        <f>vkm_NGW_PW*SUMIFS(TableVerdeelsleutelVkm[LPG],TableVerdeelsleutelVkm[Voertuigtype],"Lichte voertuigen")*SUMIFS(TableECFTransport[EnergieConsumptieFactor (PJ per km)],TableECFTransport[Index],CONCATENATE($A8,"_LPG_LPG"))</f>
        <v>2.4063017709172511E-4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6.8438807926140738E-2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2.9781045328431864E-2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5.9235020464680922E-3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2.51990203503978E-7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1.3430419597440069E-2</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1.3796203585891676E-7</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7.5615342166465347E-4</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163.77975415272024</v>
      </c>
      <c r="C14" s="21"/>
      <c r="D14" s="21">
        <f t="shared" ref="D14:M14" si="0">((D5)*10^9/3600)+D12</f>
        <v>312.89460256682713</v>
      </c>
      <c r="E14" s="21">
        <f t="shared" si="0"/>
        <v>168.89758274160633</v>
      </c>
      <c r="F14" s="21"/>
      <c r="G14" s="21">
        <f t="shared" si="0"/>
        <v>73041.440105398986</v>
      </c>
      <c r="H14" s="21">
        <f t="shared" si="0"/>
        <v>20527.715242271053</v>
      </c>
      <c r="I14" s="21"/>
      <c r="J14" s="21"/>
      <c r="K14" s="21"/>
      <c r="L14" s="21"/>
      <c r="M14" s="21">
        <f t="shared" si="0"/>
        <v>5539.354447295822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0.1951126643489724</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31.955504199156923</v>
      </c>
      <c r="C18" s="23"/>
      <c r="D18" s="23">
        <f t="shared" ref="D18:M18" si="1">D14*D16</f>
        <v>63.204709718499082</v>
      </c>
      <c r="E18" s="23">
        <f t="shared" si="1"/>
        <v>38.339751282344636</v>
      </c>
      <c r="F18" s="23"/>
      <c r="G18" s="23">
        <f t="shared" si="1"/>
        <v>19502.064508141531</v>
      </c>
      <c r="H18" s="23">
        <f t="shared" si="1"/>
        <v>5111.401095325492</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2.9804194522902944E-5</v>
      </c>
      <c r="C50" s="313">
        <f t="shared" ref="C50:P50" si="2">SUM(C51:C52)</f>
        <v>0</v>
      </c>
      <c r="D50" s="313">
        <f t="shared" si="2"/>
        <v>0</v>
      </c>
      <c r="E50" s="313">
        <f t="shared" si="2"/>
        <v>0</v>
      </c>
      <c r="F50" s="313">
        <f t="shared" si="2"/>
        <v>0</v>
      </c>
      <c r="G50" s="313">
        <f t="shared" si="2"/>
        <v>2.127369708022046E-3</v>
      </c>
      <c r="H50" s="313">
        <f t="shared" si="2"/>
        <v>0</v>
      </c>
      <c r="I50" s="313">
        <f t="shared" si="2"/>
        <v>0</v>
      </c>
      <c r="J50" s="313">
        <f t="shared" si="2"/>
        <v>0</v>
      </c>
      <c r="K50" s="313">
        <f t="shared" si="2"/>
        <v>0</v>
      </c>
      <c r="L50" s="313">
        <f t="shared" si="2"/>
        <v>0</v>
      </c>
      <c r="M50" s="313">
        <f t="shared" si="2"/>
        <v>1.1747036394242798E-4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2.9804194522902944E-5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2.127369708022046E-3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1.1747036394242798E-4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8.2789429230285965</v>
      </c>
      <c r="C54" s="21">
        <f t="shared" ref="C54:P54" si="3">(C50)*10^9/3600</f>
        <v>0</v>
      </c>
      <c r="D54" s="21">
        <f t="shared" si="3"/>
        <v>0</v>
      </c>
      <c r="E54" s="21">
        <f t="shared" si="3"/>
        <v>0</v>
      </c>
      <c r="F54" s="21">
        <f t="shared" si="3"/>
        <v>0</v>
      </c>
      <c r="G54" s="21">
        <f t="shared" si="3"/>
        <v>590.93603000612381</v>
      </c>
      <c r="H54" s="21">
        <f t="shared" si="3"/>
        <v>0</v>
      </c>
      <c r="I54" s="21">
        <f t="shared" si="3"/>
        <v>0</v>
      </c>
      <c r="J54" s="21">
        <f t="shared" si="3"/>
        <v>0</v>
      </c>
      <c r="K54" s="21">
        <f t="shared" si="3"/>
        <v>0</v>
      </c>
      <c r="L54" s="21">
        <f t="shared" si="3"/>
        <v>0</v>
      </c>
      <c r="M54" s="21">
        <f t="shared" si="3"/>
        <v>32.630656650674439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0.1951126643489724</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1.615326611705179</v>
      </c>
      <c r="C58" s="23">
        <f t="shared" ref="C58:P58" ca="1" si="4">C54*C56</f>
        <v>0</v>
      </c>
      <c r="D58" s="23">
        <f t="shared" si="4"/>
        <v>0</v>
      </c>
      <c r="E58" s="23">
        <f t="shared" si="4"/>
        <v>0</v>
      </c>
      <c r="F58" s="23">
        <f t="shared" si="4"/>
        <v>0</v>
      </c>
      <c r="G58" s="23">
        <f t="shared" si="4"/>
        <v>157.77992001163506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5503.048206489334</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N29</f>
        <v>0</v>
      </c>
      <c r="C8" s="540">
        <f>B48</f>
        <v>0</v>
      </c>
      <c r="D8" s="541"/>
      <c r="E8" s="541">
        <f>E48</f>
        <v>0</v>
      </c>
      <c r="F8" s="542"/>
      <c r="G8" s="543"/>
      <c r="H8" s="541">
        <f>I48</f>
        <v>0</v>
      </c>
      <c r="I8" s="541">
        <f>G48+F48</f>
        <v>0</v>
      </c>
      <c r="J8" s="541">
        <f>H48+D48+C48</f>
        <v>0</v>
      </c>
      <c r="K8" s="541"/>
      <c r="L8" s="541"/>
      <c r="M8" s="541"/>
      <c r="N8" s="544"/>
      <c r="O8" s="545">
        <f>C8*$C$12+D8*$D$12+E8*$E$12+F8*$F$12+G8*$G$12+H8*$H$12+I8*$I$12+J8*$J$12</f>
        <v>0</v>
      </c>
      <c r="P8" s="1210"/>
      <c r="Q8" s="1211"/>
      <c r="S8" s="535"/>
      <c r="T8" s="1198"/>
      <c r="U8" s="1198"/>
    </row>
    <row r="9" spans="1:21" s="526" customFormat="1" ht="17.45" customHeight="1" thickBot="1">
      <c r="A9" s="546" t="s">
        <v>237</v>
      </c>
      <c r="B9" s="547">
        <f>N36+'Eigen informatie GS &amp; warmtenet'!B12</f>
        <v>0</v>
      </c>
      <c r="C9" s="548">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5503.048206489334</v>
      </c>
      <c r="C10" s="555">
        <f t="shared" ref="C10:L10" si="0">SUM(C8:C9)</f>
        <v>0</v>
      </c>
      <c r="D10" s="555">
        <f t="shared" si="0"/>
        <v>0</v>
      </c>
      <c r="E10" s="555">
        <f t="shared" si="0"/>
        <v>0</v>
      </c>
      <c r="F10" s="555">
        <f t="shared" si="0"/>
        <v>0</v>
      </c>
      <c r="G10" s="555">
        <f t="shared" si="0"/>
        <v>0</v>
      </c>
      <c r="H10" s="555">
        <f t="shared" si="0"/>
        <v>0</v>
      </c>
      <c r="I10" s="555">
        <f t="shared" si="0"/>
        <v>0</v>
      </c>
      <c r="J10" s="555">
        <f t="shared" si="0"/>
        <v>0</v>
      </c>
      <c r="K10" s="555">
        <f t="shared" si="0"/>
        <v>0</v>
      </c>
      <c r="L10" s="555">
        <f t="shared" si="0"/>
        <v>0</v>
      </c>
      <c r="M10" s="917"/>
      <c r="N10" s="917"/>
      <c r="O10" s="556">
        <f>SUM(O4:O9)</f>
        <v>0</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O29</f>
        <v>0</v>
      </c>
      <c r="C17" s="571">
        <f>B49</f>
        <v>0</v>
      </c>
      <c r="D17" s="572"/>
      <c r="E17" s="572">
        <f>E49</f>
        <v>0</v>
      </c>
      <c r="F17" s="573"/>
      <c r="G17" s="574"/>
      <c r="H17" s="571">
        <f>I49</f>
        <v>0</v>
      </c>
      <c r="I17" s="572">
        <f>G49+F49</f>
        <v>0</v>
      </c>
      <c r="J17" s="572">
        <f>H49+D49+C49</f>
        <v>0</v>
      </c>
      <c r="K17" s="572"/>
      <c r="L17" s="572"/>
      <c r="M17" s="572"/>
      <c r="N17" s="918"/>
      <c r="O17" s="575">
        <f>C17*$C$22+E17*$E$22+H17*$H$22+I17*$I$22+J17*$J$22+D17*$D$22+F17*$F$22+G17*$G$22+K17*$K$22+L17*$L$22</f>
        <v>0</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0</v>
      </c>
      <c r="C20" s="554">
        <f>SUM(C17:C19)</f>
        <v>0</v>
      </c>
      <c r="D20" s="554">
        <f t="shared" ref="D20:L20" si="1">SUM(D17:D19)</f>
        <v>0</v>
      </c>
      <c r="E20" s="554">
        <f t="shared" si="1"/>
        <v>0</v>
      </c>
      <c r="F20" s="554">
        <f t="shared" si="1"/>
        <v>0</v>
      </c>
      <c r="G20" s="554">
        <f t="shared" si="1"/>
        <v>0</v>
      </c>
      <c r="H20" s="554">
        <f t="shared" si="1"/>
        <v>0</v>
      </c>
      <c r="I20" s="554">
        <f t="shared" si="1"/>
        <v>0</v>
      </c>
      <c r="J20" s="554">
        <f t="shared" si="1"/>
        <v>0</v>
      </c>
      <c r="K20" s="554">
        <f t="shared" si="1"/>
        <v>0</v>
      </c>
      <c r="L20" s="554">
        <f t="shared" si="1"/>
        <v>0</v>
      </c>
      <c r="M20" s="554"/>
      <c r="N20" s="554"/>
      <c r="O20" s="580">
        <f>SUM(O17:O19)</f>
        <v>0</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12.75" hidden="1">
      <c r="A28" s="584"/>
      <c r="B28" s="746"/>
      <c r="C28" s="746"/>
      <c r="D28" s="632"/>
      <c r="E28" s="631"/>
      <c r="F28" s="631"/>
      <c r="G28" s="631"/>
      <c r="H28" s="631"/>
      <c r="I28" s="631"/>
      <c r="J28" s="745"/>
      <c r="K28" s="745"/>
      <c r="L28" s="631"/>
      <c r="M28" s="631"/>
      <c r="N28" s="631"/>
      <c r="O28" s="631"/>
      <c r="P28" s="631"/>
      <c r="Q28" s="631"/>
      <c r="R28" s="631"/>
      <c r="S28" s="631"/>
      <c r="T28" s="631"/>
      <c r="U28" s="631"/>
      <c r="V28" s="631"/>
      <c r="W28" s="631"/>
      <c r="X28" s="631"/>
      <c r="Y28" s="631"/>
      <c r="Z28" s="631"/>
      <c r="AA28" s="633"/>
    </row>
    <row r="29" spans="1:27" s="565" customFormat="1" hidden="1">
      <c r="A29" s="587" t="s">
        <v>269</v>
      </c>
      <c r="B29" s="588"/>
      <c r="C29" s="588"/>
      <c r="D29" s="588"/>
      <c r="E29" s="588"/>
      <c r="F29" s="588"/>
      <c r="G29" s="588"/>
      <c r="H29" s="588"/>
      <c r="I29" s="588"/>
      <c r="J29" s="588"/>
      <c r="K29" s="588"/>
      <c r="L29" s="589"/>
      <c r="M29" s="589">
        <f>SUM(M28:M28)</f>
        <v>0</v>
      </c>
      <c r="N29" s="589">
        <f>SUM(N28:N28)</f>
        <v>0</v>
      </c>
      <c r="O29" s="589">
        <f>SUM(O28:O28)</f>
        <v>0</v>
      </c>
      <c r="P29" s="589">
        <f>SUM(P28:P28)</f>
        <v>0</v>
      </c>
      <c r="Q29" s="589">
        <f>SUM(Q28:Q28)</f>
        <v>0</v>
      </c>
      <c r="R29" s="589">
        <f>SUM(R28:R28)</f>
        <v>0</v>
      </c>
      <c r="S29" s="589">
        <f>SUM(S28:S28)</f>
        <v>0</v>
      </c>
      <c r="T29" s="589">
        <f>SUM(T28:T28)</f>
        <v>0</v>
      </c>
      <c r="U29" s="589">
        <f>SUM(U28:U28)</f>
        <v>0</v>
      </c>
      <c r="V29" s="589">
        <f>SUM(V28:V28)</f>
        <v>0</v>
      </c>
      <c r="W29" s="589">
        <f>SUM(W28:W28)</f>
        <v>0</v>
      </c>
      <c r="X29" s="589"/>
      <c r="Y29" s="590"/>
      <c r="Z29" s="590"/>
      <c r="AA29" s="591"/>
    </row>
    <row r="30" spans="1:27" s="565" customFormat="1">
      <c r="A30" s="587" t="s">
        <v>276</v>
      </c>
      <c r="B30" s="588"/>
      <c r="C30" s="588"/>
      <c r="D30" s="588"/>
      <c r="E30" s="588"/>
      <c r="F30" s="588"/>
      <c r="G30" s="588"/>
      <c r="H30" s="588"/>
      <c r="I30" s="588"/>
      <c r="J30" s="588"/>
      <c r="K30" s="588"/>
      <c r="L30" s="589"/>
      <c r="M30" s="589">
        <f>SUMIF($AA$28:$AA$28,"industrie",M28:M28)</f>
        <v>0</v>
      </c>
      <c r="N30" s="589">
        <f>SUMIF($AA$28:$AA$28,"industrie",N28:N28)</f>
        <v>0</v>
      </c>
      <c r="O30" s="589">
        <f>SUMIF($AA$28:$AA$28,"industrie",O28:O28)</f>
        <v>0</v>
      </c>
      <c r="P30" s="589">
        <f>SUMIF($AA$28:$AA$28,"industrie",P28:P28)</f>
        <v>0</v>
      </c>
      <c r="Q30" s="589">
        <f>SUMIF($AA$28:$AA$28,"industrie",Q28:Q28)</f>
        <v>0</v>
      </c>
      <c r="R30" s="589">
        <f>SUMIF($AA$28:$AA$28,"industrie",R28:R28)</f>
        <v>0</v>
      </c>
      <c r="S30" s="589">
        <f>SUMIF($AA$28:$AA$28,"industrie",S28:S28)</f>
        <v>0</v>
      </c>
      <c r="T30" s="589">
        <f>SUMIF($AA$28:$AA$28,"industrie",T28:T28)</f>
        <v>0</v>
      </c>
      <c r="U30" s="589">
        <f>SUMIF($AA$28:$AA$28,"industrie",U28:U28)</f>
        <v>0</v>
      </c>
      <c r="V30" s="589">
        <f>SUMIF($AA$28:$AA$28,"industrie",V28:V28)</f>
        <v>0</v>
      </c>
      <c r="W30" s="589">
        <f>SUMIF($AA$28:$AA$28,"industrie",W28:W28)</f>
        <v>0</v>
      </c>
      <c r="X30" s="589"/>
      <c r="Y30" s="590"/>
      <c r="Z30" s="590"/>
      <c r="AA30" s="591"/>
    </row>
    <row r="31" spans="1:27" s="565" customFormat="1">
      <c r="A31" s="587" t="s">
        <v>277</v>
      </c>
      <c r="B31" s="588"/>
      <c r="C31" s="588"/>
      <c r="D31" s="588"/>
      <c r="E31" s="588"/>
      <c r="F31" s="588"/>
      <c r="G31" s="588"/>
      <c r="H31" s="588"/>
      <c r="I31" s="588"/>
      <c r="J31" s="588"/>
      <c r="K31" s="588"/>
      <c r="L31" s="589"/>
      <c r="M31" s="589">
        <f ca="1">SUMIF($AA$28:AD28,"tertiair",M28:M28)</f>
        <v>0</v>
      </c>
      <c r="N31" s="589">
        <f ca="1">SUMIF($AA$28:AE28,"tertiair",N28:N28)</f>
        <v>0</v>
      </c>
      <c r="O31" s="589">
        <f ca="1">SUMIF($AA$28:AF28,"tertiair",O28:O28)</f>
        <v>0</v>
      </c>
      <c r="P31" s="589">
        <f ca="1">SUMIF($AA$28:AG28,"tertiair",P28:P28)</f>
        <v>0</v>
      </c>
      <c r="Q31" s="589">
        <f ca="1">SUMIF($AA$28:AH28,"tertiair",Q28:Q28)</f>
        <v>0</v>
      </c>
      <c r="R31" s="589">
        <f ca="1">SUMIF($AA$28:AI28,"tertiair",R28:R28)</f>
        <v>0</v>
      </c>
      <c r="S31" s="589">
        <f ca="1">SUMIF($AA$28:AJ28,"tertiair",S28:S28)</f>
        <v>0</v>
      </c>
      <c r="T31" s="589">
        <f ca="1">SUMIF($AA$28:AK28,"tertiair",T28:T28)</f>
        <v>0</v>
      </c>
      <c r="U31" s="589">
        <f ca="1">SUMIF($AA$28:AL28,"tertiair",U28:U28)</f>
        <v>0</v>
      </c>
      <c r="V31" s="589">
        <f ca="1">SUMIF($AA$28:AM28,"tertiair",V28:V28)</f>
        <v>0</v>
      </c>
      <c r="W31" s="589">
        <f ca="1">SUMIF($AA$28:AN28,"tertiair",W28:W28)</f>
        <v>0</v>
      </c>
      <c r="X31" s="589"/>
      <c r="Y31" s="590"/>
      <c r="Z31" s="590"/>
      <c r="AA31" s="591"/>
    </row>
    <row r="32" spans="1:27" s="565" customFormat="1" ht="15.75" thickBot="1">
      <c r="A32" s="592" t="s">
        <v>278</v>
      </c>
      <c r="B32" s="593"/>
      <c r="C32" s="593"/>
      <c r="D32" s="593"/>
      <c r="E32" s="593"/>
      <c r="F32" s="593"/>
      <c r="G32" s="593"/>
      <c r="H32" s="593"/>
      <c r="I32" s="593"/>
      <c r="J32" s="593"/>
      <c r="K32" s="593"/>
      <c r="L32" s="594"/>
      <c r="M32" s="594">
        <f>SUMIF($AA$28:$AA$28,"landbouw",M28:M28)</f>
        <v>0</v>
      </c>
      <c r="N32" s="594">
        <f>SUMIF($AA$28:$AA$28,"landbouw",N28:N28)</f>
        <v>0</v>
      </c>
      <c r="O32" s="594">
        <f>SUMIF($AA$28:$AA$28,"landbouw",O28:O28)</f>
        <v>0</v>
      </c>
      <c r="P32" s="594">
        <f>SUMIF($AA$28:$AA$28,"landbouw",P28:P28)</f>
        <v>0</v>
      </c>
      <c r="Q32" s="594">
        <f>SUMIF($AA$28:$AA$28,"landbouw",Q28:Q28)</f>
        <v>0</v>
      </c>
      <c r="R32" s="594">
        <f>SUMIF($AA$28:$AA$28,"landbouw",R28:R28)</f>
        <v>0</v>
      </c>
      <c r="S32" s="594">
        <f>SUMIF($AA$28:$AA$28,"landbouw",S28:S28)</f>
        <v>0</v>
      </c>
      <c r="T32" s="594">
        <f>SUMIF($AA$28:$AA$28,"landbouw",T28:T28)</f>
        <v>0</v>
      </c>
      <c r="U32" s="594">
        <f>SUMIF($AA$28:$AA$28,"landbouw",U28:U28)</f>
        <v>0</v>
      </c>
      <c r="V32" s="594">
        <f>SUMIF($AA$28:$AA$28,"landbouw",V28:V28)</f>
        <v>0</v>
      </c>
      <c r="W32" s="594">
        <f>SUMIF($AA$28:$AA$28,"landbouw",W28:W28)</f>
        <v>0</v>
      </c>
      <c r="X32" s="594"/>
      <c r="Y32" s="595"/>
      <c r="Z32" s="595"/>
      <c r="AA32" s="596"/>
    </row>
    <row r="33" spans="1:28" s="526" customFormat="1" ht="15.75" thickBot="1">
      <c r="A33" s="597"/>
      <c r="B33" s="598"/>
      <c r="C33" s="598"/>
      <c r="D33" s="598"/>
      <c r="E33" s="598"/>
      <c r="F33" s="598"/>
      <c r="G33" s="598"/>
      <c r="H33" s="598"/>
      <c r="I33" s="598"/>
      <c r="J33" s="598"/>
      <c r="K33" s="598"/>
      <c r="L33" s="581"/>
      <c r="M33" s="581"/>
      <c r="N33" s="581"/>
      <c r="O33" s="582"/>
      <c r="P33" s="582"/>
    </row>
    <row r="34" spans="1:28" s="526" customFormat="1" ht="45">
      <c r="A34" s="599" t="s">
        <v>270</v>
      </c>
      <c r="B34" s="628" t="s">
        <v>89</v>
      </c>
      <c r="C34" s="628" t="s">
        <v>90</v>
      </c>
      <c r="D34" s="628"/>
      <c r="E34" s="628"/>
      <c r="F34" s="628"/>
      <c r="G34" s="628" t="s">
        <v>91</v>
      </c>
      <c r="H34" s="628" t="s">
        <v>92</v>
      </c>
      <c r="I34" s="628"/>
      <c r="J34" s="628"/>
      <c r="K34" s="628"/>
      <c r="L34" s="628" t="s">
        <v>93</v>
      </c>
      <c r="M34" s="629" t="s">
        <v>287</v>
      </c>
      <c r="N34" s="629" t="s">
        <v>94</v>
      </c>
      <c r="O34" s="629" t="s">
        <v>95</v>
      </c>
      <c r="P34" s="629" t="s">
        <v>510</v>
      </c>
      <c r="Q34" s="629" t="s">
        <v>96</v>
      </c>
      <c r="R34" s="629" t="s">
        <v>97</v>
      </c>
      <c r="S34" s="629" t="s">
        <v>98</v>
      </c>
      <c r="T34" s="629" t="s">
        <v>99</v>
      </c>
      <c r="U34" s="629" t="s">
        <v>100</v>
      </c>
      <c r="V34" s="629" t="s">
        <v>101</v>
      </c>
      <c r="W34" s="628" t="s">
        <v>102</v>
      </c>
      <c r="X34" s="628" t="s">
        <v>860</v>
      </c>
      <c r="Y34" s="628" t="s">
        <v>288</v>
      </c>
      <c r="Z34" s="628" t="s">
        <v>103</v>
      </c>
      <c r="AA34" s="630" t="s">
        <v>289</v>
      </c>
    </row>
    <row r="35" spans="1:28" s="600" customFormat="1" ht="12.75" hidden="1">
      <c r="A35" s="586"/>
      <c r="B35" s="746"/>
      <c r="C35" s="746"/>
      <c r="D35" s="634"/>
      <c r="E35" s="634"/>
      <c r="F35" s="634"/>
      <c r="G35" s="634"/>
      <c r="H35" s="634"/>
      <c r="I35" s="634"/>
      <c r="J35" s="745"/>
      <c r="K35" s="745"/>
      <c r="L35" s="634"/>
      <c r="M35" s="634"/>
      <c r="N35" s="634"/>
      <c r="O35" s="634"/>
      <c r="P35" s="634"/>
      <c r="Q35" s="634"/>
      <c r="R35" s="634"/>
      <c r="S35" s="634"/>
      <c r="T35" s="634"/>
      <c r="U35" s="634"/>
      <c r="V35" s="634"/>
      <c r="W35" s="634"/>
      <c r="X35" s="634"/>
      <c r="Y35" s="634"/>
      <c r="Z35" s="634"/>
      <c r="AA35" s="635"/>
    </row>
    <row r="36" spans="1:28" s="565" customFormat="1" hidden="1">
      <c r="A36" s="587" t="s">
        <v>269</v>
      </c>
      <c r="B36" s="588"/>
      <c r="C36" s="588"/>
      <c r="D36" s="588"/>
      <c r="E36" s="588"/>
      <c r="F36" s="588"/>
      <c r="G36" s="588"/>
      <c r="H36" s="588"/>
      <c r="I36" s="588"/>
      <c r="J36" s="588"/>
      <c r="K36" s="588"/>
      <c r="L36" s="589"/>
      <c r="M36" s="589">
        <f>SUM(M35:M35)</f>
        <v>0</v>
      </c>
      <c r="N36" s="589">
        <f>SUM(N35:N35)</f>
        <v>0</v>
      </c>
      <c r="O36" s="589">
        <f>SUM(O35:O35)</f>
        <v>0</v>
      </c>
      <c r="P36" s="589">
        <f>SUM(P35:P35)</f>
        <v>0</v>
      </c>
      <c r="Q36" s="589">
        <f>SUM(Q35:Q35)</f>
        <v>0</v>
      </c>
      <c r="R36" s="589">
        <f>SUM(R35:R35)</f>
        <v>0</v>
      </c>
      <c r="S36" s="589">
        <f>SUM(S35:S35)</f>
        <v>0</v>
      </c>
      <c r="T36" s="589">
        <f>SUM(T35:T35)</f>
        <v>0</v>
      </c>
      <c r="U36" s="589">
        <f>SUM(U35:U35)</f>
        <v>0</v>
      </c>
      <c r="V36" s="589">
        <f>SUM(V35:V35)</f>
        <v>0</v>
      </c>
      <c r="W36" s="589">
        <f>SUM(W35:W35)</f>
        <v>0</v>
      </c>
      <c r="X36" s="589"/>
      <c r="Y36" s="590"/>
      <c r="Z36" s="590"/>
      <c r="AA36" s="591"/>
    </row>
    <row r="37" spans="1:28" s="565" customFormat="1">
      <c r="A37" s="587" t="s">
        <v>276</v>
      </c>
      <c r="B37" s="588"/>
      <c r="C37" s="588"/>
      <c r="D37" s="588"/>
      <c r="E37" s="588"/>
      <c r="F37" s="588"/>
      <c r="G37" s="588"/>
      <c r="H37" s="588"/>
      <c r="I37" s="588"/>
      <c r="J37" s="588"/>
      <c r="K37" s="588"/>
      <c r="L37" s="589"/>
      <c r="M37" s="589">
        <f>SUMIF($AA$35:$AA$35,"industrie",M35:M35)</f>
        <v>0</v>
      </c>
      <c r="N37" s="589">
        <f>SUMIF($AA$35:$AA$35,"industrie",N35:N35)</f>
        <v>0</v>
      </c>
      <c r="O37" s="589">
        <f>SUMIF($AA$35:$AA$35,"industrie",O35:O35)</f>
        <v>0</v>
      </c>
      <c r="P37" s="589">
        <f>SUMIF($AA$35:$AA$35,"industrie",P35:P35)</f>
        <v>0</v>
      </c>
      <c r="Q37" s="589">
        <f>SUMIF($AA$35:$AA$35,"industrie",Q35:Q35)</f>
        <v>0</v>
      </c>
      <c r="R37" s="589">
        <f>SUMIF($AA$35:$AA$35,"industrie",R35:R35)</f>
        <v>0</v>
      </c>
      <c r="S37" s="589">
        <f>SUMIF($AA$35:$AA$35,"industrie",S35:S35)</f>
        <v>0</v>
      </c>
      <c r="T37" s="589">
        <f>SUMIF($AA$35:$AA$35,"industrie",T35:T35)</f>
        <v>0</v>
      </c>
      <c r="U37" s="589">
        <f>SUMIF($AA$35:$AA$35,"industrie",U35:U35)</f>
        <v>0</v>
      </c>
      <c r="V37" s="589">
        <f>SUMIF($AA$35:$AA$35,"industrie",V35:V35)</f>
        <v>0</v>
      </c>
      <c r="W37" s="589">
        <f>SUMIF($AA$35:$AA$35,"industrie",W35:W35)</f>
        <v>0</v>
      </c>
      <c r="X37" s="589"/>
      <c r="Y37" s="590"/>
      <c r="Z37" s="590"/>
      <c r="AA37" s="591"/>
    </row>
    <row r="38" spans="1:28" s="565" customFormat="1">
      <c r="A38" s="587" t="s">
        <v>277</v>
      </c>
      <c r="B38" s="588"/>
      <c r="C38" s="588"/>
      <c r="D38" s="588"/>
      <c r="E38" s="588"/>
      <c r="F38" s="588"/>
      <c r="G38" s="588"/>
      <c r="H38" s="588"/>
      <c r="I38" s="588"/>
      <c r="J38" s="588"/>
      <c r="K38" s="588"/>
      <c r="L38" s="589"/>
      <c r="M38" s="589">
        <f>SUMIF($AA$35:$AA$36,"tertiair",M35:M36)</f>
        <v>0</v>
      </c>
      <c r="N38" s="589">
        <f>SUMIF($AA$35:$AA$36,"tertiair",N35:N36)</f>
        <v>0</v>
      </c>
      <c r="O38" s="589">
        <f>SUMIF($AA$35:$AA$36,"tertiair",O35:O36)</f>
        <v>0</v>
      </c>
      <c r="P38" s="589">
        <f>SUMIF($AA$35:$AA$36,"tertiair",P35:P36)</f>
        <v>0</v>
      </c>
      <c r="Q38" s="589">
        <f>SUMIF($AA$35:$AA$36,"tertiair",Q35:Q36)</f>
        <v>0</v>
      </c>
      <c r="R38" s="589">
        <f>SUMIF($AA$35:$AA$36,"tertiair",R35:R36)</f>
        <v>0</v>
      </c>
      <c r="S38" s="589">
        <f>SUMIF($AA$35:$AA$36,"tertiair",S35:S36)</f>
        <v>0</v>
      </c>
      <c r="T38" s="589">
        <f>SUMIF($AA$35:$AA$36,"tertiair",T35:T36)</f>
        <v>0</v>
      </c>
      <c r="U38" s="589">
        <f>SUMIF($AA$35:$AA$36,"tertiair",U35:U36)</f>
        <v>0</v>
      </c>
      <c r="V38" s="589">
        <f>SUMIF($AA$35:$AA$36,"tertiair",V35:V36)</f>
        <v>0</v>
      </c>
      <c r="W38" s="589">
        <f>SUMIF($AA$35:$AA$36,"tertiair",W35:W36)</f>
        <v>0</v>
      </c>
      <c r="X38" s="589"/>
      <c r="Y38" s="590"/>
      <c r="Z38" s="590"/>
      <c r="AA38" s="591"/>
    </row>
    <row r="39" spans="1:28" s="565" customFormat="1" ht="15.75" thickBot="1">
      <c r="A39" s="592" t="s">
        <v>278</v>
      </c>
      <c r="B39" s="593"/>
      <c r="C39" s="593"/>
      <c r="D39" s="593"/>
      <c r="E39" s="593"/>
      <c r="F39" s="593"/>
      <c r="G39" s="593"/>
      <c r="H39" s="593"/>
      <c r="I39" s="593"/>
      <c r="J39" s="593"/>
      <c r="K39" s="593"/>
      <c r="L39" s="594"/>
      <c r="M39" s="594">
        <f>SUMIF($AA$35:$AA$37,"landbouw",M35:M37)</f>
        <v>0</v>
      </c>
      <c r="N39" s="594">
        <f>SUMIF($AA$35:$AA$37,"landbouw",N35:N37)</f>
        <v>0</v>
      </c>
      <c r="O39" s="594">
        <f>SUMIF($AA$35:$AA$37,"landbouw",O35:O37)</f>
        <v>0</v>
      </c>
      <c r="P39" s="594">
        <f>SUMIF($AA$35:$AA$37,"landbouw",P35:P37)</f>
        <v>0</v>
      </c>
      <c r="Q39" s="594">
        <f>SUMIF($AA$35:$AA$37,"landbouw",Q35:Q37)</f>
        <v>0</v>
      </c>
      <c r="R39" s="594">
        <f>SUMIF($AA$35:$AA$37,"landbouw",R35:R37)</f>
        <v>0</v>
      </c>
      <c r="S39" s="594">
        <f>SUMIF($AA$35:$AA$37,"landbouw",S35:S37)</f>
        <v>0</v>
      </c>
      <c r="T39" s="594">
        <f>SUMIF($AA$35:$AA$37,"landbouw",T35:T37)</f>
        <v>0</v>
      </c>
      <c r="U39" s="594">
        <f>SUMIF($AA$35:$AA$37,"landbouw",U35:U37)</f>
        <v>0</v>
      </c>
      <c r="V39" s="594">
        <f>SUMIF($AA$35:$AA$37,"landbouw",V35:V37)</f>
        <v>0</v>
      </c>
      <c r="W39" s="594">
        <f>SUMIF($AA$35:$AA$37,"landbouw",W35:W37)</f>
        <v>0</v>
      </c>
      <c r="X39" s="594"/>
      <c r="Y39" s="595"/>
      <c r="Z39" s="595"/>
      <c r="AA39" s="596"/>
    </row>
    <row r="40" spans="1:28" s="601" customFormat="1">
      <c r="A40" s="597"/>
      <c r="B40" s="581"/>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row>
    <row r="41" spans="1:28" s="601" customFormat="1" ht="15.75" thickBo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row>
    <row r="42" spans="1:28">
      <c r="A42" s="602" t="s">
        <v>271</v>
      </c>
      <c r="B42" s="603"/>
      <c r="C42" s="603"/>
      <c r="D42" s="603"/>
      <c r="E42" s="603"/>
      <c r="F42" s="603"/>
      <c r="G42" s="603"/>
      <c r="H42" s="603"/>
      <c r="I42" s="604"/>
      <c r="J42" s="605"/>
      <c r="K42" s="605"/>
      <c r="L42" s="606"/>
      <c r="M42" s="606"/>
      <c r="N42" s="606"/>
      <c r="O42" s="606"/>
      <c r="P42" s="606"/>
    </row>
    <row r="43" spans="1:28">
      <c r="A43" s="608"/>
      <c r="B43" s="598"/>
      <c r="C43" s="598"/>
      <c r="D43" s="598"/>
      <c r="E43" s="598"/>
      <c r="F43" s="598"/>
      <c r="G43" s="598"/>
      <c r="H43" s="598"/>
      <c r="I43" s="609"/>
      <c r="J43" s="598"/>
      <c r="K43" s="598"/>
      <c r="L43" s="606"/>
      <c r="M43" s="606"/>
      <c r="N43" s="606"/>
      <c r="O43" s="606"/>
      <c r="P43" s="606"/>
    </row>
    <row r="44" spans="1:28">
      <c r="A44" s="610"/>
      <c r="B44" s="611" t="s">
        <v>272</v>
      </c>
      <c r="C44" s="611" t="s">
        <v>273</v>
      </c>
      <c r="D44" s="611"/>
      <c r="E44" s="611"/>
      <c r="F44" s="611"/>
      <c r="G44" s="611"/>
      <c r="H44" s="611"/>
      <c r="I44" s="612"/>
      <c r="J44" s="611"/>
      <c r="K44" s="611"/>
      <c r="L44" s="611"/>
      <c r="M44" s="611"/>
      <c r="N44" s="611"/>
      <c r="O44" s="611"/>
      <c r="P44" s="606"/>
    </row>
    <row r="45" spans="1:28">
      <c r="A45" s="608" t="s">
        <v>269</v>
      </c>
      <c r="B45" s="613">
        <f>IF(ISERROR(O29/(O29+N29)),0,O29/(O29+N29))</f>
        <v>0</v>
      </c>
      <c r="C45" s="614">
        <f>IF(ISERROR(N29/(O29+N29)),0,N29/(N29+O29))</f>
        <v>0</v>
      </c>
      <c r="D45" s="581"/>
      <c r="E45" s="581"/>
      <c r="F45" s="581"/>
      <c r="G45" s="581"/>
      <c r="H45" s="581"/>
      <c r="I45" s="615"/>
      <c r="J45" s="581"/>
      <c r="K45" s="581"/>
      <c r="L45" s="616"/>
      <c r="M45" s="616"/>
      <c r="N45" s="616"/>
      <c r="O45" s="616"/>
      <c r="P45" s="606"/>
    </row>
    <row r="46" spans="1:28">
      <c r="A46" s="608"/>
      <c r="B46" s="617"/>
      <c r="C46" s="617"/>
      <c r="D46" s="617"/>
      <c r="E46" s="617"/>
      <c r="F46" s="617"/>
      <c r="G46" s="617"/>
      <c r="H46" s="617"/>
      <c r="I46" s="618"/>
      <c r="J46" s="617"/>
      <c r="K46" s="617"/>
      <c r="L46" s="619"/>
      <c r="M46" s="619"/>
      <c r="N46" s="619"/>
      <c r="O46" s="619"/>
      <c r="P46" s="606"/>
    </row>
    <row r="47" spans="1:28" ht="30">
      <c r="A47" s="620"/>
      <c r="B47" s="621" t="s">
        <v>510</v>
      </c>
      <c r="C47" s="621" t="s">
        <v>96</v>
      </c>
      <c r="D47" s="621" t="s">
        <v>97</v>
      </c>
      <c r="E47" s="621" t="s">
        <v>98</v>
      </c>
      <c r="F47" s="621" t="s">
        <v>99</v>
      </c>
      <c r="G47" s="621" t="s">
        <v>100</v>
      </c>
      <c r="H47" s="621" t="s">
        <v>101</v>
      </c>
      <c r="I47" s="622" t="s">
        <v>102</v>
      </c>
      <c r="J47" s="611"/>
      <c r="K47" s="611"/>
      <c r="L47" s="619"/>
      <c r="M47" s="619"/>
      <c r="N47" s="619"/>
      <c r="O47" s="606"/>
      <c r="P47" s="606"/>
    </row>
    <row r="48" spans="1:28">
      <c r="A48" s="610" t="s">
        <v>274</v>
      </c>
      <c r="B48" s="623">
        <f t="shared" ref="B48:I48" si="2">$C$45*P29</f>
        <v>0</v>
      </c>
      <c r="C48" s="623">
        <f t="shared" si="2"/>
        <v>0</v>
      </c>
      <c r="D48" s="623">
        <f t="shared" si="2"/>
        <v>0</v>
      </c>
      <c r="E48" s="623">
        <f t="shared" si="2"/>
        <v>0</v>
      </c>
      <c r="F48" s="623">
        <f t="shared" si="2"/>
        <v>0</v>
      </c>
      <c r="G48" s="623">
        <f t="shared" si="2"/>
        <v>0</v>
      </c>
      <c r="H48" s="623">
        <f t="shared" si="2"/>
        <v>0</v>
      </c>
      <c r="I48" s="624">
        <f t="shared" si="2"/>
        <v>0</v>
      </c>
      <c r="J48" s="581"/>
      <c r="K48" s="581"/>
      <c r="L48" s="619"/>
      <c r="M48" s="619"/>
      <c r="N48" s="619"/>
      <c r="O48" s="606"/>
      <c r="P48" s="606"/>
    </row>
    <row r="49" spans="1:16" ht="15.75" thickBot="1">
      <c r="A49" s="625" t="s">
        <v>275</v>
      </c>
      <c r="B49" s="626">
        <f t="shared" ref="B49:I49" si="3">$B$45*P29</f>
        <v>0</v>
      </c>
      <c r="C49" s="626">
        <f t="shared" si="3"/>
        <v>0</v>
      </c>
      <c r="D49" s="626">
        <f t="shared" si="3"/>
        <v>0</v>
      </c>
      <c r="E49" s="626">
        <f t="shared" si="3"/>
        <v>0</v>
      </c>
      <c r="F49" s="626">
        <f t="shared" si="3"/>
        <v>0</v>
      </c>
      <c r="G49" s="626">
        <f t="shared" si="3"/>
        <v>0</v>
      </c>
      <c r="H49" s="626">
        <f t="shared" si="3"/>
        <v>0</v>
      </c>
      <c r="I49" s="627">
        <f t="shared" si="3"/>
        <v>0</v>
      </c>
      <c r="J49" s="581"/>
      <c r="K49" s="581"/>
      <c r="L49" s="619"/>
      <c r="M49" s="619"/>
      <c r="N49" s="619"/>
      <c r="O49" s="606"/>
      <c r="P49" s="606"/>
    </row>
    <row r="50" spans="1:16">
      <c r="J50" s="561"/>
      <c r="K50" s="561"/>
      <c r="L50" s="561"/>
      <c r="M50" s="561"/>
      <c r="N50" s="561"/>
    </row>
    <row r="51" spans="1:16">
      <c r="J51" s="561"/>
      <c r="K51" s="561"/>
      <c r="L51" s="561"/>
      <c r="M51" s="561"/>
      <c r="N51"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10197.00443858073</v>
      </c>
      <c r="D10" s="642">
        <f ca="1">tertiair!C16</f>
        <v>0</v>
      </c>
      <c r="E10" s="642">
        <f ca="1">tertiair!D16</f>
        <v>10233.274788016251</v>
      </c>
      <c r="F10" s="642">
        <f>tertiair!E16</f>
        <v>26.071236296360343</v>
      </c>
      <c r="G10" s="642">
        <f ca="1">tertiair!F16</f>
        <v>1706.7003739526299</v>
      </c>
      <c r="H10" s="642">
        <f>tertiair!G16</f>
        <v>0</v>
      </c>
      <c r="I10" s="642">
        <f>tertiair!H16</f>
        <v>0</v>
      </c>
      <c r="J10" s="642">
        <f>tertiair!I16</f>
        <v>0</v>
      </c>
      <c r="K10" s="642">
        <f>tertiair!J16</f>
        <v>1.0167162896310374E-2</v>
      </c>
      <c r="L10" s="642">
        <f>tertiair!K16</f>
        <v>0</v>
      </c>
      <c r="M10" s="642">
        <f ca="1">tertiair!L16</f>
        <v>0</v>
      </c>
      <c r="N10" s="642">
        <f>tertiair!M16</f>
        <v>0</v>
      </c>
      <c r="O10" s="642">
        <f ca="1">tertiair!N16</f>
        <v>365.9500278150615</v>
      </c>
      <c r="P10" s="642">
        <f>tertiair!O16</f>
        <v>4.8972607658411542</v>
      </c>
      <c r="Q10" s="643">
        <f>tertiair!P16</f>
        <v>157.61741491948504</v>
      </c>
      <c r="R10" s="645">
        <f ca="1">SUM(C10:Q10)</f>
        <v>22691.525707509256</v>
      </c>
      <c r="S10" s="67"/>
    </row>
    <row r="11" spans="1:19" s="441" customFormat="1">
      <c r="A11" s="762" t="s">
        <v>214</v>
      </c>
      <c r="B11" s="767"/>
      <c r="C11" s="642">
        <f>huishoudens!B8</f>
        <v>27477.404274559791</v>
      </c>
      <c r="D11" s="642">
        <f>huishoudens!C8</f>
        <v>0</v>
      </c>
      <c r="E11" s="642">
        <f>huishoudens!D8</f>
        <v>38564.550572946166</v>
      </c>
      <c r="F11" s="642">
        <f>huishoudens!E8</f>
        <v>2210.2702219017801</v>
      </c>
      <c r="G11" s="642">
        <f>huishoudens!F8</f>
        <v>36221.205356684659</v>
      </c>
      <c r="H11" s="642">
        <f>huishoudens!G8</f>
        <v>0</v>
      </c>
      <c r="I11" s="642">
        <f>huishoudens!H8</f>
        <v>0</v>
      </c>
      <c r="J11" s="642">
        <f>huishoudens!I8</f>
        <v>0</v>
      </c>
      <c r="K11" s="642">
        <f>huishoudens!J8</f>
        <v>199.92290019088153</v>
      </c>
      <c r="L11" s="642">
        <f>huishoudens!K8</f>
        <v>0</v>
      </c>
      <c r="M11" s="642">
        <f>huishoudens!L8</f>
        <v>0</v>
      </c>
      <c r="N11" s="642">
        <f>huishoudens!M8</f>
        <v>0</v>
      </c>
      <c r="O11" s="642">
        <f>huishoudens!N8</f>
        <v>8071.1791851122234</v>
      </c>
      <c r="P11" s="642">
        <f>huishoudens!O8</f>
        <v>442.42268292330812</v>
      </c>
      <c r="Q11" s="643">
        <f>huishoudens!P8</f>
        <v>1127.1336459222975</v>
      </c>
      <c r="R11" s="645">
        <f>SUM(C11:Q11)</f>
        <v>114314.08884024111</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5921.7522011206383</v>
      </c>
      <c r="D13" s="642">
        <f>industrie!C18</f>
        <v>0</v>
      </c>
      <c r="E13" s="642">
        <f>industrie!D18</f>
        <v>5050.9610363619049</v>
      </c>
      <c r="F13" s="642">
        <f>industrie!E18</f>
        <v>24.093906179737779</v>
      </c>
      <c r="G13" s="642">
        <f>industrie!F18</f>
        <v>1006.2914963466067</v>
      </c>
      <c r="H13" s="642">
        <f>industrie!G18</f>
        <v>0</v>
      </c>
      <c r="I13" s="642">
        <f>industrie!H18</f>
        <v>0</v>
      </c>
      <c r="J13" s="642">
        <f>industrie!I18</f>
        <v>0</v>
      </c>
      <c r="K13" s="642">
        <f>industrie!J18</f>
        <v>0.666855639623539</v>
      </c>
      <c r="L13" s="642">
        <f>industrie!K18</f>
        <v>0</v>
      </c>
      <c r="M13" s="642">
        <f>industrie!L18</f>
        <v>0</v>
      </c>
      <c r="N13" s="642">
        <f>industrie!M18</f>
        <v>0</v>
      </c>
      <c r="O13" s="642">
        <f>industrie!N18</f>
        <v>550.41017240175063</v>
      </c>
      <c r="P13" s="642">
        <f>industrie!O18</f>
        <v>0</v>
      </c>
      <c r="Q13" s="643">
        <f>industrie!P18</f>
        <v>0</v>
      </c>
      <c r="R13" s="645">
        <f>SUM(C13:Q13)</f>
        <v>12554.175668050262</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43596.160914261163</v>
      </c>
      <c r="D16" s="678">
        <f t="shared" ref="D16:R16" ca="1" si="0">SUM(D9:D15)</f>
        <v>0</v>
      </c>
      <c r="E16" s="678">
        <f t="shared" ca="1" si="0"/>
        <v>53848.786397324322</v>
      </c>
      <c r="F16" s="678">
        <f t="shared" si="0"/>
        <v>2260.4353643778782</v>
      </c>
      <c r="G16" s="678">
        <f t="shared" ca="1" si="0"/>
        <v>38934.197226983895</v>
      </c>
      <c r="H16" s="678">
        <f t="shared" si="0"/>
        <v>0</v>
      </c>
      <c r="I16" s="678">
        <f t="shared" si="0"/>
        <v>0</v>
      </c>
      <c r="J16" s="678">
        <f t="shared" si="0"/>
        <v>0</v>
      </c>
      <c r="K16" s="678">
        <f t="shared" si="0"/>
        <v>200.59992299340141</v>
      </c>
      <c r="L16" s="678">
        <f t="shared" si="0"/>
        <v>0</v>
      </c>
      <c r="M16" s="678">
        <f t="shared" ca="1" si="0"/>
        <v>0</v>
      </c>
      <c r="N16" s="678">
        <f t="shared" si="0"/>
        <v>0</v>
      </c>
      <c r="O16" s="678">
        <f t="shared" ca="1" si="0"/>
        <v>8987.5393853290352</v>
      </c>
      <c r="P16" s="678">
        <f t="shared" si="0"/>
        <v>447.31994368914928</v>
      </c>
      <c r="Q16" s="678">
        <f t="shared" si="0"/>
        <v>1284.7510608417826</v>
      </c>
      <c r="R16" s="678">
        <f t="shared" ca="1" si="0"/>
        <v>149559.79021580063</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8.2789429230285965</v>
      </c>
      <c r="D19" s="642">
        <f>transport!C54</f>
        <v>0</v>
      </c>
      <c r="E19" s="642">
        <f>transport!D54</f>
        <v>0</v>
      </c>
      <c r="F19" s="642">
        <f>transport!E54</f>
        <v>0</v>
      </c>
      <c r="G19" s="642">
        <f>transport!F54</f>
        <v>0</v>
      </c>
      <c r="H19" s="642">
        <f>transport!G54</f>
        <v>590.93603000612381</v>
      </c>
      <c r="I19" s="642">
        <f>transport!H54</f>
        <v>0</v>
      </c>
      <c r="J19" s="642">
        <f>transport!I54</f>
        <v>0</v>
      </c>
      <c r="K19" s="642">
        <f>transport!J54</f>
        <v>0</v>
      </c>
      <c r="L19" s="642">
        <f>transport!K54</f>
        <v>0</v>
      </c>
      <c r="M19" s="642">
        <f>transport!L54</f>
        <v>0</v>
      </c>
      <c r="N19" s="642">
        <f>transport!M54</f>
        <v>32.630656650674439</v>
      </c>
      <c r="O19" s="642">
        <f>transport!N54</f>
        <v>0</v>
      </c>
      <c r="P19" s="642">
        <f>transport!O54</f>
        <v>0</v>
      </c>
      <c r="Q19" s="643">
        <f>transport!P54</f>
        <v>0</v>
      </c>
      <c r="R19" s="645">
        <f>SUM(C19:Q19)</f>
        <v>631.84562957982689</v>
      </c>
      <c r="S19" s="67"/>
    </row>
    <row r="20" spans="1:19" s="441" customFormat="1">
      <c r="A20" s="762" t="s">
        <v>296</v>
      </c>
      <c r="B20" s="767"/>
      <c r="C20" s="642">
        <f>transport!B14</f>
        <v>163.77975415272024</v>
      </c>
      <c r="D20" s="642">
        <f>transport!C14</f>
        <v>0</v>
      </c>
      <c r="E20" s="642">
        <f>transport!D14</f>
        <v>312.89460256682713</v>
      </c>
      <c r="F20" s="642">
        <f>transport!E14</f>
        <v>168.89758274160633</v>
      </c>
      <c r="G20" s="642">
        <f>transport!F14</f>
        <v>0</v>
      </c>
      <c r="H20" s="642">
        <f>transport!G14</f>
        <v>73041.440105398986</v>
      </c>
      <c r="I20" s="642">
        <f>transport!H14</f>
        <v>20527.715242271053</v>
      </c>
      <c r="J20" s="642">
        <f>transport!I14</f>
        <v>0</v>
      </c>
      <c r="K20" s="642">
        <f>transport!J14</f>
        <v>0</v>
      </c>
      <c r="L20" s="642">
        <f>transport!K14</f>
        <v>0</v>
      </c>
      <c r="M20" s="642">
        <f>transport!L14</f>
        <v>0</v>
      </c>
      <c r="N20" s="642">
        <f>transport!M14</f>
        <v>5539.354447295822</v>
      </c>
      <c r="O20" s="642">
        <f>transport!N14</f>
        <v>0</v>
      </c>
      <c r="P20" s="642">
        <f>transport!O14</f>
        <v>0</v>
      </c>
      <c r="Q20" s="643">
        <f>transport!P14</f>
        <v>0</v>
      </c>
      <c r="R20" s="645">
        <f>SUM(C20:Q20)</f>
        <v>99754.081734427004</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172.05869707574885</v>
      </c>
      <c r="D22" s="765">
        <f t="shared" ref="D22:R22" si="1">SUM(D18:D21)</f>
        <v>0</v>
      </c>
      <c r="E22" s="765">
        <f t="shared" si="1"/>
        <v>312.89460256682713</v>
      </c>
      <c r="F22" s="765">
        <f t="shared" si="1"/>
        <v>168.89758274160633</v>
      </c>
      <c r="G22" s="765">
        <f t="shared" si="1"/>
        <v>0</v>
      </c>
      <c r="H22" s="765">
        <f t="shared" si="1"/>
        <v>73632.376135405109</v>
      </c>
      <c r="I22" s="765">
        <f t="shared" si="1"/>
        <v>20527.715242271053</v>
      </c>
      <c r="J22" s="765">
        <f t="shared" si="1"/>
        <v>0</v>
      </c>
      <c r="K22" s="765">
        <f t="shared" si="1"/>
        <v>0</v>
      </c>
      <c r="L22" s="765">
        <f t="shared" si="1"/>
        <v>0</v>
      </c>
      <c r="M22" s="765">
        <f t="shared" si="1"/>
        <v>0</v>
      </c>
      <c r="N22" s="765">
        <f t="shared" si="1"/>
        <v>5571.9851039464966</v>
      </c>
      <c r="O22" s="765">
        <f t="shared" si="1"/>
        <v>0</v>
      </c>
      <c r="P22" s="765">
        <f t="shared" si="1"/>
        <v>0</v>
      </c>
      <c r="Q22" s="765">
        <f t="shared" si="1"/>
        <v>0</v>
      </c>
      <c r="R22" s="765">
        <f t="shared" si="1"/>
        <v>100385.92736400683</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2531.7572609623599</v>
      </c>
      <c r="D24" s="642">
        <f>+landbouw!C8</f>
        <v>0</v>
      </c>
      <c r="E24" s="642">
        <f>+landbouw!D8</f>
        <v>328.41517471305099</v>
      </c>
      <c r="F24" s="642">
        <f>+landbouw!E8</f>
        <v>74.64336165966867</v>
      </c>
      <c r="G24" s="642">
        <f>+landbouw!F8</f>
        <v>8046.8243344135144</v>
      </c>
      <c r="H24" s="642">
        <f>+landbouw!G8</f>
        <v>0</v>
      </c>
      <c r="I24" s="642">
        <f>+landbouw!H8</f>
        <v>0</v>
      </c>
      <c r="J24" s="642">
        <f>+landbouw!I8</f>
        <v>0</v>
      </c>
      <c r="K24" s="642">
        <f>+landbouw!J8</f>
        <v>638.49363433534108</v>
      </c>
      <c r="L24" s="642">
        <f>+landbouw!K8</f>
        <v>0</v>
      </c>
      <c r="M24" s="642">
        <f>+landbouw!L8</f>
        <v>0</v>
      </c>
      <c r="N24" s="642">
        <f>+landbouw!M8</f>
        <v>0</v>
      </c>
      <c r="O24" s="642">
        <f>+landbouw!N8</f>
        <v>0</v>
      </c>
      <c r="P24" s="642">
        <f>+landbouw!O8</f>
        <v>0</v>
      </c>
      <c r="Q24" s="643">
        <f>+landbouw!P8</f>
        <v>0</v>
      </c>
      <c r="R24" s="645">
        <f>SUM(C24:Q24)</f>
        <v>11620.133766083934</v>
      </c>
      <c r="S24" s="67"/>
    </row>
    <row r="25" spans="1:19" s="441" customFormat="1" ht="15" thickBot="1">
      <c r="A25" s="784" t="s">
        <v>672</v>
      </c>
      <c r="B25" s="895"/>
      <c r="C25" s="896">
        <f>IF(Onbekend_ele_kWh="---",0,Onbekend_ele_kWh)/1000+IF(REST_rest_ele_kWh="---",0,REST_rest_ele_kWh)/1000</f>
        <v>679.50645610064703</v>
      </c>
      <c r="D25" s="896"/>
      <c r="E25" s="896">
        <f>IF(onbekend_gas_kWh="---",0,onbekend_gas_kWh)/1000+IF(REST_rest_gas_kWh="---",0,REST_rest_gas_kWh)/1000</f>
        <v>1113.0754549382</v>
      </c>
      <c r="F25" s="896"/>
      <c r="G25" s="896"/>
      <c r="H25" s="896"/>
      <c r="I25" s="896"/>
      <c r="J25" s="896"/>
      <c r="K25" s="896"/>
      <c r="L25" s="896"/>
      <c r="M25" s="896"/>
      <c r="N25" s="896"/>
      <c r="O25" s="896"/>
      <c r="P25" s="896"/>
      <c r="Q25" s="897"/>
      <c r="R25" s="645">
        <f>SUM(C25:Q25)</f>
        <v>1792.581911038847</v>
      </c>
      <c r="S25" s="67"/>
    </row>
    <row r="26" spans="1:19" s="441" customFormat="1" ht="15.75" thickBot="1">
      <c r="A26" s="650" t="s">
        <v>673</v>
      </c>
      <c r="B26" s="770"/>
      <c r="C26" s="765">
        <f>SUM(C24:C25)</f>
        <v>3211.2637170630069</v>
      </c>
      <c r="D26" s="765">
        <f t="shared" ref="D26:R26" si="2">SUM(D24:D25)</f>
        <v>0</v>
      </c>
      <c r="E26" s="765">
        <f t="shared" si="2"/>
        <v>1441.4906296512509</v>
      </c>
      <c r="F26" s="765">
        <f t="shared" si="2"/>
        <v>74.64336165966867</v>
      </c>
      <c r="G26" s="765">
        <f t="shared" si="2"/>
        <v>8046.8243344135144</v>
      </c>
      <c r="H26" s="765">
        <f t="shared" si="2"/>
        <v>0</v>
      </c>
      <c r="I26" s="765">
        <f t="shared" si="2"/>
        <v>0</v>
      </c>
      <c r="J26" s="765">
        <f t="shared" si="2"/>
        <v>0</v>
      </c>
      <c r="K26" s="765">
        <f t="shared" si="2"/>
        <v>638.49363433534108</v>
      </c>
      <c r="L26" s="765">
        <f t="shared" si="2"/>
        <v>0</v>
      </c>
      <c r="M26" s="765">
        <f t="shared" si="2"/>
        <v>0</v>
      </c>
      <c r="N26" s="765">
        <f t="shared" si="2"/>
        <v>0</v>
      </c>
      <c r="O26" s="765">
        <f t="shared" si="2"/>
        <v>0</v>
      </c>
      <c r="P26" s="765">
        <f t="shared" si="2"/>
        <v>0</v>
      </c>
      <c r="Q26" s="765">
        <f t="shared" si="2"/>
        <v>0</v>
      </c>
      <c r="R26" s="765">
        <f t="shared" si="2"/>
        <v>13412.715677122782</v>
      </c>
      <c r="S26" s="67"/>
    </row>
    <row r="27" spans="1:19" s="441" customFormat="1" ht="17.25" thickTop="1" thickBot="1">
      <c r="A27" s="651" t="s">
        <v>109</v>
      </c>
      <c r="B27" s="757"/>
      <c r="C27" s="652">
        <f ca="1">C22+C16+C26</f>
        <v>46979.483328399918</v>
      </c>
      <c r="D27" s="652">
        <f t="shared" ref="D27:R27" ca="1" si="3">D22+D16+D26</f>
        <v>0</v>
      </c>
      <c r="E27" s="652">
        <f t="shared" ca="1" si="3"/>
        <v>55603.171629542398</v>
      </c>
      <c r="F27" s="652">
        <f t="shared" si="3"/>
        <v>2503.976308779153</v>
      </c>
      <c r="G27" s="652">
        <f t="shared" ca="1" si="3"/>
        <v>46981.021561397407</v>
      </c>
      <c r="H27" s="652">
        <f t="shared" si="3"/>
        <v>73632.376135405109</v>
      </c>
      <c r="I27" s="652">
        <f t="shared" si="3"/>
        <v>20527.715242271053</v>
      </c>
      <c r="J27" s="652">
        <f t="shared" si="3"/>
        <v>0</v>
      </c>
      <c r="K27" s="652">
        <f t="shared" si="3"/>
        <v>839.09355732874246</v>
      </c>
      <c r="L27" s="652">
        <f t="shared" si="3"/>
        <v>0</v>
      </c>
      <c r="M27" s="652">
        <f t="shared" ca="1" si="3"/>
        <v>0</v>
      </c>
      <c r="N27" s="652">
        <f t="shared" si="3"/>
        <v>5571.9851039464966</v>
      </c>
      <c r="O27" s="652">
        <f t="shared" ca="1" si="3"/>
        <v>8987.5393853290352</v>
      </c>
      <c r="P27" s="652">
        <f t="shared" si="3"/>
        <v>447.31994368914928</v>
      </c>
      <c r="Q27" s="652">
        <f t="shared" si="3"/>
        <v>1284.7510608417826</v>
      </c>
      <c r="R27" s="652">
        <f t="shared" ca="1" si="3"/>
        <v>263358.43325693021</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1989.5647043897839</v>
      </c>
      <c r="D40" s="642">
        <f ca="1">tertiair!C20</f>
        <v>0</v>
      </c>
      <c r="E40" s="642">
        <f ca="1">tertiair!D20</f>
        <v>2067.1215071792831</v>
      </c>
      <c r="F40" s="642">
        <f>tertiair!E20</f>
        <v>5.9181706392737983</v>
      </c>
      <c r="G40" s="642">
        <f ca="1">tertiair!F20</f>
        <v>455.68899984535221</v>
      </c>
      <c r="H40" s="642">
        <f>tertiair!G20</f>
        <v>0</v>
      </c>
      <c r="I40" s="642">
        <f>tertiair!H20</f>
        <v>0</v>
      </c>
      <c r="J40" s="642">
        <f>tertiair!I20</f>
        <v>0</v>
      </c>
      <c r="K40" s="642">
        <f>tertiair!J20</f>
        <v>3.5991756652938721E-3</v>
      </c>
      <c r="L40" s="642">
        <f>tertiair!K20</f>
        <v>0</v>
      </c>
      <c r="M40" s="642">
        <f ca="1">tertiair!L20</f>
        <v>0</v>
      </c>
      <c r="N40" s="642">
        <f>tertiair!M20</f>
        <v>0</v>
      </c>
      <c r="O40" s="642">
        <f ca="1">tertiair!N20</f>
        <v>0</v>
      </c>
      <c r="P40" s="642">
        <f>tertiair!O20</f>
        <v>0</v>
      </c>
      <c r="Q40" s="725">
        <f>tertiair!P20</f>
        <v>0</v>
      </c>
      <c r="R40" s="803">
        <f t="shared" ca="1" si="4"/>
        <v>4518.2969812293577</v>
      </c>
    </row>
    <row r="41" spans="1:18">
      <c r="A41" s="775" t="s">
        <v>214</v>
      </c>
      <c r="B41" s="782"/>
      <c r="C41" s="642">
        <f ca="1">huishoudens!B12</f>
        <v>5361.1895574032042</v>
      </c>
      <c r="D41" s="642">
        <f ca="1">huishoudens!C12</f>
        <v>0</v>
      </c>
      <c r="E41" s="642">
        <f>huishoudens!D12</f>
        <v>7790.0392157351262</v>
      </c>
      <c r="F41" s="642">
        <f>huishoudens!E12</f>
        <v>501.73134037170411</v>
      </c>
      <c r="G41" s="642">
        <f>huishoudens!F12</f>
        <v>9671.0618302348048</v>
      </c>
      <c r="H41" s="642">
        <f>huishoudens!G12</f>
        <v>0</v>
      </c>
      <c r="I41" s="642">
        <f>huishoudens!H12</f>
        <v>0</v>
      </c>
      <c r="J41" s="642">
        <f>huishoudens!I12</f>
        <v>0</v>
      </c>
      <c r="K41" s="642">
        <f>huishoudens!J12</f>
        <v>70.772706667572066</v>
      </c>
      <c r="L41" s="642">
        <f>huishoudens!K12</f>
        <v>0</v>
      </c>
      <c r="M41" s="642">
        <f>huishoudens!L12</f>
        <v>0</v>
      </c>
      <c r="N41" s="642">
        <f>huishoudens!M12</f>
        <v>0</v>
      </c>
      <c r="O41" s="642">
        <f>huishoudens!N12</f>
        <v>0</v>
      </c>
      <c r="P41" s="642">
        <f>huishoudens!O12</f>
        <v>0</v>
      </c>
      <c r="Q41" s="725">
        <f>huishoudens!P12</f>
        <v>0</v>
      </c>
      <c r="R41" s="803">
        <f t="shared" ca="1" si="4"/>
        <v>23394.794650412412</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1155.4088495750395</v>
      </c>
      <c r="D43" s="642">
        <f ca="1">industrie!C22</f>
        <v>0</v>
      </c>
      <c r="E43" s="642">
        <f>industrie!D22</f>
        <v>1020.2941293451048</v>
      </c>
      <c r="F43" s="642">
        <f>industrie!E22</f>
        <v>5.4693167028004757</v>
      </c>
      <c r="G43" s="642">
        <f>industrie!F22</f>
        <v>268.679829524544</v>
      </c>
      <c r="H43" s="642">
        <f>industrie!G22</f>
        <v>0</v>
      </c>
      <c r="I43" s="642">
        <f>industrie!H22</f>
        <v>0</v>
      </c>
      <c r="J43" s="642">
        <f>industrie!I22</f>
        <v>0</v>
      </c>
      <c r="K43" s="642">
        <f>industrie!J22</f>
        <v>0.23606689642673279</v>
      </c>
      <c r="L43" s="642">
        <f>industrie!K22</f>
        <v>0</v>
      </c>
      <c r="M43" s="642">
        <f>industrie!L22</f>
        <v>0</v>
      </c>
      <c r="N43" s="642">
        <f>industrie!M22</f>
        <v>0</v>
      </c>
      <c r="O43" s="642">
        <f>industrie!N22</f>
        <v>0</v>
      </c>
      <c r="P43" s="642">
        <f>industrie!O22</f>
        <v>0</v>
      </c>
      <c r="Q43" s="725">
        <f>industrie!P22</f>
        <v>0</v>
      </c>
      <c r="R43" s="802">
        <f t="shared" ca="1" si="4"/>
        <v>2450.0881920439151</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8506.1631113680287</v>
      </c>
      <c r="D46" s="678">
        <f t="shared" ref="D46:Q46" ca="1" si="5">SUM(D39:D45)</f>
        <v>0</v>
      </c>
      <c r="E46" s="678">
        <f t="shared" ca="1" si="5"/>
        <v>10877.454852259514</v>
      </c>
      <c r="F46" s="678">
        <f t="shared" si="5"/>
        <v>513.11882771377839</v>
      </c>
      <c r="G46" s="678">
        <f t="shared" ca="1" si="5"/>
        <v>10395.430659604701</v>
      </c>
      <c r="H46" s="678">
        <f t="shared" si="5"/>
        <v>0</v>
      </c>
      <c r="I46" s="678">
        <f t="shared" si="5"/>
        <v>0</v>
      </c>
      <c r="J46" s="678">
        <f t="shared" si="5"/>
        <v>0</v>
      </c>
      <c r="K46" s="678">
        <f t="shared" si="5"/>
        <v>71.012372739664102</v>
      </c>
      <c r="L46" s="678">
        <f t="shared" si="5"/>
        <v>0</v>
      </c>
      <c r="M46" s="678">
        <f t="shared" ca="1" si="5"/>
        <v>0</v>
      </c>
      <c r="N46" s="678">
        <f t="shared" si="5"/>
        <v>0</v>
      </c>
      <c r="O46" s="678">
        <f t="shared" ca="1" si="5"/>
        <v>0</v>
      </c>
      <c r="P46" s="678">
        <f t="shared" si="5"/>
        <v>0</v>
      </c>
      <c r="Q46" s="678">
        <f t="shared" si="5"/>
        <v>0</v>
      </c>
      <c r="R46" s="678">
        <f ca="1">SUM(R39:R45)</f>
        <v>30363.179823685685</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1.615326611705179</v>
      </c>
      <c r="D49" s="642">
        <f ca="1">transport!C58</f>
        <v>0</v>
      </c>
      <c r="E49" s="642">
        <f>transport!D58</f>
        <v>0</v>
      </c>
      <c r="F49" s="642">
        <f>transport!E58</f>
        <v>0</v>
      </c>
      <c r="G49" s="642">
        <f>transport!F58</f>
        <v>0</v>
      </c>
      <c r="H49" s="642">
        <f>transport!G58</f>
        <v>157.77992001163506</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159.39524662334023</v>
      </c>
    </row>
    <row r="50" spans="1:18">
      <c r="A50" s="778" t="s">
        <v>296</v>
      </c>
      <c r="B50" s="788"/>
      <c r="C50" s="648">
        <f ca="1">transport!B18</f>
        <v>31.955504199156923</v>
      </c>
      <c r="D50" s="648">
        <f>transport!C18</f>
        <v>0</v>
      </c>
      <c r="E50" s="648">
        <f>transport!D18</f>
        <v>63.204709718499082</v>
      </c>
      <c r="F50" s="648">
        <f>transport!E18</f>
        <v>38.339751282344636</v>
      </c>
      <c r="G50" s="648">
        <f>transport!F18</f>
        <v>0</v>
      </c>
      <c r="H50" s="648">
        <f>transport!G18</f>
        <v>19502.064508141531</v>
      </c>
      <c r="I50" s="648">
        <f>transport!H18</f>
        <v>5111.401095325492</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24746.965568667023</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33.570830810862105</v>
      </c>
      <c r="D52" s="678">
        <f t="shared" ref="D52:Q52" ca="1" si="6">SUM(D48:D51)</f>
        <v>0</v>
      </c>
      <c r="E52" s="678">
        <f t="shared" si="6"/>
        <v>63.204709718499082</v>
      </c>
      <c r="F52" s="678">
        <f t="shared" si="6"/>
        <v>38.339751282344636</v>
      </c>
      <c r="G52" s="678">
        <f t="shared" si="6"/>
        <v>0</v>
      </c>
      <c r="H52" s="678">
        <f t="shared" si="6"/>
        <v>19659.844428153167</v>
      </c>
      <c r="I52" s="678">
        <f t="shared" si="6"/>
        <v>5111.401095325492</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24906.360815290362</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493.97790467122263</v>
      </c>
      <c r="D54" s="648">
        <f ca="1">+landbouw!C12</f>
        <v>0</v>
      </c>
      <c r="E54" s="648">
        <f>+landbouw!D12</f>
        <v>66.339865292036308</v>
      </c>
      <c r="F54" s="648">
        <f>+landbouw!E12</f>
        <v>16.944043096744789</v>
      </c>
      <c r="G54" s="648">
        <f>+landbouw!F12</f>
        <v>2148.5020972884085</v>
      </c>
      <c r="H54" s="648">
        <f>+landbouw!G12</f>
        <v>0</v>
      </c>
      <c r="I54" s="648">
        <f>+landbouw!H12</f>
        <v>0</v>
      </c>
      <c r="J54" s="648">
        <f>+landbouw!I12</f>
        <v>0</v>
      </c>
      <c r="K54" s="648">
        <f>+landbouw!J12</f>
        <v>226.02674655471074</v>
      </c>
      <c r="L54" s="648">
        <f>+landbouw!K12</f>
        <v>0</v>
      </c>
      <c r="M54" s="648">
        <f>+landbouw!L12</f>
        <v>0</v>
      </c>
      <c r="N54" s="648">
        <f>+landbouw!M12</f>
        <v>0</v>
      </c>
      <c r="O54" s="648">
        <f>+landbouw!N12</f>
        <v>0</v>
      </c>
      <c r="P54" s="648">
        <f>+landbouw!O12</f>
        <v>0</v>
      </c>
      <c r="Q54" s="649">
        <f>+landbouw!P12</f>
        <v>0</v>
      </c>
      <c r="R54" s="677">
        <f ca="1">SUM(C54:Q54)</f>
        <v>2951.7906569031229</v>
      </c>
    </row>
    <row r="55" spans="1:18" ht="15" thickBot="1">
      <c r="A55" s="778" t="s">
        <v>672</v>
      </c>
      <c r="B55" s="788"/>
      <c r="C55" s="648">
        <f ca="1">C25*'EF ele_warmte'!B12</f>
        <v>132.58031509212529</v>
      </c>
      <c r="D55" s="648"/>
      <c r="E55" s="648">
        <f>E25*EF_CO2_aardgas</f>
        <v>224.8412418975164</v>
      </c>
      <c r="F55" s="648"/>
      <c r="G55" s="648"/>
      <c r="H55" s="648"/>
      <c r="I55" s="648"/>
      <c r="J55" s="648"/>
      <c r="K55" s="648"/>
      <c r="L55" s="648"/>
      <c r="M55" s="648"/>
      <c r="N55" s="648"/>
      <c r="O55" s="648"/>
      <c r="P55" s="648"/>
      <c r="Q55" s="649"/>
      <c r="R55" s="677">
        <f ca="1">SUM(C55:Q55)</f>
        <v>357.42155698964166</v>
      </c>
    </row>
    <row r="56" spans="1:18" ht="15.75" thickBot="1">
      <c r="A56" s="776" t="s">
        <v>673</v>
      </c>
      <c r="B56" s="789"/>
      <c r="C56" s="678">
        <f ca="1">SUM(C54:C55)</f>
        <v>626.55821976334789</v>
      </c>
      <c r="D56" s="678">
        <f t="shared" ref="D56:Q56" ca="1" si="7">SUM(D54:D55)</f>
        <v>0</v>
      </c>
      <c r="E56" s="678">
        <f t="shared" si="7"/>
        <v>291.18110718955268</v>
      </c>
      <c r="F56" s="678">
        <f t="shared" si="7"/>
        <v>16.944043096744789</v>
      </c>
      <c r="G56" s="678">
        <f t="shared" si="7"/>
        <v>2148.5020972884085</v>
      </c>
      <c r="H56" s="678">
        <f t="shared" si="7"/>
        <v>0</v>
      </c>
      <c r="I56" s="678">
        <f t="shared" si="7"/>
        <v>0</v>
      </c>
      <c r="J56" s="678">
        <f t="shared" si="7"/>
        <v>0</v>
      </c>
      <c r="K56" s="678">
        <f t="shared" si="7"/>
        <v>226.02674655471074</v>
      </c>
      <c r="L56" s="678">
        <f t="shared" si="7"/>
        <v>0</v>
      </c>
      <c r="M56" s="678">
        <f t="shared" si="7"/>
        <v>0</v>
      </c>
      <c r="N56" s="678">
        <f t="shared" si="7"/>
        <v>0</v>
      </c>
      <c r="O56" s="678">
        <f t="shared" si="7"/>
        <v>0</v>
      </c>
      <c r="P56" s="678">
        <f t="shared" si="7"/>
        <v>0</v>
      </c>
      <c r="Q56" s="679">
        <f t="shared" si="7"/>
        <v>0</v>
      </c>
      <c r="R56" s="680">
        <f ca="1">SUM(R54:R55)</f>
        <v>3309.2122138927643</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9166.2921619422395</v>
      </c>
      <c r="D61" s="686">
        <f t="shared" ref="D61:Q61" ca="1" si="8">D46+D52+D56</f>
        <v>0</v>
      </c>
      <c r="E61" s="686">
        <f t="shared" ca="1" si="8"/>
        <v>11231.840669167566</v>
      </c>
      <c r="F61" s="686">
        <f t="shared" si="8"/>
        <v>568.40262209286777</v>
      </c>
      <c r="G61" s="686">
        <f t="shared" ca="1" si="8"/>
        <v>12543.932756893109</v>
      </c>
      <c r="H61" s="686">
        <f t="shared" si="8"/>
        <v>19659.844428153167</v>
      </c>
      <c r="I61" s="686">
        <f t="shared" si="8"/>
        <v>5111.401095325492</v>
      </c>
      <c r="J61" s="686">
        <f t="shared" si="8"/>
        <v>0</v>
      </c>
      <c r="K61" s="686">
        <f t="shared" si="8"/>
        <v>297.03911929437481</v>
      </c>
      <c r="L61" s="686">
        <f t="shared" si="8"/>
        <v>0</v>
      </c>
      <c r="M61" s="686">
        <f t="shared" ca="1" si="8"/>
        <v>0</v>
      </c>
      <c r="N61" s="686">
        <f t="shared" si="8"/>
        <v>0</v>
      </c>
      <c r="O61" s="686">
        <f t="shared" ca="1" si="8"/>
        <v>0</v>
      </c>
      <c r="P61" s="686">
        <f t="shared" si="8"/>
        <v>0</v>
      </c>
      <c r="Q61" s="686">
        <f t="shared" si="8"/>
        <v>0</v>
      </c>
      <c r="R61" s="686">
        <f ca="1">R46+R52+R56</f>
        <v>58578.752852868813</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0.19511266434897243</v>
      </c>
      <c r="D63" s="732">
        <f t="shared" ca="1" si="9"/>
        <v>0</v>
      </c>
      <c r="E63" s="921">
        <f t="shared" ca="1" si="9"/>
        <v>0.20200000000000004</v>
      </c>
      <c r="F63" s="732">
        <f t="shared" si="9"/>
        <v>0.22700000000000001</v>
      </c>
      <c r="G63" s="732">
        <f t="shared" ca="1" si="9"/>
        <v>0.26700000000000002</v>
      </c>
      <c r="H63" s="732">
        <f t="shared" si="9"/>
        <v>0.26700000000000002</v>
      </c>
      <c r="I63" s="732">
        <f t="shared" si="9"/>
        <v>0.24899999999999997</v>
      </c>
      <c r="J63" s="732">
        <f t="shared" si="9"/>
        <v>0</v>
      </c>
      <c r="K63" s="732">
        <f t="shared" si="9"/>
        <v>0.35399999999999998</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5503.048206489334</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0</v>
      </c>
      <c r="C76" s="699">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0</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5503.048206489334</v>
      </c>
      <c r="C78" s="704">
        <f>SUM(C72:C77)</f>
        <v>0</v>
      </c>
      <c r="D78" s="705">
        <f t="shared" ref="D78:H78" si="10">SUM(D76:D77)</f>
        <v>0</v>
      </c>
      <c r="E78" s="705">
        <f t="shared" si="10"/>
        <v>0</v>
      </c>
      <c r="F78" s="705">
        <f t="shared" si="10"/>
        <v>0</v>
      </c>
      <c r="G78" s="705">
        <f t="shared" si="10"/>
        <v>0</v>
      </c>
      <c r="H78" s="705">
        <f t="shared" si="10"/>
        <v>0</v>
      </c>
      <c r="I78" s="705">
        <f>SUM(I76:I77)</f>
        <v>0</v>
      </c>
      <c r="J78" s="705">
        <f>SUM(J76:J77)</f>
        <v>0</v>
      </c>
      <c r="K78" s="705">
        <f t="shared" ref="K78:L78" si="11">SUM(K76:K77)</f>
        <v>0</v>
      </c>
      <c r="L78" s="705">
        <f t="shared" si="11"/>
        <v>0</v>
      </c>
      <c r="M78" s="705">
        <f>SUM(M76:M77)</f>
        <v>0</v>
      </c>
      <c r="N78" s="705">
        <f>SUM(N76:N77)</f>
        <v>0</v>
      </c>
      <c r="O78" s="813">
        <f>SUM(O76:O77)</f>
        <v>0</v>
      </c>
      <c r="P78" s="706">
        <v>0</v>
      </c>
      <c r="Q78" s="706">
        <f>SUM(Q76:Q77)</f>
        <v>0</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0</v>
      </c>
      <c r="C87" s="717">
        <f>'lokale energieproductie'!B17*IFERROR(SUM(D87:H87)/SUM(D87:O87),0)</f>
        <v>0</v>
      </c>
      <c r="D87" s="728">
        <f>'lokale energieproductie'!C17</f>
        <v>0</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0</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0</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0</v>
      </c>
      <c r="C90" s="704">
        <f>SUM(C87:C89)</f>
        <v>0</v>
      </c>
      <c r="D90" s="704">
        <f t="shared" ref="D90:H90" si="12">SUM(D87:D89)</f>
        <v>0</v>
      </c>
      <c r="E90" s="704">
        <f t="shared" si="12"/>
        <v>0</v>
      </c>
      <c r="F90" s="704">
        <f t="shared" si="12"/>
        <v>0</v>
      </c>
      <c r="G90" s="704">
        <f t="shared" si="12"/>
        <v>0</v>
      </c>
      <c r="H90" s="704">
        <f t="shared" si="12"/>
        <v>0</v>
      </c>
      <c r="I90" s="704">
        <f>SUM(I87:I89)</f>
        <v>0</v>
      </c>
      <c r="J90" s="704">
        <f>SUM(J87:J89)</f>
        <v>0</v>
      </c>
      <c r="K90" s="704">
        <f t="shared" ref="K90:L90" si="13">SUM(K87:K89)</f>
        <v>0</v>
      </c>
      <c r="L90" s="704">
        <f t="shared" si="13"/>
        <v>0</v>
      </c>
      <c r="M90" s="704">
        <f>SUM(M87:M89)</f>
        <v>0</v>
      </c>
      <c r="N90" s="704">
        <f>SUM(N87:N89)</f>
        <v>0</v>
      </c>
      <c r="O90" s="704">
        <f>SUM(O87:O89)</f>
        <v>0</v>
      </c>
      <c r="P90" s="704">
        <v>0</v>
      </c>
      <c r="Q90" s="704">
        <f>SUM(Q87:Q89)</f>
        <v>0</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27477.404274559791</v>
      </c>
      <c r="C4" s="445">
        <f>huishoudens!C8</f>
        <v>0</v>
      </c>
      <c r="D4" s="445">
        <f>huishoudens!D8</f>
        <v>38564.550572946166</v>
      </c>
      <c r="E4" s="445">
        <f>huishoudens!E8</f>
        <v>2210.2702219017801</v>
      </c>
      <c r="F4" s="445">
        <f>huishoudens!F8</f>
        <v>36221.205356684659</v>
      </c>
      <c r="G4" s="445">
        <f>huishoudens!G8</f>
        <v>0</v>
      </c>
      <c r="H4" s="445">
        <f>huishoudens!H8</f>
        <v>0</v>
      </c>
      <c r="I4" s="445">
        <f>huishoudens!I8</f>
        <v>0</v>
      </c>
      <c r="J4" s="445">
        <f>huishoudens!J8</f>
        <v>199.92290019088153</v>
      </c>
      <c r="K4" s="445">
        <f>huishoudens!K8</f>
        <v>0</v>
      </c>
      <c r="L4" s="445">
        <f>huishoudens!L8</f>
        <v>0</v>
      </c>
      <c r="M4" s="445">
        <f>huishoudens!M8</f>
        <v>0</v>
      </c>
      <c r="N4" s="445">
        <f>huishoudens!N8</f>
        <v>8071.1791851122234</v>
      </c>
      <c r="O4" s="445">
        <f>huishoudens!O8</f>
        <v>442.42268292330812</v>
      </c>
      <c r="P4" s="446">
        <f>huishoudens!P8</f>
        <v>1127.1336459222975</v>
      </c>
      <c r="Q4" s="447">
        <f>SUM(B4:P4)</f>
        <v>114314.08884024111</v>
      </c>
    </row>
    <row r="5" spans="1:17">
      <c r="A5" s="444" t="s">
        <v>149</v>
      </c>
      <c r="B5" s="445">
        <f ca="1">tertiair!B16</f>
        <v>9144.5934385807304</v>
      </c>
      <c r="C5" s="445">
        <f ca="1">tertiair!C16</f>
        <v>0</v>
      </c>
      <c r="D5" s="445">
        <f ca="1">tertiair!D16</f>
        <v>10233.274788016251</v>
      </c>
      <c r="E5" s="445">
        <f>tertiair!E16</f>
        <v>26.071236296360343</v>
      </c>
      <c r="F5" s="445">
        <f ca="1">tertiair!F16</f>
        <v>1706.7003739526299</v>
      </c>
      <c r="G5" s="445">
        <f>tertiair!G16</f>
        <v>0</v>
      </c>
      <c r="H5" s="445">
        <f>tertiair!H16</f>
        <v>0</v>
      </c>
      <c r="I5" s="445">
        <f>tertiair!I16</f>
        <v>0</v>
      </c>
      <c r="J5" s="445">
        <f>tertiair!J16</f>
        <v>1.0167162896310374E-2</v>
      </c>
      <c r="K5" s="445">
        <f>tertiair!K16</f>
        <v>0</v>
      </c>
      <c r="L5" s="445">
        <f ca="1">tertiair!L16</f>
        <v>0</v>
      </c>
      <c r="M5" s="445">
        <f>tertiair!M16</f>
        <v>0</v>
      </c>
      <c r="N5" s="445">
        <f ca="1">tertiair!N16</f>
        <v>365.9500278150615</v>
      </c>
      <c r="O5" s="445">
        <f>tertiair!O16</f>
        <v>4.8972607658411542</v>
      </c>
      <c r="P5" s="446">
        <f>tertiair!P16</f>
        <v>157.61741491948504</v>
      </c>
      <c r="Q5" s="444">
        <f t="shared" ref="Q5:Q14" ca="1" si="0">SUM(B5:P5)</f>
        <v>21639.114707509256</v>
      </c>
    </row>
    <row r="6" spans="1:17">
      <c r="A6" s="444" t="s">
        <v>187</v>
      </c>
      <c r="B6" s="445">
        <f>'openbare verlichting'!B8</f>
        <v>1052.4110000000001</v>
      </c>
      <c r="C6" s="445"/>
      <c r="D6" s="445"/>
      <c r="E6" s="445"/>
      <c r="F6" s="445"/>
      <c r="G6" s="445"/>
      <c r="H6" s="445"/>
      <c r="I6" s="445"/>
      <c r="J6" s="445"/>
      <c r="K6" s="445"/>
      <c r="L6" s="445"/>
      <c r="M6" s="445"/>
      <c r="N6" s="445"/>
      <c r="O6" s="445"/>
      <c r="P6" s="446"/>
      <c r="Q6" s="444">
        <f t="shared" si="0"/>
        <v>1052.4110000000001</v>
      </c>
    </row>
    <row r="7" spans="1:17">
      <c r="A7" s="444" t="s">
        <v>105</v>
      </c>
      <c r="B7" s="445">
        <f>landbouw!B8</f>
        <v>2531.7572609623599</v>
      </c>
      <c r="C7" s="445">
        <f>landbouw!C8</f>
        <v>0</v>
      </c>
      <c r="D7" s="445">
        <f>landbouw!D8</f>
        <v>328.41517471305099</v>
      </c>
      <c r="E7" s="445">
        <f>landbouw!E8</f>
        <v>74.64336165966867</v>
      </c>
      <c r="F7" s="445">
        <f>landbouw!F8</f>
        <v>8046.8243344135144</v>
      </c>
      <c r="G7" s="445">
        <f>landbouw!G8</f>
        <v>0</v>
      </c>
      <c r="H7" s="445">
        <f>landbouw!H8</f>
        <v>0</v>
      </c>
      <c r="I7" s="445">
        <f>landbouw!I8</f>
        <v>0</v>
      </c>
      <c r="J7" s="445">
        <f>landbouw!J8</f>
        <v>638.49363433534108</v>
      </c>
      <c r="K7" s="445">
        <f>landbouw!K8</f>
        <v>0</v>
      </c>
      <c r="L7" s="445">
        <f>landbouw!L8</f>
        <v>0</v>
      </c>
      <c r="M7" s="445">
        <f>landbouw!M8</f>
        <v>0</v>
      </c>
      <c r="N7" s="445">
        <f>landbouw!N8</f>
        <v>0</v>
      </c>
      <c r="O7" s="445">
        <f>landbouw!O8</f>
        <v>0</v>
      </c>
      <c r="P7" s="446">
        <f>landbouw!P8</f>
        <v>0</v>
      </c>
      <c r="Q7" s="444">
        <f t="shared" si="0"/>
        <v>11620.133766083934</v>
      </c>
    </row>
    <row r="8" spans="1:17">
      <c r="A8" s="444" t="s">
        <v>587</v>
      </c>
      <c r="B8" s="445">
        <f>industrie!B18</f>
        <v>5921.7522011206383</v>
      </c>
      <c r="C8" s="445">
        <f>industrie!C18</f>
        <v>0</v>
      </c>
      <c r="D8" s="445">
        <f>industrie!D18</f>
        <v>5050.9610363619049</v>
      </c>
      <c r="E8" s="445">
        <f>industrie!E18</f>
        <v>24.093906179737779</v>
      </c>
      <c r="F8" s="445">
        <f>industrie!F18</f>
        <v>1006.2914963466067</v>
      </c>
      <c r="G8" s="445">
        <f>industrie!G18</f>
        <v>0</v>
      </c>
      <c r="H8" s="445">
        <f>industrie!H18</f>
        <v>0</v>
      </c>
      <c r="I8" s="445">
        <f>industrie!I18</f>
        <v>0</v>
      </c>
      <c r="J8" s="445">
        <f>industrie!J18</f>
        <v>0.666855639623539</v>
      </c>
      <c r="K8" s="445">
        <f>industrie!K18</f>
        <v>0</v>
      </c>
      <c r="L8" s="445">
        <f>industrie!L18</f>
        <v>0</v>
      </c>
      <c r="M8" s="445">
        <f>industrie!M18</f>
        <v>0</v>
      </c>
      <c r="N8" s="445">
        <f>industrie!N18</f>
        <v>550.41017240175063</v>
      </c>
      <c r="O8" s="445">
        <f>industrie!O18</f>
        <v>0</v>
      </c>
      <c r="P8" s="446">
        <f>industrie!P18</f>
        <v>0</v>
      </c>
      <c r="Q8" s="444">
        <f t="shared" si="0"/>
        <v>12554.175668050262</v>
      </c>
    </row>
    <row r="9" spans="1:17" s="450" customFormat="1">
      <c r="A9" s="448" t="s">
        <v>536</v>
      </c>
      <c r="B9" s="449">
        <f>transport!B14</f>
        <v>163.77975415272024</v>
      </c>
      <c r="C9" s="449">
        <f>transport!C14</f>
        <v>0</v>
      </c>
      <c r="D9" s="449">
        <f>transport!D14</f>
        <v>312.89460256682713</v>
      </c>
      <c r="E9" s="449">
        <f>transport!E14</f>
        <v>168.89758274160633</v>
      </c>
      <c r="F9" s="449">
        <f>transport!F14</f>
        <v>0</v>
      </c>
      <c r="G9" s="449">
        <f>transport!G14</f>
        <v>73041.440105398986</v>
      </c>
      <c r="H9" s="449">
        <f>transport!H14</f>
        <v>20527.715242271053</v>
      </c>
      <c r="I9" s="449">
        <f>transport!I14</f>
        <v>0</v>
      </c>
      <c r="J9" s="449">
        <f>transport!J14</f>
        <v>0</v>
      </c>
      <c r="K9" s="449">
        <f>transport!K14</f>
        <v>0</v>
      </c>
      <c r="L9" s="449">
        <f>transport!L14</f>
        <v>0</v>
      </c>
      <c r="M9" s="449">
        <f>transport!M14</f>
        <v>5539.354447295822</v>
      </c>
      <c r="N9" s="449">
        <f>transport!N14</f>
        <v>0</v>
      </c>
      <c r="O9" s="449">
        <f>transport!O14</f>
        <v>0</v>
      </c>
      <c r="P9" s="449">
        <f>transport!P14</f>
        <v>0</v>
      </c>
      <c r="Q9" s="448">
        <f>SUM(B9:P9)</f>
        <v>99754.081734427004</v>
      </c>
    </row>
    <row r="10" spans="1:17">
      <c r="A10" s="444" t="s">
        <v>526</v>
      </c>
      <c r="B10" s="445">
        <f>transport!B54</f>
        <v>8.2789429230285965</v>
      </c>
      <c r="C10" s="445">
        <f>transport!C54</f>
        <v>0</v>
      </c>
      <c r="D10" s="445">
        <f>transport!D54</f>
        <v>0</v>
      </c>
      <c r="E10" s="445">
        <f>transport!E54</f>
        <v>0</v>
      </c>
      <c r="F10" s="445">
        <f>transport!F54</f>
        <v>0</v>
      </c>
      <c r="G10" s="445">
        <f>transport!G54</f>
        <v>590.93603000612381</v>
      </c>
      <c r="H10" s="445">
        <f>transport!H54</f>
        <v>0</v>
      </c>
      <c r="I10" s="445">
        <f>transport!I54</f>
        <v>0</v>
      </c>
      <c r="J10" s="445">
        <f>transport!J54</f>
        <v>0</v>
      </c>
      <c r="K10" s="445">
        <f>transport!K54</f>
        <v>0</v>
      </c>
      <c r="L10" s="445">
        <f>transport!L54</f>
        <v>0</v>
      </c>
      <c r="M10" s="445">
        <f>transport!M54</f>
        <v>32.630656650674439</v>
      </c>
      <c r="N10" s="445">
        <f>transport!N54</f>
        <v>0</v>
      </c>
      <c r="O10" s="445">
        <f>transport!O54</f>
        <v>0</v>
      </c>
      <c r="P10" s="446">
        <f>transport!P54</f>
        <v>0</v>
      </c>
      <c r="Q10" s="444">
        <f t="shared" si="0"/>
        <v>631.84562957982689</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679.50645610064703</v>
      </c>
      <c r="C14" s="452"/>
      <c r="D14" s="452">
        <f>'SEAP template'!E25</f>
        <v>1113.0754549382</v>
      </c>
      <c r="E14" s="452"/>
      <c r="F14" s="452"/>
      <c r="G14" s="452"/>
      <c r="H14" s="452"/>
      <c r="I14" s="452"/>
      <c r="J14" s="452"/>
      <c r="K14" s="452"/>
      <c r="L14" s="452"/>
      <c r="M14" s="452"/>
      <c r="N14" s="452"/>
      <c r="O14" s="452"/>
      <c r="P14" s="453"/>
      <c r="Q14" s="444">
        <f t="shared" si="0"/>
        <v>1792.581911038847</v>
      </c>
    </row>
    <row r="15" spans="1:17" s="456" customFormat="1">
      <c r="A15" s="454" t="s">
        <v>530</v>
      </c>
      <c r="B15" s="455">
        <f ca="1">SUM(B4:B14)</f>
        <v>46979.483328399903</v>
      </c>
      <c r="C15" s="455">
        <f t="shared" ref="C15:Q15" ca="1" si="1">SUM(C4:C14)</f>
        <v>0</v>
      </c>
      <c r="D15" s="455">
        <f t="shared" ca="1" si="1"/>
        <v>55603.171629542398</v>
      </c>
      <c r="E15" s="455">
        <f t="shared" si="1"/>
        <v>2503.976308779153</v>
      </c>
      <c r="F15" s="455">
        <f t="shared" ca="1" si="1"/>
        <v>46981.021561397407</v>
      </c>
      <c r="G15" s="455">
        <f t="shared" si="1"/>
        <v>73632.376135405109</v>
      </c>
      <c r="H15" s="455">
        <f t="shared" si="1"/>
        <v>20527.715242271053</v>
      </c>
      <c r="I15" s="455">
        <f t="shared" si="1"/>
        <v>0</v>
      </c>
      <c r="J15" s="455">
        <f t="shared" si="1"/>
        <v>839.09355732874258</v>
      </c>
      <c r="K15" s="455">
        <f t="shared" si="1"/>
        <v>0</v>
      </c>
      <c r="L15" s="455">
        <f t="shared" ca="1" si="1"/>
        <v>0</v>
      </c>
      <c r="M15" s="455">
        <f t="shared" si="1"/>
        <v>5571.9851039464966</v>
      </c>
      <c r="N15" s="455">
        <f t="shared" ca="1" si="1"/>
        <v>8987.5393853290352</v>
      </c>
      <c r="O15" s="455">
        <f t="shared" si="1"/>
        <v>447.31994368914928</v>
      </c>
      <c r="P15" s="455">
        <f t="shared" si="1"/>
        <v>1284.7510608417826</v>
      </c>
      <c r="Q15" s="455">
        <f t="shared" ca="1" si="1"/>
        <v>263358.43325693026</v>
      </c>
    </row>
    <row r="17" spans="1:17">
      <c r="A17" s="457" t="s">
        <v>531</v>
      </c>
      <c r="B17" s="737">
        <f ca="1">huishoudens!B10</f>
        <v>0.1951126643489724</v>
      </c>
      <c r="C17" s="737">
        <f ca="1">huishoudens!C10</f>
        <v>0</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5361.1895574032042</v>
      </c>
      <c r="C22" s="445">
        <f t="shared" ref="C22:C32" ca="1" si="3">C4*$C$17</f>
        <v>0</v>
      </c>
      <c r="D22" s="445">
        <f t="shared" ref="D22:D32" si="4">D4*$D$17</f>
        <v>7790.0392157351262</v>
      </c>
      <c r="E22" s="445">
        <f t="shared" ref="E22:E32" si="5">E4*$E$17</f>
        <v>501.73134037170411</v>
      </c>
      <c r="F22" s="445">
        <f t="shared" ref="F22:F32" si="6">F4*$F$17</f>
        <v>9671.0618302348048</v>
      </c>
      <c r="G22" s="445">
        <f t="shared" ref="G22:G32" si="7">G4*$G$17</f>
        <v>0</v>
      </c>
      <c r="H22" s="445">
        <f t="shared" ref="H22:H32" si="8">H4*$H$17</f>
        <v>0</v>
      </c>
      <c r="I22" s="445">
        <f t="shared" ref="I22:I32" si="9">I4*$I$17</f>
        <v>0</v>
      </c>
      <c r="J22" s="445">
        <f t="shared" ref="J22:J32" si="10">J4*$J$17</f>
        <v>70.772706667572066</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23394.794650412412</v>
      </c>
    </row>
    <row r="23" spans="1:17">
      <c r="A23" s="444" t="s">
        <v>149</v>
      </c>
      <c r="B23" s="445">
        <f t="shared" ca="1" si="2"/>
        <v>1784.2259901896175</v>
      </c>
      <c r="C23" s="445">
        <f t="shared" ca="1" si="3"/>
        <v>0</v>
      </c>
      <c r="D23" s="445">
        <f t="shared" ca="1" si="4"/>
        <v>2067.1215071792831</v>
      </c>
      <c r="E23" s="445">
        <f t="shared" si="5"/>
        <v>5.9181706392737983</v>
      </c>
      <c r="F23" s="445">
        <f t="shared" ca="1" si="6"/>
        <v>455.68899984535221</v>
      </c>
      <c r="G23" s="445">
        <f t="shared" si="7"/>
        <v>0</v>
      </c>
      <c r="H23" s="445">
        <f t="shared" si="8"/>
        <v>0</v>
      </c>
      <c r="I23" s="445">
        <f t="shared" si="9"/>
        <v>0</v>
      </c>
      <c r="J23" s="445">
        <f t="shared" si="10"/>
        <v>3.5991756652938721E-3</v>
      </c>
      <c r="K23" s="445">
        <f t="shared" si="11"/>
        <v>0</v>
      </c>
      <c r="L23" s="445">
        <f t="shared" ca="1" si="12"/>
        <v>0</v>
      </c>
      <c r="M23" s="445">
        <f t="shared" si="13"/>
        <v>0</v>
      </c>
      <c r="N23" s="445">
        <f t="shared" ca="1" si="14"/>
        <v>0</v>
      </c>
      <c r="O23" s="445">
        <f t="shared" si="15"/>
        <v>0</v>
      </c>
      <c r="P23" s="446">
        <f t="shared" si="16"/>
        <v>0</v>
      </c>
      <c r="Q23" s="444">
        <f t="shared" ref="Q23:Q31" ca="1" si="17">SUM(B23:P23)</f>
        <v>4312.958267029192</v>
      </c>
    </row>
    <row r="24" spans="1:17">
      <c r="A24" s="444" t="s">
        <v>187</v>
      </c>
      <c r="B24" s="445">
        <f t="shared" ca="1" si="2"/>
        <v>205.33871420016641</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205.33871420016641</v>
      </c>
    </row>
    <row r="25" spans="1:17">
      <c r="A25" s="444" t="s">
        <v>105</v>
      </c>
      <c r="B25" s="445">
        <f t="shared" ca="1" si="2"/>
        <v>493.97790467122263</v>
      </c>
      <c r="C25" s="445">
        <f t="shared" ca="1" si="3"/>
        <v>0</v>
      </c>
      <c r="D25" s="445">
        <f t="shared" si="4"/>
        <v>66.339865292036308</v>
      </c>
      <c r="E25" s="445">
        <f t="shared" si="5"/>
        <v>16.944043096744789</v>
      </c>
      <c r="F25" s="445">
        <f t="shared" si="6"/>
        <v>2148.5020972884085</v>
      </c>
      <c r="G25" s="445">
        <f t="shared" si="7"/>
        <v>0</v>
      </c>
      <c r="H25" s="445">
        <f t="shared" si="8"/>
        <v>0</v>
      </c>
      <c r="I25" s="445">
        <f t="shared" si="9"/>
        <v>0</v>
      </c>
      <c r="J25" s="445">
        <f t="shared" si="10"/>
        <v>226.02674655471074</v>
      </c>
      <c r="K25" s="445">
        <f t="shared" si="11"/>
        <v>0</v>
      </c>
      <c r="L25" s="445">
        <f t="shared" si="12"/>
        <v>0</v>
      </c>
      <c r="M25" s="445">
        <f t="shared" si="13"/>
        <v>0</v>
      </c>
      <c r="N25" s="445">
        <f t="shared" si="14"/>
        <v>0</v>
      </c>
      <c r="O25" s="445">
        <f t="shared" si="15"/>
        <v>0</v>
      </c>
      <c r="P25" s="446">
        <f t="shared" si="16"/>
        <v>0</v>
      </c>
      <c r="Q25" s="444">
        <f t="shared" ca="1" si="17"/>
        <v>2951.7906569031229</v>
      </c>
    </row>
    <row r="26" spans="1:17">
      <c r="A26" s="444" t="s">
        <v>587</v>
      </c>
      <c r="B26" s="445">
        <f t="shared" ca="1" si="2"/>
        <v>1155.4088495750395</v>
      </c>
      <c r="C26" s="445">
        <f t="shared" ca="1" si="3"/>
        <v>0</v>
      </c>
      <c r="D26" s="445">
        <f t="shared" si="4"/>
        <v>1020.2941293451048</v>
      </c>
      <c r="E26" s="445">
        <f t="shared" si="5"/>
        <v>5.4693167028004757</v>
      </c>
      <c r="F26" s="445">
        <f t="shared" si="6"/>
        <v>268.679829524544</v>
      </c>
      <c r="G26" s="445">
        <f t="shared" si="7"/>
        <v>0</v>
      </c>
      <c r="H26" s="445">
        <f t="shared" si="8"/>
        <v>0</v>
      </c>
      <c r="I26" s="445">
        <f t="shared" si="9"/>
        <v>0</v>
      </c>
      <c r="J26" s="445">
        <f t="shared" si="10"/>
        <v>0.23606689642673279</v>
      </c>
      <c r="K26" s="445">
        <f t="shared" si="11"/>
        <v>0</v>
      </c>
      <c r="L26" s="445">
        <f t="shared" si="12"/>
        <v>0</v>
      </c>
      <c r="M26" s="445">
        <f t="shared" si="13"/>
        <v>0</v>
      </c>
      <c r="N26" s="445">
        <f t="shared" si="14"/>
        <v>0</v>
      </c>
      <c r="O26" s="445">
        <f t="shared" si="15"/>
        <v>0</v>
      </c>
      <c r="P26" s="446">
        <f t="shared" si="16"/>
        <v>0</v>
      </c>
      <c r="Q26" s="444">
        <f t="shared" ca="1" si="17"/>
        <v>2450.0881920439151</v>
      </c>
    </row>
    <row r="27" spans="1:17" s="450" customFormat="1">
      <c r="A27" s="448" t="s">
        <v>536</v>
      </c>
      <c r="B27" s="731">
        <f t="shared" ca="1" si="2"/>
        <v>31.955504199156923</v>
      </c>
      <c r="C27" s="449">
        <f t="shared" ca="1" si="3"/>
        <v>0</v>
      </c>
      <c r="D27" s="449">
        <f t="shared" si="4"/>
        <v>63.204709718499082</v>
      </c>
      <c r="E27" s="449">
        <f t="shared" si="5"/>
        <v>38.339751282344636</v>
      </c>
      <c r="F27" s="449">
        <f t="shared" si="6"/>
        <v>0</v>
      </c>
      <c r="G27" s="449">
        <f t="shared" si="7"/>
        <v>19502.064508141531</v>
      </c>
      <c r="H27" s="449">
        <f t="shared" si="8"/>
        <v>5111.401095325492</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24746.965568667023</v>
      </c>
    </row>
    <row r="28" spans="1:17" ht="16.5" customHeight="1">
      <c r="A28" s="444" t="s">
        <v>526</v>
      </c>
      <c r="B28" s="445">
        <f t="shared" ca="1" si="2"/>
        <v>1.615326611705179</v>
      </c>
      <c r="C28" s="445">
        <f t="shared" ca="1" si="3"/>
        <v>0</v>
      </c>
      <c r="D28" s="445">
        <f t="shared" si="4"/>
        <v>0</v>
      </c>
      <c r="E28" s="445">
        <f t="shared" si="5"/>
        <v>0</v>
      </c>
      <c r="F28" s="445">
        <f t="shared" si="6"/>
        <v>0</v>
      </c>
      <c r="G28" s="445">
        <f t="shared" si="7"/>
        <v>157.77992001163506</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159.39524662334023</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132.58031509212529</v>
      </c>
      <c r="C32" s="445">
        <f t="shared" ca="1" si="3"/>
        <v>0</v>
      </c>
      <c r="D32" s="445">
        <f t="shared" si="4"/>
        <v>224.8412418975164</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357.42155698964166</v>
      </c>
    </row>
    <row r="33" spans="1:17" s="456" customFormat="1">
      <c r="A33" s="454" t="s">
        <v>530</v>
      </c>
      <c r="B33" s="455">
        <f ca="1">SUM(B22:B32)</f>
        <v>9166.2921619422395</v>
      </c>
      <c r="C33" s="455">
        <f t="shared" ref="C33:Q33" ca="1" si="19">SUM(C22:C32)</f>
        <v>0</v>
      </c>
      <c r="D33" s="455">
        <f t="shared" ca="1" si="19"/>
        <v>11231.840669167566</v>
      </c>
      <c r="E33" s="455">
        <f t="shared" si="19"/>
        <v>568.40262209286777</v>
      </c>
      <c r="F33" s="455">
        <f t="shared" ca="1" si="19"/>
        <v>12543.932756893109</v>
      </c>
      <c r="G33" s="455">
        <f t="shared" si="19"/>
        <v>19659.844428153167</v>
      </c>
      <c r="H33" s="455">
        <f t="shared" si="19"/>
        <v>5111.401095325492</v>
      </c>
      <c r="I33" s="455">
        <f t="shared" si="19"/>
        <v>0</v>
      </c>
      <c r="J33" s="455">
        <f t="shared" si="19"/>
        <v>297.03911929437487</v>
      </c>
      <c r="K33" s="455">
        <f t="shared" si="19"/>
        <v>0</v>
      </c>
      <c r="L33" s="455">
        <f t="shared" ca="1" si="19"/>
        <v>0</v>
      </c>
      <c r="M33" s="455">
        <f t="shared" si="19"/>
        <v>0</v>
      </c>
      <c r="N33" s="455">
        <f t="shared" ca="1" si="19"/>
        <v>0</v>
      </c>
      <c r="O33" s="455">
        <f t="shared" si="19"/>
        <v>0</v>
      </c>
      <c r="P33" s="455">
        <f t="shared" si="19"/>
        <v>0</v>
      </c>
      <c r="Q33" s="455">
        <f t="shared" ca="1" si="19"/>
        <v>58578.752852868813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5503.048206489334</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0</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5503.048206489334</v>
      </c>
      <c r="C10" s="974">
        <f>SUM(C4:C9)</f>
        <v>0</v>
      </c>
      <c r="D10" s="974">
        <f t="shared" ref="D10:H10" si="0">SUM(D8:D9)</f>
        <v>0</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0</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0.1951126643489724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0</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0</v>
      </c>
      <c r="D20" s="974">
        <f t="shared" ref="D20:H20" si="2">SUM(D17:D19)</f>
        <v>0</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0</v>
      </c>
    </row>
    <row r="21" spans="1:16">
      <c r="B21" s="841"/>
    </row>
    <row r="22" spans="1:16">
      <c r="A22" s="457" t="s">
        <v>730</v>
      </c>
      <c r="B22" s="737" t="s">
        <v>728</v>
      </c>
      <c r="C22" s="737">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0.1951126643489724</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2022-07-26T09:57:25Z</dcterms:modified>
</cp:coreProperties>
</file>