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DBEE163-D32B-487E-B09D-673118DBCCF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<sst xmlns="http://schemas.openxmlformats.org/spreadsheetml/2006/main" count="2372" uniqueCount="861">
  <si>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</si>
  <si>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</si>
  <si>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</si>
  <si>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</si>
  <si>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</si>
  <si>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</si>
  <si>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</si>
  <si>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</si>
  <si>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</si>
  <si>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</si>
  <si>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</si>
  <si>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</si>
  <si>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</si>
  <si>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</si>
  <si>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</si>
  <si>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</si>
  <si>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</si>
  <si>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</si>
  <si>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</si>
  <si>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</si>
  <si>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</si>
  <si>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</si>
  <si>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</si>
  <si>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</si>
  <si>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</si>
  <si>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</si>
  <si>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</si>
  <si>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</si>
  <si>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</si>
  <si>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</si>
  <si>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</si>
  <si>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</si>
  <si>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</si>
  <si>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</si>
  <si>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</si>
  <si>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</si>
  <si>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</si>
  <si>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</si>
  <si>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</si>
  <si>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</si>
  <si>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</si>
  <si>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</si>
  <si>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</si>
  <si>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</si>
  <si>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</si>
  <si>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</si>
  <si>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</si>
  <si>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</si>
  <si>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</si>
  <si>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</si>
  <si>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</si>
  <si>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</si>
  <si>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</si>
  <si>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</si>
  <si>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</si>
  <si>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</si>
  <si>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</si>
  <si>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</si>
  <si>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</si>
  <si>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</si>
  <si>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</si>
  <si>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</si>
  <si>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</si>
  <si>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</si>
  <si>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</si>
  <si>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</si>
  <si>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</si>
  <si>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</si>
  <si>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</si>
  <si>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</si>
  <si>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</si>
  <si>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</si>
  <si>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</si>
  <si>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</si>
  <si>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</si>
  <si>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</si>
  <si>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</si>
  <si>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</si>
  <si>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</si>
  <si>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</si>
  <si>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</si>
  <si>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</si>
  <si>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</si>
  <si>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</si>
  <si>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</si>
  <si>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</si>
  <si>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</si>
  <si>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</si>
  <si>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</si>
  <si>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</si>
  <si>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</si>
  <si>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</si>
  <si>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</si>
  <si>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</si>
  <si>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</si>
  <si>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</si>
  <si>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</si>
  <si>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</si>
  <si>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</si>
  <si>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</si>
  <si>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</si>
  <si>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</si>
  <si>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</si>
  <si>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</si>
  <si>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</si>
  <si>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</si>
  <si>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</si>
  <si>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</si>
  <si>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</si>
  <si>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</si>
  <si>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</si>
  <si>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</si>
  <si>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</si>
  <si>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</si>
  <si>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</si>
  <si>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</si>
  <si>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</si>
  <si>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</si>
  <si>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</si>
  <si>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</si>
  <si>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</si>
  <si>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</si>
  <si>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</si>
  <si>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</si>
  <si>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</si>
  <si>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</si>
  <si>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</si>
  <si>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</si>
  <si>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</si>
  <si>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</si>
  <si>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</si>
  <si>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</si>
  <si>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</si>
  <si>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</si>
  <si>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</si>
  <si>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</si>
  <si>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</si>
  <si>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</si>
  <si>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</si>
  <si>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</si>
  <si>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</si>
  <si>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</si>
  <si>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</si>
  <si>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</si>
  <si>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</si>
  <si>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</si>
  <si>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</si>
  <si>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</si>
  <si>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</si>
  <si>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</si>
  <si>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</si>
  <si>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</si>
  <si>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</si>
  <si>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</si>
  <si>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</si>
  <si>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</si>
  <si>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</si>
  <si>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</si>
  <si>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</si>
  <si>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</si>
  <si>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</si>
  <si>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</si>
  <si>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</si>
  <si>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</si>
  <si>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</si>
  <si>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</si>
  <si>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</si>
  <si>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</si>
  <si>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</si>
  <si>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</si>
  <si>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</si>
  <si>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</si>
  <si>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</si>
  <si>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</si>
  <si>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</si>
  <si>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</si>
  <si>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</si>
  <si>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</si>
  <si>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</si>
  <si>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</si>
  <si>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</si>
  <si>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</si>
  <si>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</si>
  <si>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</si>
  <si>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</si>
  <si>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</si>
  <si>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</si>
  <si>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</si>
  <si>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</si>
  <si>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</si>
  <si>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</si>
  <si>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</si>
  <si>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</si>
  <si>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</si>
  <si>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</si>
  <si>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</si>
  <si>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</si>
  <si>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</si>
  <si>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</si>
  <si>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</si>
  <si>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</si>
  <si>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</si>
  <si>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</si>
  <si>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</si>
  <si>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</si>
  <si>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</si>
  <si>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</si>
  <si>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</si>
  <si>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</si>
  <si>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</si>
  <si>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</si>
  <si>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</si>
  <si>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</si>
  <si>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</si>
  <si>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</si>
  <si>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</si>
  <si>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</si>
  <si>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</si>
  <si>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</si>
  <si>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</si>
  <si>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</si>
  <si>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</si>
  <si>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</si>
  <si>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</si>
  <si>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</si>
  <si>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</si>
  <si>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</si>
  <si>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</si>
  <si>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</si>
  <si>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</si>
  <si>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</si>
  <si>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</si>
  <si>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</si>
  <si>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</si>
  <si>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</si>
  <si>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</si>
  <si>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</si>
  <si>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</si>
  <si>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</si>
  <si>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</si>
  <si>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</si>
  <si>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</si>
  <si>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</si>
  <si>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</si>
  <si>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</si>
  <si>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</si>
  <si>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</si>
  <si>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</si>
  <si>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</si>
  <si>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</si>
  <si>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</si>
  <si>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</si>
  <si>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</si>
  <si>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</si>
  <si>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</si>
  <si>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</si>
  <si>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</si>
  <si>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</si>
  <si>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</si>
  <si>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</si>
  <si>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</si>
  <si>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</si>
  <si>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</si>
  <si>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</si>
  <si>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</si>
  <si>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</si>
  <si>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</si>
  <si>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</si>
  <si>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</si>
  <si>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</si>
  <si>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</si>
  <si>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</si>
  <si>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</si>
  <si>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</si>
  <si>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</si>
  <si>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</si>
  <si>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</si>
  <si>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</si>
  <si>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</si>
  <si>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</si>
  <si>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</si>
  <si>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</si>
  <si>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</si>
  <si>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</si>
  <si>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</si>
  <si>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</si>
  <si>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</si>
  <si>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</si>
  <si>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</si>
  <si>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</si>
  <si>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</si>
  <si>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</si>
  <si>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</si>
  <si>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</si>
  <si>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</si>
  <si>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</si>
  <si>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</si>
  <si>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</si>
  <si>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</si>
  <si>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</si>
  <si>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</si>
  <si>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</si>
  <si>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</si>
  <si>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</si>
  <si>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</si>
  <si>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</si>
  <si>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</si>
  <si>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</si>
  <si>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</si>
  <si>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</si>
  <si>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</si>
  <si>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</si>
  <si>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</si>
  <si>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</si>
  <si>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</si>
  <si>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</si>
  <si>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</si>
  <si>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</si>
  <si>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</si>
  <si>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</si>
  <si>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</si>
  <si>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</si>
  <si>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</si>
  <si>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</si>
  <si>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</si>
  <si>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</si>
  <si>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</si>
  <si>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</si>
  <si>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</si>
  <si>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</si>
  <si>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</si>
  <si>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</si>
  <si>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</si>
  <si>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</si>
  <si>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</si>
  <si>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</si>
  <si>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</si>
  <si>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</si>
  <si>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</si>
  <si>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</si>
  <si>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</si>
  <si>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</si>
  <si>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</si>
  <si>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</si>
  <si>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</si>
  <si>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</si>
  <si>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</si>
  <si>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</si>
  <si>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</si>
  <si>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</si>
  <si>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</si>
  <si>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</si>
  <si>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</si>
  <si>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</si>
  <si>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</si>
  <si>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</si>
  <si>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</si>
  <si>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</si>
  <si>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</si>
  <si>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</si>
  <si>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</si>
  <si>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</si>
  <si>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</si>
  <si>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</si>
  <si>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</si>
  <si>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</si>
  <si>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</si>
  <si>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</si>
  <si>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</si>
  <si>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</si>
  <si>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</si>
  <si>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</si>
  <si>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</si>
  <si>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</si>
  <si>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</si>
  <si>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</si>
  <si>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</si>
  <si>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</si>
  <si>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</si>
  <si>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</si>
  <si>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</si>
  <si>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</si>
  <si>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</si>
  <si>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</si>
  <si>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</si>
  <si>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</si>
  <si>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</si>
  <si>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</si>
  <si>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</si>
  <si>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</si>
  <si>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</si>
  <si>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</si>
  <si>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</si>
  <si>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</si>
  <si>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</si>
  <si>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</si>
  <si>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</si>
  <si>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</si>
  <si>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</si>
  <si>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</si>
  <si>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</si>
  <si>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</si>
  <si>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</si>
  <si>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</si>
  <si>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</si>
  <si>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</si>
  <si>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</si>
  <si>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</si>
  <si>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</si>
  <si>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</si>
  <si>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</si>
  <si>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</si>
  <si>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</si>
  <si>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</si>
  <si>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</si>
  <si>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</si>
  <si>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</si>
  <si>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</si>
  <si>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</si>
  <si>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</si>
  <si>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</si>
  <si>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</si>
  <si>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</si>
  <si>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</si>
  <si>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</si>
  <si>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</si>
  <si>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</si>
  <si>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</si>
  <si>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</si>
  <si>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</si>
  <si>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</si>
  <si>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</si>
  <si>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</si>
  <si>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</si>
  <si>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</si>
  <si>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</si>
  <si>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</si>
  <si>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</si>
  <si>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</si>
  <si>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</si>
  <si>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</si>
  <si>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</si>
  <si>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</si>
  <si>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</si>
  <si>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</si>
  <si>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</si>
  <si>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</si>
  <si>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</si>
  <si>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</si>
  <si>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</si>
  <si>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</si>
  <si>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</si>
  <si>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</si>
  <si>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</si>
  <si>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</si>
  <si>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</si>
  <si>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</si>
  <si>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</si>
  <si>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</si>
  <si>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</si>
  <si>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</si>
  <si>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</si>
  <si>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</si>
  <si>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</si>
  <si>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</si>
  <si>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</si>
  <si>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</si>
  <si>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</si>
  <si>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</si>
  <si>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</si>
  <si>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</si>
  <si>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</si>
  <si>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</si>
  <si>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</si>
  <si>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</si>
  <si>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</si>
  <si>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</si>
  <si>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</si>
  <si>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</si>
  <si>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</si>
  <si>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</si>
  <si>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</si>
  <si>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</si>
  <si>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</si>
  <si>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</si>
  <si>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</si>
  <si>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</si>
  <si>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</si>
  <si>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</si>
  <si>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</si>
  <si>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</si>
  <si>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</si>
  <si>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</si>
  <si>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</si>
  <si>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</si>
  <si>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</si>
  <si>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</si>
  <si>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</si>
  <si>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</si>
  <si>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</si>
  <si>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</si>
  <si>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</si>
  <si>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</si>
  <si>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</si>
  <si>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</si>
  <si>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</si>
  <si>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</si>
  <si>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</si>
  <si>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</si>
  <si>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</si>
  <si>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</si>
  <si>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</si>
  <si>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</si>
  <si>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</si>
  <si>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</si>
  <si>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</si>
  <si>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</si>
  <si>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</si>
  <si>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</si>
  <si>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</si>
  <si>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</si>
  <si>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</si>
  <si>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</si>
  <si>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</si>
  <si>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</si>
  <si>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</si>
  <si>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</si>
  <si>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</si>
  <si>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</si>
  <si>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</si>
  <si>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</si>
  <si>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</si>
  <si>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</si>
  <si>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</si>
  <si>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</si>
  <si>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</si>
  <si>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</si>
  <si>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</si>
  <si>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</si>
  <si>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</si>
  <si>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</si>
  <si>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</si>
  <si>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</si>
  <si>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</si>
  <si>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</si>
  <si>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</si>
  <si>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</si>
  <si>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</si>
  <si>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</si>
  <si>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</si>
  <si>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</si>
  <si>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</si>
  <si>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</si>
  <si>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</si>
  <si>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</si>
  <si>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</si>
  <si>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</si>
  <si>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</si>
  <si>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</si>
  <si>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</si>
  <si>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</si>
  <si>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</si>
  <si>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</si>
  <si>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</si>
  <si>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</si>
  <si>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</si>
  <si>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</si>
  <si>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</si>
  <si>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</si>
  <si>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</si>
  <si>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</si>
  <si>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</si>
  <si>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</si>
  <si>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</si>
  <si>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</si>
  <si>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</si>
  <si>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</si>
  <si>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</si>
  <si>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</si>
  <si>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</si>
  <si>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</si>
  <si>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</si>
  <si>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</si>
  <si>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</si>
  <si>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</si>
  <si>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</si>
  <si>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</si>
  <si>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</si>
  <si>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</si>
  <si>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</si>
  <si>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</si>
  <si>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</si>
  <si>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</si>
  <si>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</si>
  <si>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</si>
  <si>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</si>
  <si>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</si>
  <si>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</si>
  <si>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</si>
  <si>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</si>
  <si>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</si>
  <si>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</si>
  <si>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</si>
  <si>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</si>
  <si>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</si>
  <si>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</si>
  <si>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</si>
  <si>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</si>
  <si>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</si>
  <si>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</si>
  <si>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</si>
  <si>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</si>
  <si>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</si>
  <si>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</si>
  <si>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</si>
  <si>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</si>
  <si>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</si>
  <si>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</si>
  <si>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</si>
  <si>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</si>
  <si>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</si>
  <si>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</si>
  <si>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</si>
  <si>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</si>
  <si>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</si>
  <si>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</si>
  <si>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</si>
  <si>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</si>
  <si>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</si>
  <si>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</si>
  <si>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</si>
  <si>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</si>
  <si>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</si>
  <si>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</si>
  <si>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</si>
  <si>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</si>
  <si>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</si>
  <si>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</si>
  <si>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</si>
  <si>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</si>
  <si>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</si>
  <si>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</si>
  <si>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</si>
  <si>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</si>
  <si>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</si>
  <si>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</si>
  <si>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</si>
  <si>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</si>
  <si>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</si>
  <si>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</si>
  <si>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</si>
  <si>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</si>
  <si>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</si>
  <si>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</si>
  <si>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</si>
  <si>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</si>
  <si>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</si>
  <si>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</si>
  <si>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</si>
  <si>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</si>
  <si>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</si>
  <si>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</si>
  <si>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</si>
  <si>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</si>
  <si>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</si>
  <si>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</si>
  <si>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</si>
  <si>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</si>
  <si>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</si>
  <si>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</si>
  <si>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</si>
  <si>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</si>
  <si>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</si>
  <si>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</si>
  <si>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</si>
  <si>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</si>
  <si>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</si>
  <si>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</si>
  <si>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</si>
  <si>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</si>
  <si>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</si>
  <si>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</si>
  <si>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</si>
  <si>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</si>
  <si>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</si>
  <si>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</si>
  <si>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</si>
  <si>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</si>
  <si>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</si>
  <si>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</si>
  <si>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</si>
  <si>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</si>
  <si>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</si>
  <si>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</si>
  <si>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</si>
  <si>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</si>
  <si>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</si>
  <si>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</si>
  <si>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</si>
  <si>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</si>
  <si>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</si>
  <si>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</si>
  <si>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</si>
  <si>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</si>
  <si>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</si>
  <si>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</si>
  <si>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</si>
  <si>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</si>
  <si>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</si>
  <si>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</si>
  <si>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</si>
  <si>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</si>
  <si>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</si>
  <si>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</si>
  <si>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</si>
  <si>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</si>
  <si>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</si>
  <si>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</si>
  <si>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</si>
  <si>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</si>
  <si>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</si>
  <si>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</si>
  <si>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</si>
  <si>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</si>
  <si>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</si>
  <si>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</si>
  <si>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</si>
  <si>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</si>
  <si>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</si>
  <si>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</si>
  <si>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</si>
  <si>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</si>
  <si>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</si>
  <si>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</si>
  <si>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</si>
  <si>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</si>
  <si>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</si>
  <si>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</si>
  <si>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</si>
  <si>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</si>
  <si>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</si>
  <si>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</si>
  <si>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</si>
  <si>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</si>
  <si>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</si>
  <si>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</si>
  <si>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</si>
  <si>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</si>
  <si>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</si>
  <si>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</si>
  <si>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</si>
  <si>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</si>
  <si>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</si>
  <si>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</si>
  <si>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</si>
  <si>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</si>
  <si>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</si>
  <si>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</si>
  <si>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</si>
  <si>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</si>
  <si>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</si>
  <si>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</si>
  <si>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</si>
  <si>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</si>
  <si>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</si>
  <si>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</si>
  <si>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</si>
  <si>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</si>
  <si>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</si>
  <si>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</si>
  <si>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</si>
  <si>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</si>
  <si>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</si>
  <si>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</si>
  <si>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</si>
  <si>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</si>
  <si>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</si>
  <si>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</si>
  <si>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</si>
  <si>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</si>
  <si>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</si>
  <si>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</si>
  <si>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</si>
  <si>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</si>
  <si>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</si>
  <si>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</si>
  <si>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</si>
  <si>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</si>
  <si>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</si>
  <si>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</si>
  <si>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</si>
  <si>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</si>
  <si>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</si>
  <si>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</si>
  <si>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</si>
  <si>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</si>
  <si>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</si>
  <si>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</si>
  <si>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</si>
  <si>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</si>
  <si>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</si>
  <si>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</si>
  <si>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</si>
  <si>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</si>
  <si>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</si>
  <si>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</si>
  <si>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</si>
  <si>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</si>
  <si>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</si>
  <si>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</si>
  <si>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</si>
  <si>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</si>
  <si>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</si>
  <si>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</si>
  <si>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</si>
  <si>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</si>
  <si>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</si>
  <si>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</si>
  <si>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</si>
  <si>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</si>
  <si>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</si>
  <si>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</si>
  <si>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</si>
  <si>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</si>
  <si>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</si>
  <si>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</si>
  <si>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</si>
  <si>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</si>
  <si>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</si>
  <si>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</si>
  <si>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</si>
  <si>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</si>
  <si>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</si>
  <si>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</si>
  <si>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</si>
  <si>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</si>
  <si>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</si>
  <si>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</si>
  <si>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</si>
  <si>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</si>
  <si>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</si>
  <si>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</si>
  <si>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</si>
  <si>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</si>
  <si>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</si>
  <si>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</si>
  <si>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</si>
  <si>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</si>
  <si>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</si>
  <si>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</si>
  <si>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</si>
  <si>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</si>
  <si>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</si>
  <si>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</si>
  <si>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</si>
  <si>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</si>
  <si>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</si>
  <si>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43018</t>
  </si>
  <si>
    <t>ZELZATE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</si>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</sst>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4CDA063-68BF-4D6B-B31B-1680AEA303C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100713.28609810436</c:v>
                </c:pt>
                <c:pt idx="1">
                  <c:v>38622.443312976029</c:v>
                </c:pt>
                <c:pt idx="2">
                  <c:v>716.65</c:v>
                </c:pt>
                <c:pt idx="3">
                  <c:v>1131.103223729295</c:v>
                </c:pt>
                <c:pt idx="4">
                  <c:v>221339.54761014314</c:v>
                </c:pt>
                <c:pt idx="5">
                  <c:v>112413.94490274598</c:v>
                </c:pt>
                <c:pt idx="6">
                  <c:v>587.80215571378335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100713.28609810436</c:v>
                </c:pt>
                <c:pt idx="1">
                  <c:v>38622.443312976029</c:v>
                </c:pt>
                <c:pt idx="2">
                  <c:v>716.65</c:v>
                </c:pt>
                <c:pt idx="3">
                  <c:v>1131.103223729295</c:v>
                </c:pt>
                <c:pt idx="4">
                  <c:v>221339.54761014314</c:v>
                </c:pt>
                <c:pt idx="5">
                  <c:v>112413.94490274598</c:v>
                </c:pt>
                <c:pt idx="6">
                  <c:v>587.80215571378335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17870.128915277292</c:v>
                </c:pt>
                <c:pt idx="1">
                  <c:v>6231.1076448854028</c:v>
                </c:pt>
                <c:pt idx="2">
                  <c:v>52.489450907015481</c:v>
                </c:pt>
                <c:pt idx="3">
                  <c:v>254.06236687454887</c:v>
                </c:pt>
                <c:pt idx="4">
                  <c:v>39896.891771991701</c:v>
                </c:pt>
                <c:pt idx="5">
                  <c:v>27984.413028793431</c:v>
                </c:pt>
                <c:pt idx="6">
                  <c:v>147.34580738486017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17870.128915277292</c:v>
                </c:pt>
                <c:pt idx="1">
                  <c:v>6231.1076448854028</c:v>
                </c:pt>
                <c:pt idx="2">
                  <c:v>52.489450907015481</c:v>
                </c:pt>
                <c:pt idx="3">
                  <c:v>254.06236687454887</c:v>
                </c:pt>
                <c:pt idx="4">
                  <c:v>39896.891771991701</c:v>
                </c:pt>
                <c:pt idx="5">
                  <c:v>27984.413028793431</c:v>
                </c:pt>
                <c:pt idx="6">
                  <c:v>147.34580738486017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43018</v>
      </c>
      <c r="B6" s="382"/>
      <c r="C6" s="383"/>
    </row>
    <row r="7" spans="1:7" s="380" customFormat="1" ht="15.75" customHeight="1">
      <c r="A7" s="384" t="str">
        <f>txtMunicipality</f>
        <v>ZELZATE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7.3242797609733457E-2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7.3242797609733457E-2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5448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474.58</v>
      </c>
      <c r="C14" s="324"/>
      <c r="D14" s="324"/>
      <c r="E14" s="324"/>
      <c r="F14" s="324"/>
    </row>
    <row r="15" spans="1:6">
      <c r="A15" s="1264" t="s">
        <v>177</v>
      </c>
      <c r="B15" s="1265">
        <v>3</v>
      </c>
      <c r="C15" s="324"/>
      <c r="D15" s="324"/>
      <c r="E15" s="324"/>
      <c r="F15" s="324"/>
    </row>
    <row r="16" spans="1:6">
      <c r="A16" s="1264" t="s">
        <v>6</v>
      </c>
      <c r="B16" s="1265">
        <v>97</v>
      </c>
      <c r="C16" s="324"/>
      <c r="D16" s="324"/>
      <c r="E16" s="324"/>
      <c r="F16" s="324"/>
    </row>
    <row r="17" spans="1:6">
      <c r="A17" s="1264" t="s">
        <v>7</v>
      </c>
      <c r="B17" s="1265">
        <v>20</v>
      </c>
      <c r="C17" s="324"/>
      <c r="D17" s="324"/>
      <c r="E17" s="324"/>
      <c r="F17" s="324"/>
    </row>
    <row r="18" spans="1:6">
      <c r="A18" s="1264" t="s">
        <v>8</v>
      </c>
      <c r="B18" s="1265">
        <v>86</v>
      </c>
      <c r="C18" s="324"/>
      <c r="D18" s="324"/>
      <c r="E18" s="324"/>
      <c r="F18" s="324"/>
    </row>
    <row r="19" spans="1:6">
      <c r="A19" s="1264" t="s">
        <v>9</v>
      </c>
      <c r="B19" s="1265">
        <v>128</v>
      </c>
      <c r="C19" s="324"/>
      <c r="D19" s="324"/>
      <c r="E19" s="324"/>
      <c r="F19" s="324"/>
    </row>
    <row r="20" spans="1:6">
      <c r="A20" s="1264" t="s">
        <v>10</v>
      </c>
      <c r="B20" s="1265">
        <v>68</v>
      </c>
      <c r="C20" s="324"/>
      <c r="D20" s="324"/>
      <c r="E20" s="324"/>
      <c r="F20" s="324"/>
    </row>
    <row r="21" spans="1:6">
      <c r="A21" s="1264" t="s">
        <v>11</v>
      </c>
      <c r="B21" s="1265">
        <v>0</v>
      </c>
      <c r="C21" s="324"/>
      <c r="D21" s="324"/>
      <c r="E21" s="324"/>
      <c r="F21" s="324"/>
    </row>
    <row r="22" spans="1:6">
      <c r="A22" s="1264" t="s">
        <v>12</v>
      </c>
      <c r="B22" s="1265">
        <v>505</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30225</v>
      </c>
      <c r="C28" s="324"/>
      <c r="D28" s="324"/>
      <c r="E28" s="324"/>
      <c r="F28" s="324"/>
    </row>
    <row r="29" spans="1:6">
      <c r="A29" s="1264" t="s">
        <v>657</v>
      </c>
      <c r="B29" s="1266">
        <v>2</v>
      </c>
      <c r="C29" s="324"/>
      <c r="D29" s="324"/>
      <c r="E29" s="324"/>
      <c r="F29" s="324"/>
    </row>
    <row r="30" spans="1:6">
      <c r="A30" s="1259" t="s">
        <v>658</v>
      </c>
      <c r="B30" s="1267">
        <v>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118004.18799999999</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25759.454000000002</v>
      </c>
      <c r="E38" s="1265">
        <v>1</v>
      </c>
      <c r="F38" s="1265">
        <v>128524</v>
      </c>
    </row>
    <row r="39" spans="1:6">
      <c r="A39" s="1264" t="s">
        <v>29</v>
      </c>
      <c r="B39" s="1264" t="s">
        <v>30</v>
      </c>
      <c r="C39" s="1265">
        <v>3819</v>
      </c>
      <c r="D39" s="1265">
        <v>53811463.865999997</v>
      </c>
      <c r="E39" s="1265">
        <v>5560</v>
      </c>
      <c r="F39" s="1265">
        <v>17937102.978</v>
      </c>
    </row>
    <row r="40" spans="1:6">
      <c r="A40" s="1264" t="s">
        <v>29</v>
      </c>
      <c r="B40" s="1264" t="s">
        <v>28</v>
      </c>
      <c r="C40" s="1265">
        <v>0</v>
      </c>
      <c r="D40" s="1265">
        <v>0</v>
      </c>
      <c r="E40" s="1265">
        <v>0</v>
      </c>
      <c r="F40" s="1265">
        <v>0</v>
      </c>
    </row>
    <row r="41" spans="1:6">
      <c r="A41" s="1264" t="s">
        <v>31</v>
      </c>
      <c r="B41" s="1264" t="s">
        <v>32</v>
      </c>
      <c r="C41" s="1265">
        <v>37</v>
      </c>
      <c r="D41" s="1265">
        <v>663342.67500000005</v>
      </c>
      <c r="E41" s="1265">
        <v>76</v>
      </c>
      <c r="F41" s="1265">
        <v>707686.13600000006</v>
      </c>
    </row>
    <row r="42" spans="1:6">
      <c r="A42" s="1264" t="s">
        <v>31</v>
      </c>
      <c r="B42" s="1264" t="s">
        <v>33</v>
      </c>
      <c r="C42" s="1265">
        <v>0</v>
      </c>
      <c r="D42" s="1265">
        <v>0</v>
      </c>
      <c r="E42" s="1265">
        <v>3</v>
      </c>
      <c r="F42" s="1265">
        <v>37458210.987999998</v>
      </c>
    </row>
    <row r="43" spans="1:6">
      <c r="A43" s="1264" t="s">
        <v>31</v>
      </c>
      <c r="B43" s="1264" t="s">
        <v>34</v>
      </c>
      <c r="C43" s="1265">
        <v>0</v>
      </c>
      <c r="D43" s="1265">
        <v>0</v>
      </c>
      <c r="E43" s="1265">
        <v>0</v>
      </c>
      <c r="F43" s="1265">
        <v>0</v>
      </c>
    </row>
    <row r="44" spans="1:6">
      <c r="A44" s="1264" t="s">
        <v>31</v>
      </c>
      <c r="B44" s="1264" t="s">
        <v>35</v>
      </c>
      <c r="C44" s="1265">
        <v>5</v>
      </c>
      <c r="D44" s="1265">
        <v>90701.619000000006</v>
      </c>
      <c r="E44" s="1265">
        <v>18</v>
      </c>
      <c r="F44" s="1265">
        <v>270645.08799999999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6</v>
      </c>
      <c r="F47" s="1265">
        <v>82565.243000000002</v>
      </c>
    </row>
    <row r="48" spans="1:6">
      <c r="A48" s="1264" t="s">
        <v>31</v>
      </c>
      <c r="B48" s="1264" t="s">
        <v>28</v>
      </c>
      <c r="C48" s="1265">
        <v>3</v>
      </c>
      <c r="D48" s="1265">
        <v>190983445.90200001</v>
      </c>
      <c r="E48" s="1265">
        <v>2</v>
      </c>
      <c r="F48" s="1265">
        <v>7605.36</v>
      </c>
    </row>
    <row r="49" spans="1:6">
      <c r="A49" s="1264" t="s">
        <v>31</v>
      </c>
      <c r="B49" s="1264" t="s">
        <v>39</v>
      </c>
      <c r="C49" s="1265">
        <v>0</v>
      </c>
      <c r="D49" s="1265">
        <v>0</v>
      </c>
      <c r="E49" s="1265">
        <v>0</v>
      </c>
      <c r="F49" s="1265">
        <v>0</v>
      </c>
    </row>
    <row r="50" spans="1:6">
      <c r="A50" s="1264" t="s">
        <v>31</v>
      </c>
      <c r="B50" s="1264" t="s">
        <v>40</v>
      </c>
      <c r="C50" s="1265">
        <v>8</v>
      </c>
      <c r="D50" s="1265">
        <v>630225.26699999999</v>
      </c>
      <c r="E50" s="1265">
        <v>13</v>
      </c>
      <c r="F50" s="1265">
        <v>717061.70700000005</v>
      </c>
    </row>
    <row r="51" spans="1:6">
      <c r="A51" s="1264" t="s">
        <v>41</v>
      </c>
      <c r="B51" s="1264" t="s">
        <v>42</v>
      </c>
      <c r="C51" s="1265">
        <v>4</v>
      </c>
      <c r="D51" s="1265">
        <v>171908.54500000001</v>
      </c>
      <c r="E51" s="1265">
        <v>26</v>
      </c>
      <c r="F51" s="1265">
        <v>218803.31599999999</v>
      </c>
    </row>
    <row r="52" spans="1:6">
      <c r="A52" s="1264" t="s">
        <v>41</v>
      </c>
      <c r="B52" s="1264" t="s">
        <v>28</v>
      </c>
      <c r="C52" s="1265">
        <v>0</v>
      </c>
      <c r="D52" s="1265">
        <v>0</v>
      </c>
      <c r="E52" s="1265">
        <v>0</v>
      </c>
      <c r="F52" s="1265">
        <v>0</v>
      </c>
    </row>
    <row r="53" spans="1:6">
      <c r="A53" s="1264" t="s">
        <v>43</v>
      </c>
      <c r="B53" s="1264" t="s">
        <v>44</v>
      </c>
      <c r="C53" s="1265">
        <v>65</v>
      </c>
      <c r="D53" s="1265">
        <v>4029007.827</v>
      </c>
      <c r="E53" s="1265">
        <v>118</v>
      </c>
      <c r="F53" s="1265">
        <v>818597.69499999995</v>
      </c>
    </row>
    <row r="54" spans="1:6">
      <c r="A54" s="1264" t="s">
        <v>45</v>
      </c>
      <c r="B54" s="1264" t="s">
        <v>46</v>
      </c>
      <c r="C54" s="1265">
        <v>0</v>
      </c>
      <c r="D54" s="1265">
        <v>0</v>
      </c>
      <c r="E54" s="1265">
        <v>1</v>
      </c>
      <c r="F54" s="1265">
        <v>716650</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45</v>
      </c>
      <c r="D57" s="1265">
        <v>3695476.3760000002</v>
      </c>
      <c r="E57" s="1265">
        <v>86</v>
      </c>
      <c r="F57" s="1265">
        <v>1977864.3689999999</v>
      </c>
    </row>
    <row r="58" spans="1:6">
      <c r="A58" s="1264" t="s">
        <v>48</v>
      </c>
      <c r="B58" s="1264" t="s">
        <v>50</v>
      </c>
      <c r="C58" s="1265">
        <v>40</v>
      </c>
      <c r="D58" s="1265">
        <v>1083099.402</v>
      </c>
      <c r="E58" s="1265">
        <v>58</v>
      </c>
      <c r="F58" s="1265">
        <v>438229.603</v>
      </c>
    </row>
    <row r="59" spans="1:6">
      <c r="A59" s="1264" t="s">
        <v>48</v>
      </c>
      <c r="B59" s="1264" t="s">
        <v>51</v>
      </c>
      <c r="C59" s="1265">
        <v>73</v>
      </c>
      <c r="D59" s="1265">
        <v>3185452.423</v>
      </c>
      <c r="E59" s="1265">
        <v>140</v>
      </c>
      <c r="F59" s="1265">
        <v>4027171.7259999998</v>
      </c>
    </row>
    <row r="60" spans="1:6">
      <c r="A60" s="1264" t="s">
        <v>48</v>
      </c>
      <c r="B60" s="1264" t="s">
        <v>52</v>
      </c>
      <c r="C60" s="1265">
        <v>73</v>
      </c>
      <c r="D60" s="1265">
        <v>12088796.915999999</v>
      </c>
      <c r="E60" s="1265">
        <v>84</v>
      </c>
      <c r="F60" s="1265">
        <v>3019867.7620000001</v>
      </c>
    </row>
    <row r="61" spans="1:6">
      <c r="A61" s="1264" t="s">
        <v>48</v>
      </c>
      <c r="B61" s="1264" t="s">
        <v>53</v>
      </c>
      <c r="C61" s="1265">
        <v>106</v>
      </c>
      <c r="D61" s="1265">
        <v>4965732.9060000004</v>
      </c>
      <c r="E61" s="1265">
        <v>285</v>
      </c>
      <c r="F61" s="1265">
        <v>2756497.0449999999</v>
      </c>
    </row>
    <row r="62" spans="1:6">
      <c r="A62" s="1264" t="s">
        <v>48</v>
      </c>
      <c r="B62" s="1264" t="s">
        <v>54</v>
      </c>
      <c r="C62" s="1265">
        <v>0</v>
      </c>
      <c r="D62" s="1265">
        <v>0</v>
      </c>
      <c r="E62" s="1265">
        <v>8</v>
      </c>
      <c r="F62" s="1265">
        <v>269490.59499999997</v>
      </c>
    </row>
    <row r="63" spans="1:6">
      <c r="A63" s="1264" t="s">
        <v>48</v>
      </c>
      <c r="B63" s="1264" t="s">
        <v>28</v>
      </c>
      <c r="C63" s="1265">
        <v>2</v>
      </c>
      <c r="D63" s="1265">
        <v>39410.078999999998</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2</v>
      </c>
      <c r="F65" s="1265">
        <v>22698.755000000001</v>
      </c>
    </row>
    <row r="66" spans="1:6">
      <c r="A66" s="1264" t="s">
        <v>55</v>
      </c>
      <c r="B66" s="1264" t="s">
        <v>57</v>
      </c>
      <c r="C66" s="1265">
        <v>0</v>
      </c>
      <c r="D66" s="1265">
        <v>0</v>
      </c>
      <c r="E66" s="1265">
        <v>14</v>
      </c>
      <c r="F66" s="1265">
        <v>3769835.9559999998</v>
      </c>
    </row>
    <row r="67" spans="1:6">
      <c r="A67" s="1264" t="s">
        <v>55</v>
      </c>
      <c r="B67" s="1264" t="s">
        <v>58</v>
      </c>
      <c r="C67" s="1265">
        <v>0</v>
      </c>
      <c r="D67" s="1265">
        <v>0</v>
      </c>
      <c r="E67" s="1265">
        <v>0</v>
      </c>
      <c r="F67" s="1265">
        <v>0</v>
      </c>
    </row>
    <row r="68" spans="1:6">
      <c r="A68" s="1259" t="s">
        <v>55</v>
      </c>
      <c r="B68" s="1259" t="s">
        <v>59</v>
      </c>
      <c r="C68" s="1267">
        <v>6</v>
      </c>
      <c r="D68" s="1267">
        <v>89959.782999999996</v>
      </c>
      <c r="E68" s="1267">
        <v>12</v>
      </c>
      <c r="F68" s="1267">
        <v>130068.822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48169460</v>
      </c>
      <c r="E73" s="443"/>
      <c r="F73" s="324"/>
    </row>
    <row r="74" spans="1:6">
      <c r="A74" s="1264" t="s">
        <v>63</v>
      </c>
      <c r="B74" s="1264" t="s">
        <v>608</v>
      </c>
      <c r="C74" s="1277" t="s">
        <v>610</v>
      </c>
      <c r="D74" s="1265">
        <v>7182135.2774558933</v>
      </c>
      <c r="E74" s="443"/>
      <c r="F74" s="324"/>
    </row>
    <row r="75" spans="1:6">
      <c r="A75" s="1264" t="s">
        <v>64</v>
      </c>
      <c r="B75" s="1264" t="s">
        <v>607</v>
      </c>
      <c r="C75" s="1277" t="s">
        <v>611</v>
      </c>
      <c r="D75" s="1265">
        <v>9234586</v>
      </c>
      <c r="E75" s="443"/>
      <c r="F75" s="324"/>
    </row>
    <row r="76" spans="1:6">
      <c r="A76" s="1264" t="s">
        <v>64</v>
      </c>
      <c r="B76" s="1264" t="s">
        <v>608</v>
      </c>
      <c r="C76" s="1277" t="s">
        <v>612</v>
      </c>
      <c r="D76" s="1265">
        <v>77699.277455892996</v>
      </c>
      <c r="E76" s="443"/>
      <c r="F76" s="324"/>
    </row>
    <row r="77" spans="1:6">
      <c r="A77" s="1264" t="s">
        <v>65</v>
      </c>
      <c r="B77" s="1264" t="s">
        <v>607</v>
      </c>
      <c r="C77" s="1277" t="s">
        <v>613</v>
      </c>
      <c r="D77" s="1265">
        <v>46180351</v>
      </c>
      <c r="E77" s="443"/>
      <c r="F77" s="324"/>
    </row>
    <row r="78" spans="1:6">
      <c r="A78" s="1259" t="s">
        <v>65</v>
      </c>
      <c r="B78" s="1259" t="s">
        <v>608</v>
      </c>
      <c r="C78" s="1259" t="s">
        <v>614</v>
      </c>
      <c r="D78" s="1267">
        <v>8709351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162793.44508821401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38457.797282742358</v>
      </c>
      <c r="C90" s="324"/>
      <c r="D90" s="324"/>
      <c r="E90" s="324"/>
      <c r="F90" s="324"/>
    </row>
    <row r="91" spans="1:6">
      <c r="A91" s="1264" t="s">
        <v>67</v>
      </c>
      <c r="B91" s="1265">
        <v>2140.9322446780043</v>
      </c>
      <c r="C91" s="324"/>
      <c r="D91" s="324"/>
      <c r="E91" s="324"/>
      <c r="F91" s="324"/>
    </row>
    <row r="92" spans="1:6">
      <c r="A92" s="1259" t="s">
        <v>68</v>
      </c>
      <c r="B92" s="1260">
        <v>8700.4349962578744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1564</v>
      </c>
      <c r="C97" s="324"/>
      <c r="D97" s="324"/>
      <c r="E97" s="324"/>
      <c r="F97" s="324"/>
    </row>
    <row r="98" spans="1:6">
      <c r="A98" s="1264" t="s">
        <v>71</v>
      </c>
      <c r="B98" s="1265">
        <v>1</v>
      </c>
      <c r="C98" s="324"/>
      <c r="D98" s="324"/>
      <c r="E98" s="324"/>
      <c r="F98" s="324"/>
    </row>
    <row r="99" spans="1:6">
      <c r="A99" s="1264" t="s">
        <v>72</v>
      </c>
      <c r="B99" s="1265">
        <v>32</v>
      </c>
      <c r="C99" s="324"/>
      <c r="D99" s="324"/>
      <c r="E99" s="324"/>
      <c r="F99" s="324"/>
    </row>
    <row r="100" spans="1:6">
      <c r="A100" s="1264" t="s">
        <v>73</v>
      </c>
      <c r="B100" s="1265">
        <v>384</v>
      </c>
      <c r="C100" s="324"/>
      <c r="D100" s="324"/>
      <c r="E100" s="324"/>
      <c r="F100" s="324"/>
    </row>
    <row r="101" spans="1:6">
      <c r="A101" s="1264" t="s">
        <v>74</v>
      </c>
      <c r="B101" s="1265">
        <v>26</v>
      </c>
      <c r="C101" s="324"/>
      <c r="D101" s="324"/>
      <c r="E101" s="324"/>
      <c r="F101" s="324"/>
    </row>
    <row r="102" spans="1:6">
      <c r="A102" s="1264" t="s">
        <v>75</v>
      </c>
      <c r="B102" s="1265">
        <v>104</v>
      </c>
      <c r="C102" s="324"/>
      <c r="D102" s="324"/>
      <c r="E102" s="324"/>
      <c r="F102" s="324"/>
    </row>
    <row r="103" spans="1:6">
      <c r="A103" s="1264" t="s">
        <v>76</v>
      </c>
      <c r="B103" s="1265">
        <v>207</v>
      </c>
      <c r="C103" s="324"/>
      <c r="D103" s="324"/>
      <c r="E103" s="324"/>
      <c r="F103" s="324"/>
    </row>
    <row r="104" spans="1:6">
      <c r="A104" s="1264" t="s">
        <v>77</v>
      </c>
      <c r="B104" s="1265">
        <v>2809</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v>
      </c>
      <c r="C123" s="1265">
        <v>9</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79</v>
      </c>
      <c r="C129" s="324"/>
      <c r="D129" s="324"/>
      <c r="E129" s="324"/>
      <c r="F129" s="324"/>
    </row>
    <row r="130" spans="1:6">
      <c r="A130" s="1264" t="s">
        <v>284</v>
      </c>
      <c r="B130" s="1265">
        <v>3</v>
      </c>
      <c r="C130" s="324"/>
      <c r="D130" s="324"/>
      <c r="E130" s="324"/>
      <c r="F130" s="324"/>
    </row>
    <row r="131" spans="1:6">
      <c r="A131" s="1264" t="s">
        <v>285</v>
      </c>
      <c r="B131" s="1265">
        <v>0</v>
      </c>
      <c r="C131" s="324"/>
      <c r="D131" s="324"/>
      <c r="E131" s="324"/>
      <c r="F131" s="324"/>
    </row>
    <row r="132" spans="1:6">
      <c r="A132" s="1259" t="s">
        <v>286</v>
      </c>
      <c r="B132" s="1260">
        <v>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73736.61103135912</v>
      </c>
      <c r="C3" s="43" t="s">
        <v>163</v>
      </c>
      <c r="D3" s="43"/>
      <c r="E3" s="153"/>
      <c r="F3" s="43"/>
      <c r="G3" s="43"/>
      <c r="H3" s="43"/>
      <c r="I3" s="43"/>
      <c r="J3" s="43"/>
      <c r="K3" s="96"/>
    </row>
    <row r="4" spans="1:11">
      <c r="A4" s="350" t="s">
        <v>164</v>
      </c>
      <c r="B4" s="49">
        <f>IF(ISERROR('SEAP template'!B78+'SEAP template'!C78),0,'SEAP template'!B78+'SEAP template'!C78)</f>
        <v>49299.164523678235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7.3242797609733457E-2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716.65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716.65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7.3242797609733457E-2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52.489450907015481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17937.102977999999</v>
      </c>
      <c r="C5" s="17">
        <f>IF(ISERROR('Eigen informatie GS &amp; warmtenet'!B59),0,'Eigen informatie GS &amp; warmtenet'!B59)</f>
        <v>0</v>
      </c>
      <c r="D5" s="30">
        <f>(SUM(HH_hh_gas_kWh,HH_rest_gas_kWh)/1000)*0.903</f>
        <v>48591.751870998</v>
      </c>
      <c r="E5" s="17">
        <f>B32*B41</f>
        <v>1420.6450571075361</v>
      </c>
      <c r="F5" s="17">
        <f>B36*B45</f>
        <v>23281.079318969238</v>
      </c>
      <c r="G5" s="18"/>
      <c r="H5" s="17"/>
      <c r="I5" s="17"/>
      <c r="J5" s="17">
        <f>B35*B44+C35*C44</f>
        <v>128.49988980731985</v>
      </c>
      <c r="K5" s="17"/>
      <c r="L5" s="17"/>
      <c r="M5" s="17"/>
      <c r="N5" s="17">
        <f>B34*B43+C34*C43</f>
        <v>7007.0845373151597</v>
      </c>
      <c r="O5" s="17">
        <f>B52*B53*B54</f>
        <v>174.58832330605881</v>
      </c>
      <c r="P5" s="17">
        <f>B60*B61*B62/1000-B60*B61*B62/1000/B63</f>
        <v>31.601877923055071</v>
      </c>
    </row>
    <row r="6" spans="1:16">
      <c r="A6" s="16" t="s">
        <v>573</v>
      </c>
      <c r="B6" s="739">
        <f>kWh_PV_kleiner_dan_10kW</f>
        <v>2140.9322446780043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20078.035222678001</v>
      </c>
      <c r="C8" s="21">
        <f>C5</f>
        <v>0</v>
      </c>
      <c r="D8" s="21">
        <f>D5</f>
        <v>48591.751870998</v>
      </c>
      <c r="E8" s="21">
        <f>E5</f>
        <v>1420.6450571075361</v>
      </c>
      <c r="F8" s="21">
        <f>F5</f>
        <v>23281.079318969238</v>
      </c>
      <c r="G8" s="21"/>
      <c r="H8" s="21"/>
      <c r="I8" s="21"/>
      <c r="J8" s="21">
        <f>J5</f>
        <v>128.49988980731985</v>
      </c>
      <c r="K8" s="21"/>
      <c r="L8" s="21">
        <f>L5</f>
        <v>0</v>
      </c>
      <c r="M8" s="21">
        <f>M5</f>
        <v>0</v>
      </c>
      <c r="N8" s="21">
        <f>N5</f>
        <v>7007.0845373151597</v>
      </c>
      <c r="O8" s="21">
        <f>O5</f>
        <v>174.58832330605881</v>
      </c>
      <c r="P8" s="21">
        <f>P5</f>
        <v>31.601877923055071</v>
      </c>
    </row>
    <row r="9" spans="1:16">
      <c r="B9" s="19"/>
      <c r="C9" s="19"/>
      <c r="D9" s="253"/>
      <c r="E9" s="19"/>
      <c r="F9" s="19"/>
      <c r="G9" s="19"/>
      <c r="H9" s="19"/>
      <c r="I9" s="19"/>
      <c r="J9" s="19"/>
      <c r="K9" s="19"/>
      <c r="L9" s="19"/>
      <c r="M9" s="19"/>
      <c r="N9" s="19"/>
      <c r="O9" s="19"/>
      <c r="P9" s="19"/>
    </row>
    <row r="10" spans="1:16">
      <c r="A10" s="24" t="s">
        <v>207</v>
      </c>
      <c r="B10" s="25">
        <f ca="1">'EF ele_warmte'!B12</f>
        <v>7.3242797609733457E-2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1470.5714702157045</v>
      </c>
      <c r="C12" s="23">
        <f ca="1">C10*C8</f>
        <v>0</v>
      </c>
      <c r="D12" s="23">
        <f>D8*D10</f>
        <v>9815.5338779415961</v>
      </c>
      <c r="E12" s="23">
        <f>E10*E8</f>
        <v>322.48642796341073</v>
      </c>
      <c r="F12" s="23">
        <f>F10*F8</f>
        <v>6216.0481781647868</v>
      </c>
      <c r="G12" s="23"/>
      <c r="H12" s="23"/>
      <c r="I12" s="23"/>
      <c r="J12" s="23">
        <f>J10*J8</f>
        <v>45.488960991791224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5448</v>
      </c>
      <c r="C26" s="36"/>
      <c r="D26" s="224"/>
    </row>
    <row r="27" spans="1:5" s="15" customFormat="1">
      <c r="A27" s="226" t="s">
        <v>784</v>
      </c>
      <c r="B27" s="37">
        <f>SUM(HH_hh_gas_aantal,HH_rest_gas_aantal)</f>
        <v>3819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3628.05</v>
      </c>
      <c r="C31" s="34" t="s">
        <v>104</v>
      </c>
      <c r="D31" s="170"/>
    </row>
    <row r="32" spans="1:5">
      <c r="A32" s="167" t="s">
        <v>72</v>
      </c>
      <c r="B32" s="33">
        <f>IF((B21*($B$26-($B$27-0.05*$B$27)-$B$60))&lt;0,0,B21*($B$26-($B$27-0.05*$B$27)-$B$60))</f>
        <v>28.026385043318278</v>
      </c>
      <c r="C32" s="34" t="s">
        <v>104</v>
      </c>
      <c r="D32" s="170"/>
    </row>
    <row r="33" spans="1:6">
      <c r="A33" s="167" t="s">
        <v>73</v>
      </c>
      <c r="B33" s="33">
        <f>IF((B22*($B$26-($B$27-0.05*$B$27)-$B$60))&lt;0,0,B22*($B$26-($B$27-0.05*$B$27)-$B$60))</f>
        <v>455.09298623867346</v>
      </c>
      <c r="C33" s="34" t="s">
        <v>104</v>
      </c>
      <c r="D33" s="170"/>
    </row>
    <row r="34" spans="1:6">
      <c r="A34" s="167" t="s">
        <v>74</v>
      </c>
      <c r="B34" s="33">
        <f>IF((B24*($B$26-($B$27-0.05*$B$27)-$B$60))&lt;0,0,B24*($B$26-($B$27-0.05*$B$27)-$B$60))</f>
        <v>198.99362763557201</v>
      </c>
      <c r="C34" s="33">
        <f>B26*C24</f>
        <v>915.26362851498118</v>
      </c>
      <c r="D34" s="229"/>
    </row>
    <row r="35" spans="1:6">
      <c r="A35" s="167" t="s">
        <v>76</v>
      </c>
      <c r="B35" s="33">
        <f>IF((B19*($B$26-($B$27-0.05*$B$27)-$B$60))&lt;0,0,B19*($B$26-($B$27-0.05*$B$27)-$B$60))</f>
        <v>12.183002761599647</v>
      </c>
      <c r="C35" s="33">
        <f>B35/2</f>
        <v>6.0915013807998237</v>
      </c>
      <c r="D35" s="229"/>
    </row>
    <row r="36" spans="1:6">
      <c r="A36" s="167" t="s">
        <v>77</v>
      </c>
      <c r="B36" s="33">
        <f>IF((B18*($B$26-($B$27-0.05*$B$27)-$B$60))&lt;0,0,B18*($B$26-($B$27-0.05*$B$27)-$B$60))</f>
        <v>1122.6539983208359</v>
      </c>
      <c r="C36" s="34" t="s">
        <v>104</v>
      </c>
      <c r="D36" s="170"/>
    </row>
    <row r="37" spans="1:6">
      <c r="A37" s="167" t="s">
        <v>78</v>
      </c>
      <c r="B37" s="33">
        <f>B60</f>
        <v>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12489.121099999997</v>
      </c>
      <c r="C5" s="17">
        <f>IF(ISERROR('Eigen informatie GS &amp; warmtenet'!B60),0,'Eigen informatie GS &amp; warmtenet'!B60)</f>
        <v>0</v>
      </c>
      <c r="D5" s="30">
        <f>SUM(D6:D12)</f>
        <v>22627.345196105998</v>
      </c>
      <c r="E5" s="17">
        <f>SUM(E6:E12)</f>
        <v>43.291867530014279</v>
      </c>
      <c r="F5" s="17">
        <f>SUM(F6:F12)</f>
        <v>2755.8486052372605</v>
      </c>
      <c r="G5" s="18"/>
      <c r="H5" s="17"/>
      <c r="I5" s="17"/>
      <c r="J5" s="17">
        <f>SUM(J6:J12)</f>
        <v>1.9533032704505241E-2</v>
      </c>
      <c r="K5" s="17"/>
      <c r="L5" s="17"/>
      <c r="M5" s="17"/>
      <c r="N5" s="17">
        <f>SUM(N6:N12)</f>
        <v>692.12522877252718</v>
      </c>
      <c r="O5" s="17">
        <f>B38*B39*B40</f>
        <v>14.691782297523464</v>
      </c>
      <c r="P5" s="17">
        <f>B46*B47*B48/1000-B46*B47*B48/1000/B49</f>
        <v>0</v>
      </c>
      <c r="R5" s="32"/>
    </row>
    <row r="6" spans="1:18">
      <c r="A6" s="32" t="s">
        <v>53</v>
      </c>
      <c r="B6" s="37">
        <f>B26</f>
        <v>2756.4970450000001</v>
      </c>
      <c r="C6" s="33"/>
      <c r="D6" s="37">
        <f>IF(ISERROR(TER_kantoor_gas_kWh/1000),0,TER_kantoor_gas_kWh/1000)*0.903</f>
        <v>4484.0568141180001</v>
      </c>
      <c r="E6" s="33">
        <f>$C$26*'E Balans VL '!I12/100/3.6*1000000</f>
        <v>0.67039959057505494</v>
      </c>
      <c r="F6" s="33">
        <f>$C$26*('E Balans VL '!L12+'E Balans VL '!N12)/100/3.6*1000000</f>
        <v>263.95204657677783</v>
      </c>
      <c r="G6" s="34"/>
      <c r="H6" s="33"/>
      <c r="I6" s="33"/>
      <c r="J6" s="33">
        <f>$C$26*('E Balans VL '!D12+'E Balans VL '!E12)/100/3.6*1000000</f>
        <v>0</v>
      </c>
      <c r="K6" s="33"/>
      <c r="L6" s="33"/>
      <c r="M6" s="33"/>
      <c r="N6" s="33">
        <f>$C$26*'E Balans VL '!Y12/100/3.6*1000000</f>
        <v>1.3994019219172122</v>
      </c>
      <c r="O6" s="33"/>
      <c r="P6" s="33"/>
      <c r="R6" s="32"/>
    </row>
    <row r="7" spans="1:18">
      <c r="A7" s="32" t="s">
        <v>52</v>
      </c>
      <c r="B7" s="37">
        <f t="shared" ref="B7:B12" si="0">B27</f>
        <v>3019.8677620000003</v>
      </c>
      <c r="C7" s="33"/>
      <c r="D7" s="37">
        <f>IF(ISERROR(TER_horeca_gas_kWh/1000),0,TER_horeca_gas_kWh/1000)*0.903</f>
        <v>10916.183615148</v>
      </c>
      <c r="E7" s="33">
        <f>$C$27*'E Balans VL '!I9/100/3.6*1000000</f>
        <v>0</v>
      </c>
      <c r="F7" s="33">
        <f>$C$27*('E Balans VL '!L9+'E Balans VL '!N9)/100/3.6*1000000</f>
        <v>247.68680288072468</v>
      </c>
      <c r="G7" s="34"/>
      <c r="H7" s="33"/>
      <c r="I7" s="33"/>
      <c r="J7" s="33">
        <f>$C$27*('E Balans VL '!D9+'E Balans VL '!E9)/100/3.6*1000000</f>
        <v>0</v>
      </c>
      <c r="K7" s="33"/>
      <c r="L7" s="33"/>
      <c r="M7" s="33"/>
      <c r="N7" s="33">
        <f>$C$27*'E Balans VL '!Y9/100/3.6*1000000</f>
        <v>19.833893085079982</v>
      </c>
      <c r="O7" s="33"/>
      <c r="P7" s="33"/>
      <c r="R7" s="32"/>
    </row>
    <row r="8" spans="1:18">
      <c r="A8" s="6" t="s">
        <v>51</v>
      </c>
      <c r="B8" s="37">
        <f t="shared" si="0"/>
        <v>4027.1717259999996</v>
      </c>
      <c r="C8" s="33"/>
      <c r="D8" s="37">
        <f>IF(ISERROR(TER_handel_gas_kWh/1000),0,TER_handel_gas_kWh/1000)*0.903</f>
        <v>2876.4635379689998</v>
      </c>
      <c r="E8" s="33">
        <f>$C$28*'E Balans VL '!I13/100/3.6*1000000</f>
        <v>14.236260680192048</v>
      </c>
      <c r="F8" s="33">
        <f>$C$28*('E Balans VL '!L13+'E Balans VL '!N13)/100/3.6*1000000</f>
        <v>370.81636854047798</v>
      </c>
      <c r="G8" s="34"/>
      <c r="H8" s="33"/>
      <c r="I8" s="33"/>
      <c r="J8" s="33">
        <f>$C$28*('E Balans VL '!D13+'E Balans VL '!E13)/100/3.6*1000000</f>
        <v>0</v>
      </c>
      <c r="K8" s="33"/>
      <c r="L8" s="33"/>
      <c r="M8" s="33"/>
      <c r="N8" s="33">
        <f>$C$28*'E Balans VL '!Y13/100/3.6*1000000</f>
        <v>1.4584682229258532</v>
      </c>
      <c r="O8" s="33"/>
      <c r="P8" s="33"/>
      <c r="R8" s="32"/>
    </row>
    <row r="9" spans="1:18">
      <c r="A9" s="32" t="s">
        <v>50</v>
      </c>
      <c r="B9" s="37">
        <f t="shared" si="0"/>
        <v>438.229603</v>
      </c>
      <c r="C9" s="33"/>
      <c r="D9" s="37">
        <f>IF(ISERROR(TER_gezond_gas_kWh/1000),0,TER_gezond_gas_kWh/1000)*0.903</f>
        <v>978.03876000600008</v>
      </c>
      <c r="E9" s="33">
        <f>$C$29*'E Balans VL '!I10/100/3.6*1000000</f>
        <v>0</v>
      </c>
      <c r="F9" s="33">
        <f>$C$29*('E Balans VL '!L10+'E Balans VL '!N10)/100/3.6*1000000</f>
        <v>53.834717594643209</v>
      </c>
      <c r="G9" s="34"/>
      <c r="H9" s="33"/>
      <c r="I9" s="33"/>
      <c r="J9" s="33">
        <f>$C$29*('E Balans VL '!D10+'E Balans VL '!E10)/100/3.6*1000000</f>
        <v>0</v>
      </c>
      <c r="K9" s="33"/>
      <c r="L9" s="33"/>
      <c r="M9" s="33"/>
      <c r="N9" s="33">
        <f>$C$29*'E Balans VL '!Y10/100/3.6*1000000</f>
        <v>3.231637939707166</v>
      </c>
      <c r="O9" s="33"/>
      <c r="P9" s="33"/>
      <c r="R9" s="32"/>
    </row>
    <row r="10" spans="1:18">
      <c r="A10" s="32" t="s">
        <v>49</v>
      </c>
      <c r="B10" s="37">
        <f t="shared" si="0"/>
        <v>1977.8643689999999</v>
      </c>
      <c r="C10" s="33"/>
      <c r="D10" s="37">
        <f>IF(ISERROR(TER_ander_gas_kWh/1000),0,TER_ander_gas_kWh/1000)*0.903</f>
        <v>3337.0151675280003</v>
      </c>
      <c r="E10" s="33">
        <f>$C$30*'E Balans VL '!I14/100/3.6*1000000</f>
        <v>28.385207259247174</v>
      </c>
      <c r="F10" s="33">
        <f>$C$30*('E Balans VL '!L14+'E Balans VL '!N14)/100/3.6*1000000</f>
        <v>1788.0520098838888</v>
      </c>
      <c r="G10" s="34"/>
      <c r="H10" s="33"/>
      <c r="I10" s="33"/>
      <c r="J10" s="33">
        <f>$C$30*('E Balans VL '!D14+'E Balans VL '!E14)/100/3.6*1000000</f>
        <v>1.9533032704505241E-2</v>
      </c>
      <c r="K10" s="33"/>
      <c r="L10" s="33"/>
      <c r="M10" s="33"/>
      <c r="N10" s="33">
        <f>$C$30*'E Balans VL '!Y14/100/3.6*1000000</f>
        <v>665.44297303331007</v>
      </c>
      <c r="O10" s="33"/>
      <c r="P10" s="33"/>
      <c r="R10" s="32"/>
    </row>
    <row r="11" spans="1:18">
      <c r="A11" s="32" t="s">
        <v>54</v>
      </c>
      <c r="B11" s="37">
        <f t="shared" si="0"/>
        <v>269.49059499999998</v>
      </c>
      <c r="C11" s="33"/>
      <c r="D11" s="37">
        <f>IF(ISERROR(TER_onderwijs_gas_kWh/1000),0,TER_onderwijs_gas_kWh/1000)*0.903</f>
        <v>0</v>
      </c>
      <c r="E11" s="33">
        <f>$C$31*'E Balans VL '!I11/100/3.6*1000000</f>
        <v>0</v>
      </c>
      <c r="F11" s="33">
        <f>$C$31*('E Balans VL '!L11+'E Balans VL '!N11)/100/3.6*1000000</f>
        <v>31.506659760747837</v>
      </c>
      <c r="G11" s="34"/>
      <c r="H11" s="33"/>
      <c r="I11" s="33"/>
      <c r="J11" s="33">
        <f>$C$31*('E Balans VL '!D11+'E Balans VL '!E11)/100/3.6*1000000</f>
        <v>0</v>
      </c>
      <c r="K11" s="33"/>
      <c r="L11" s="33"/>
      <c r="M11" s="33"/>
      <c r="N11" s="33">
        <f>$C$31*'E Balans VL '!Y11/100/3.6*1000000</f>
        <v>0.75885456958692765</v>
      </c>
      <c r="O11" s="33"/>
      <c r="P11" s="33"/>
      <c r="R11" s="32"/>
    </row>
    <row r="12" spans="1:18">
      <c r="A12" s="32" t="s">
        <v>249</v>
      </c>
      <c r="B12" s="37">
        <f t="shared" si="0"/>
        <v>0</v>
      </c>
      <c r="C12" s="33"/>
      <c r="D12" s="37">
        <f>IF(ISERROR(TER_rest_gas_kWh/1000),0,TER_rest_gas_kWh/1000)*0.903</f>
        <v>35.587301337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12489.121099999997</v>
      </c>
      <c r="C16" s="21">
        <f t="shared" ca="1" si="1"/>
        <v>0</v>
      </c>
      <c r="D16" s="21">
        <f t="shared" ca="1" si="1"/>
        <v>22627.345196105998</v>
      </c>
      <c r="E16" s="21">
        <f t="shared" si="1"/>
        <v>43.291867530014279</v>
      </c>
      <c r="F16" s="21">
        <f t="shared" ca="1" si="1"/>
        <v>2755.8486052372605</v>
      </c>
      <c r="G16" s="21">
        <f t="shared" si="1"/>
        <v>0</v>
      </c>
      <c r="H16" s="21">
        <f t="shared" si="1"/>
        <v>0</v>
      </c>
      <c r="I16" s="21">
        <f t="shared" si="1"/>
        <v>0</v>
      </c>
      <c r="J16" s="21">
        <f t="shared" si="1"/>
        <v>1.9533032704505241E-2</v>
      </c>
      <c r="K16" s="21">
        <f t="shared" si="1"/>
        <v>0</v>
      </c>
      <c r="L16" s="21">
        <f t="shared" ca="1" si="1"/>
        <v>0</v>
      </c>
      <c r="M16" s="21">
        <f t="shared" si="1"/>
        <v>0</v>
      </c>
      <c r="N16" s="21">
        <f t="shared" ca="1" si="1"/>
        <v>692.12522877252718</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7.3242797609733457E-2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914.73816905075148</v>
      </c>
      <c r="C20" s="23">
        <f t="shared" ref="C20:P20" ca="1" si="2">C16*C18</f>
        <v>0</v>
      </c>
      <c r="D20" s="23">
        <f t="shared" ca="1" si="2"/>
        <v>4570.7237296134117</v>
      </c>
      <c r="E20" s="23">
        <f t="shared" si="2"/>
        <v>9.8272539293132422</v>
      </c>
      <c r="F20" s="23">
        <f t="shared" ca="1" si="2"/>
        <v>735.81157759834855</v>
      </c>
      <c r="G20" s="23">
        <f t="shared" si="2"/>
        <v>0</v>
      </c>
      <c r="H20" s="23">
        <f t="shared" si="2"/>
        <v>0</v>
      </c>
      <c r="I20" s="23">
        <f t="shared" si="2"/>
        <v>0</v>
      </c>
      <c r="J20" s="23">
        <f t="shared" si="2"/>
        <v>6.9146935773948554E-3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2756.4970450000001</v>
      </c>
      <c r="C26" s="39">
        <f>IF(ISERROR(B26*3.6/1000000/'E Balans VL '!Z12*100),0,B26*3.6/1000000/'E Balans VL '!Z12*100)</f>
        <v>7.7698541058432907E-2</v>
      </c>
      <c r="D26" s="232" t="s">
        <v>660</v>
      </c>
      <c r="F26" s="6"/>
    </row>
    <row r="27" spans="1:18">
      <c r="A27" s="227" t="s">
        <v>52</v>
      </c>
      <c r="B27" s="33">
        <f>IF(ISERROR(TER_horeca_ele_kWh/1000),0,TER_horeca_ele_kWh/1000)</f>
        <v>3019.8677620000003</v>
      </c>
      <c r="C27" s="39">
        <f>IF(ISERROR(B27*3.6/1000000/'E Balans VL '!Z9*100),0,B27*3.6/1000000/'E Balans VL '!Z9*100)</f>
        <v>0.22388609645156562</v>
      </c>
      <c r="D27" s="232" t="s">
        <v>660</v>
      </c>
      <c r="F27" s="6"/>
    </row>
    <row r="28" spans="1:18">
      <c r="A28" s="167" t="s">
        <v>51</v>
      </c>
      <c r="B28" s="33">
        <f>IF(ISERROR(TER_handel_ele_kWh/1000),0,TER_handel_ele_kWh/1000)</f>
        <v>4027.1717259999996</v>
      </c>
      <c r="C28" s="39">
        <f>IF(ISERROR(B28*3.6/1000000/'E Balans VL '!Z13*100),0,B28*3.6/1000000/'E Balans VL '!Z13*100)</f>
        <v>0.1206444899526927</v>
      </c>
      <c r="D28" s="232" t="s">
        <v>660</v>
      </c>
      <c r="F28" s="6"/>
    </row>
    <row r="29" spans="1:18">
      <c r="A29" s="227" t="s">
        <v>50</v>
      </c>
      <c r="B29" s="33">
        <f>IF(ISERROR(TER_gezond_ele_kWh/1000),0,TER_gezond_ele_kWh/1000)</f>
        <v>438.229603</v>
      </c>
      <c r="C29" s="39">
        <f>IF(ISERROR(B29*3.6/1000000/'E Balans VL '!Z10*100),0,B29*3.6/1000000/'E Balans VL '!Z10*100)</f>
        <v>4.3332314907905477E-2</v>
      </c>
      <c r="D29" s="232" t="s">
        <v>660</v>
      </c>
      <c r="F29" s="6"/>
    </row>
    <row r="30" spans="1:18">
      <c r="A30" s="227" t="s">
        <v>49</v>
      </c>
      <c r="B30" s="33">
        <f>IF(ISERROR(TER_ander_ele_kWh/1000),0,TER_ander_ele_kWh/1000)</f>
        <v>1977.8643689999999</v>
      </c>
      <c r="C30" s="39">
        <f>IF(ISERROR(B30*3.6/1000000/'E Balans VL '!Z14*100),0,B30*3.6/1000000/'E Balans VL '!Z14*100)</f>
        <v>7.9998768755652858E-2</v>
      </c>
      <c r="D30" s="232" t="s">
        <v>660</v>
      </c>
      <c r="F30" s="6"/>
    </row>
    <row r="31" spans="1:18">
      <c r="A31" s="227" t="s">
        <v>54</v>
      </c>
      <c r="B31" s="33">
        <f>IF(ISERROR(TER_onderwijs_ele_kWh/1000),0,TER_onderwijs_ele_kWh/1000)</f>
        <v>269.49059499999998</v>
      </c>
      <c r="C31" s="39">
        <f>IF(ISERROR(B31*3.6/1000000/'E Balans VL '!Z11*100),0,B31*3.6/1000000/'E Balans VL '!Z11*100)</f>
        <v>7.4040852519588099E-2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39243.774522</v>
      </c>
      <c r="C5" s="17">
        <f>IF(ISERROR('Eigen informatie GS &amp; warmtenet'!B61),0,'Eigen informatie GS &amp; warmtenet'!B61)</f>
        <v>0</v>
      </c>
      <c r="D5" s="30">
        <f>SUM(D6:D15)</f>
        <v>173708.047063089</v>
      </c>
      <c r="E5" s="17">
        <f>SUM(E6:E15)</f>
        <v>7253.2905558744624</v>
      </c>
      <c r="F5" s="17">
        <f>SUM(F6:F15)</f>
        <v>1074.6663069402232</v>
      </c>
      <c r="G5" s="18"/>
      <c r="H5" s="17"/>
      <c r="I5" s="17"/>
      <c r="J5" s="17">
        <f>SUM(J6:J15)</f>
        <v>0.30952077489947227</v>
      </c>
      <c r="K5" s="17"/>
      <c r="L5" s="17"/>
      <c r="M5" s="17"/>
      <c r="N5" s="17">
        <f>SUM(N6:N15)</f>
        <v>59.459641464540852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270.64508799999999</v>
      </c>
      <c r="C8" s="33"/>
      <c r="D8" s="37">
        <f>IF( ISERROR(IND_metaal_Gas_kWH/1000),0,IND_metaal_Gas_kWH/1000)*0.903</f>
        <v>81.903561957000008</v>
      </c>
      <c r="E8" s="33">
        <f>C30*'E Balans VL '!I18/100/3.6*1000000</f>
        <v>1.4791929625868498</v>
      </c>
      <c r="F8" s="33">
        <f>C30*'E Balans VL '!L18/100/3.6*1000000+C30*'E Balans VL '!N18/100/3.6*1000000</f>
        <v>18.525253230466518</v>
      </c>
      <c r="G8" s="34"/>
      <c r="H8" s="33"/>
      <c r="I8" s="33"/>
      <c r="J8" s="40">
        <f>C30*'E Balans VL '!D18/100/3.6*1000000+C30*'E Balans VL '!E18/100/3.6*1000000</f>
        <v>0.26971607544729248</v>
      </c>
      <c r="K8" s="33"/>
      <c r="L8" s="33"/>
      <c r="M8" s="33"/>
      <c r="N8" s="33">
        <f>C30*'E Balans VL '!Y18/100/3.6*1000000</f>
        <v>4.0029711756003268</v>
      </c>
      <c r="O8" s="33"/>
      <c r="P8" s="33"/>
      <c r="R8" s="32"/>
    </row>
    <row r="9" spans="1:18">
      <c r="A9" s="6" t="s">
        <v>32</v>
      </c>
      <c r="B9" s="37">
        <f t="shared" si="0"/>
        <v>707.68613600000003</v>
      </c>
      <c r="C9" s="33"/>
      <c r="D9" s="37">
        <f>IF( ISERROR(IND_andere_gas_kWh/1000),0,IND_andere_gas_kWh/1000)*0.903</f>
        <v>598.9984355250001</v>
      </c>
      <c r="E9" s="33">
        <f>C31*'E Balans VL '!I19/100/3.6*1000000</f>
        <v>2.6632100726996821</v>
      </c>
      <c r="F9" s="33">
        <f>C31*'E Balans VL '!L19/100/3.6*1000000+C31*'E Balans VL '!N19/100/3.6*1000000</f>
        <v>455.48593471014237</v>
      </c>
      <c r="G9" s="34"/>
      <c r="H9" s="33"/>
      <c r="I9" s="33"/>
      <c r="J9" s="40">
        <f>C31*'E Balans VL '!D19/100/3.6*1000000+C31*'E Balans VL '!E19/100/3.6*1000000</f>
        <v>0</v>
      </c>
      <c r="K9" s="33"/>
      <c r="L9" s="33"/>
      <c r="M9" s="33"/>
      <c r="N9" s="33">
        <f>C31*'E Balans VL '!Y19/100/3.6*1000000</f>
        <v>25.565635203901426</v>
      </c>
      <c r="O9" s="33"/>
      <c r="P9" s="33"/>
      <c r="R9" s="32"/>
    </row>
    <row r="10" spans="1:18">
      <c r="A10" s="6" t="s">
        <v>40</v>
      </c>
      <c r="B10" s="37">
        <f t="shared" si="0"/>
        <v>717.06170700000007</v>
      </c>
      <c r="C10" s="33"/>
      <c r="D10" s="37">
        <f>IF( ISERROR(IND_voed_gas_kWh/1000),0,IND_voed_gas_kWh/1000)*0.903</f>
        <v>569.093416101</v>
      </c>
      <c r="E10" s="33">
        <f>C32*'E Balans VL '!I20/100/3.6*1000000</f>
        <v>1.4194773572329664</v>
      </c>
      <c r="F10" s="33">
        <f>C32*'E Balans VL '!L20/100/3.6*1000000+C32*'E Balans VL '!N20/100/3.6*1000000</f>
        <v>15.229511258377745</v>
      </c>
      <c r="G10" s="34"/>
      <c r="H10" s="33"/>
      <c r="I10" s="33"/>
      <c r="J10" s="40">
        <f>C32*'E Balans VL '!D20/100/3.6*1000000+C32*'E Balans VL '!E20/100/3.6*1000000</f>
        <v>0</v>
      </c>
      <c r="K10" s="33"/>
      <c r="L10" s="33"/>
      <c r="M10" s="33"/>
      <c r="N10" s="33">
        <f>C32*'E Balans VL '!Y20/100/3.6*1000000</f>
        <v>28.900311598005931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82.565242999999995</v>
      </c>
      <c r="C13" s="33"/>
      <c r="D13" s="37">
        <f>IF( ISERROR(IND_papier_gas_kWh/1000),0,IND_papier_gas_kWh/1000)*0.903</f>
        <v>0</v>
      </c>
      <c r="E13" s="33">
        <f>C35*'E Balans VL '!I23/100/3.6*1000000</f>
        <v>0</v>
      </c>
      <c r="F13" s="33">
        <f>C35*'E Balans VL '!L23/100/3.6*1000000+C35*'E Balans VL '!N23/100/3.6*1000000</f>
        <v>1.0114763436093259E-2</v>
      </c>
      <c r="G13" s="34"/>
      <c r="H13" s="33"/>
      <c r="I13" s="33"/>
      <c r="J13" s="40">
        <f>C35*'E Balans VL '!D23/100/3.6*1000000+C35*'E Balans VL '!E23/100/3.6*1000000</f>
        <v>6.433057702591837E-3</v>
      </c>
      <c r="K13" s="33"/>
      <c r="L13" s="33"/>
      <c r="M13" s="33"/>
      <c r="N13" s="33">
        <f>C35*'E Balans VL '!Y23/100/3.6*1000000</f>
        <v>-7.5766815979487543</v>
      </c>
      <c r="O13" s="33"/>
      <c r="P13" s="33"/>
      <c r="R13" s="32"/>
    </row>
    <row r="14" spans="1:18">
      <c r="A14" s="6" t="s">
        <v>33</v>
      </c>
      <c r="B14" s="37">
        <f t="shared" si="0"/>
        <v>37458.210987999999</v>
      </c>
      <c r="C14" s="33"/>
      <c r="D14" s="37">
        <f>IF( ISERROR(IND_chemie_gas_kWh/1000),0,IND_chemie_gas_kWh/1000)*0.903</f>
        <v>0</v>
      </c>
      <c r="E14" s="33">
        <f>C36*'E Balans VL '!I24/100/3.6*1000000</f>
        <v>7247.3169263358195</v>
      </c>
      <c r="F14" s="33">
        <f>C36*'E Balans VL '!L24/100/3.6*1000000+C36*'E Balans VL '!N24/100/3.6*1000000</f>
        <v>584.25480843906803</v>
      </c>
      <c r="G14" s="34"/>
      <c r="H14" s="33"/>
      <c r="I14" s="33"/>
      <c r="J14" s="40">
        <f>C36*'E Balans VL '!D24/100/3.6*1000000+C36*'E Balans VL '!E24/100/3.6*1000000</f>
        <v>0</v>
      </c>
      <c r="K14" s="33"/>
      <c r="L14" s="33"/>
      <c r="M14" s="33"/>
      <c r="N14" s="33">
        <f>C36*'E Balans VL '!Y24/100/3.6*1000000</f>
        <v>8.3518190652728634</v>
      </c>
      <c r="O14" s="33"/>
      <c r="P14" s="33"/>
      <c r="R14" s="32"/>
    </row>
    <row r="15" spans="1:18">
      <c r="A15" s="6" t="s">
        <v>259</v>
      </c>
      <c r="B15" s="37">
        <f t="shared" si="0"/>
        <v>7.6053599999999992</v>
      </c>
      <c r="C15" s="33"/>
      <c r="D15" s="37">
        <f>IF( ISERROR(IND_rest_gas_kWh/1000),0,IND_rest_gas_kWh/1000)*0.903</f>
        <v>172458.051649506</v>
      </c>
      <c r="E15" s="33">
        <f>C37*'E Balans VL '!I15/100/3.6*1000000</f>
        <v>0.41174914612258684</v>
      </c>
      <c r="F15" s="33">
        <f>C37*'E Balans VL '!L15/100/3.6*1000000+C37*'E Balans VL '!N15/100/3.6*1000000</f>
        <v>1.1606845387325979</v>
      </c>
      <c r="G15" s="34"/>
      <c r="H15" s="33"/>
      <c r="I15" s="33"/>
      <c r="J15" s="40">
        <f>C37*'E Balans VL '!D15/100/3.6*1000000+C37*'E Balans VL '!E15/100/3.6*1000000</f>
        <v>3.3371641749587955E-2</v>
      </c>
      <c r="K15" s="33"/>
      <c r="L15" s="33"/>
      <c r="M15" s="33"/>
      <c r="N15" s="33">
        <f>C37*'E Balans VL '!Y15/100/3.6*1000000</f>
        <v>0.21558601970905439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39243.774522</v>
      </c>
      <c r="C18" s="21">
        <f>C5+C16</f>
        <v>0</v>
      </c>
      <c r="D18" s="21">
        <f>MAX((D5+D16),0)</f>
        <v>173708.047063089</v>
      </c>
      <c r="E18" s="21">
        <f>MAX((E5+E16),0)</f>
        <v>7253.2905558744624</v>
      </c>
      <c r="F18" s="21">
        <f>MAX((F5+F16),0)</f>
        <v>1074.6663069402232</v>
      </c>
      <c r="G18" s="21"/>
      <c r="H18" s="21"/>
      <c r="I18" s="21"/>
      <c r="J18" s="21">
        <f>MAX((J5+J16),0)</f>
        <v>0.30952077489947227</v>
      </c>
      <c r="K18" s="21"/>
      <c r="L18" s="21">
        <f>MAX((L5+L16),0)</f>
        <v>0</v>
      </c>
      <c r="M18" s="21"/>
      <c r="N18" s="21">
        <f>MAX((N5+N16),0)</f>
        <v>59.459641464540852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7.3242797609733457E-2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2874.3238347568604</v>
      </c>
      <c r="C22" s="23">
        <f ca="1">C18*C20</f>
        <v>0</v>
      </c>
      <c r="D22" s="23">
        <f>D18*D20</f>
        <v>35089.025506743979</v>
      </c>
      <c r="E22" s="23">
        <f>E18*E20</f>
        <v>1646.496956183503</v>
      </c>
      <c r="F22" s="23">
        <f>F18*F20</f>
        <v>286.9359039530396</v>
      </c>
      <c r="G22" s="23"/>
      <c r="H22" s="23"/>
      <c r="I22" s="23"/>
      <c r="J22" s="23">
        <f>J18*J20</f>
        <v>0.10957035431441318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270.64508799999999</v>
      </c>
      <c r="C30" s="39">
        <f>IF(ISERROR(B30*3.6/1000000/'E Balans VL '!Z18*100),0,B30*3.6/1000000/'E Balans VL '!Z18*100)</f>
        <v>1.5100744504047435E-2</v>
      </c>
      <c r="D30" s="232" t="s">
        <v>660</v>
      </c>
    </row>
    <row r="31" spans="1:18">
      <c r="A31" s="6" t="s">
        <v>32</v>
      </c>
      <c r="B31" s="37">
        <f>IF( ISERROR(IND_ander_ele_kWh/1000),0,IND_ander_ele_kWh/1000)</f>
        <v>707.68613600000003</v>
      </c>
      <c r="C31" s="39">
        <f>IF(ISERROR(B31*3.6/1000000/'E Balans VL '!Z19*100),0,B31*3.6/1000000/'E Balans VL '!Z19*100)</f>
        <v>2.8805009477534147E-2</v>
      </c>
      <c r="D31" s="232" t="s">
        <v>660</v>
      </c>
    </row>
    <row r="32" spans="1:18">
      <c r="A32" s="167" t="s">
        <v>40</v>
      </c>
      <c r="B32" s="37">
        <f>IF( ISERROR(IND_voed_ele_kWh/1000),0,IND_voed_ele_kWh/1000)</f>
        <v>717.06170700000007</v>
      </c>
      <c r="C32" s="39">
        <f>IF(ISERROR(B32*3.6/1000000/'E Balans VL '!Z20*100),0,B32*3.6/1000000/'E Balans VL '!Z20*100)</f>
        <v>2.0855625825554842E-2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82.565242999999995</v>
      </c>
      <c r="C35" s="39">
        <f>IF(ISERROR(B35*3.6/1000000/'E Balans VL '!Z22*100),0,B35*3.6/1000000/'E Balans VL '!Z22*100)</f>
        <v>3.312177167504303E-2</v>
      </c>
      <c r="D35" s="232" t="s">
        <v>660</v>
      </c>
    </row>
    <row r="36" spans="1:5">
      <c r="A36" s="167" t="s">
        <v>33</v>
      </c>
      <c r="B36" s="37">
        <f>IF( ISERROR(IND_chemie_ele_kWh/1000),0,IND_chemie_ele_kWh/1000)</f>
        <v>37458.210987999999</v>
      </c>
      <c r="C36" s="39">
        <f>IF(ISERROR(B36*3.6/1000000/'E Balans VL '!Z24*100),0,B36*3.6/1000000/'E Balans VL '!Z24*100)</f>
        <v>1.1315976151668077</v>
      </c>
      <c r="D36" s="232" t="s">
        <v>660</v>
      </c>
    </row>
    <row r="37" spans="1:5">
      <c r="A37" s="167" t="s">
        <v>259</v>
      </c>
      <c r="B37" s="37">
        <f>IF( ISERROR(IND_rest_ele_kWh/1000),0,IND_rest_ele_kWh/1000)</f>
        <v>7.6053599999999992</v>
      </c>
      <c r="C37" s="39">
        <f>IF(ISERROR(B37*3.6/1000000/'E Balans VL '!Z15*100),0,B37*3.6/1000000/'E Balans VL '!Z15*100)</f>
        <v>6.1257684780466475E-5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218.803316</v>
      </c>
      <c r="C5" s="17">
        <f>'Eigen informatie GS &amp; warmtenet'!B62</f>
        <v>0</v>
      </c>
      <c r="D5" s="30">
        <f>IF(ISERROR(SUM(LB_lb_gas_kWh,LB_rest_gas_kWh)/1000),0,SUM(LB_lb_gas_kWh,LB_rest_gas_kWh)/1000)*0.903</f>
        <v>155.233416135</v>
      </c>
      <c r="E5" s="17">
        <f>B17*'E Balans VL '!I25/3.6*1000000/100</f>
        <v>6.4509403410635979</v>
      </c>
      <c r="F5" s="17">
        <f>B17*('E Balans VL '!L25/3.6*1000000+'E Balans VL '!N25/3.6*1000000)/100</f>
        <v>695.43469857371349</v>
      </c>
      <c r="G5" s="18"/>
      <c r="H5" s="17"/>
      <c r="I5" s="17"/>
      <c r="J5" s="17">
        <f>('E Balans VL '!D25+'E Balans VL '!E25)/3.6*1000000*landbouw!B17/100</f>
        <v>55.180852679518033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218.803316</v>
      </c>
      <c r="C8" s="21">
        <f>C5+C6</f>
        <v>0</v>
      </c>
      <c r="D8" s="21">
        <f>MAX((D5+D6),0)</f>
        <v>155.233416135</v>
      </c>
      <c r="E8" s="21">
        <f>MAX((E5+E6),0)</f>
        <v>6.4509403410635979</v>
      </c>
      <c r="F8" s="21">
        <f>MAX((F5+F6),0)</f>
        <v>695.43469857371349</v>
      </c>
      <c r="G8" s="21"/>
      <c r="H8" s="21"/>
      <c r="I8" s="21"/>
      <c r="J8" s="21">
        <f>MAX((J5+J6),0)</f>
        <v>55.180852679518033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7.3242797609733457E-2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16.025766990126552</v>
      </c>
      <c r="C12" s="23">
        <f ca="1">C8*C10</f>
        <v>0</v>
      </c>
      <c r="D12" s="23">
        <f>D8*D10</f>
        <v>31.357150059270001</v>
      </c>
      <c r="E12" s="23">
        <f>E8*E10</f>
        <v>1.4643634574214368</v>
      </c>
      <c r="F12" s="23">
        <f>F8*F10</f>
        <v>185.68106451918152</v>
      </c>
      <c r="G12" s="23"/>
      <c r="H12" s="23"/>
      <c r="I12" s="23"/>
      <c r="J12" s="23">
        <f>J8*J10</f>
        <v>19.534021848549383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3.0052064481330961E-2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26.699783712875611</v>
      </c>
      <c r="C26" s="242">
        <f>B26*'GWP N2O_CH4'!B5</f>
        <v>560.69545797038779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7.3562453053517718</v>
      </c>
      <c r="C27" s="242">
        <f>B27*'GWP N2O_CH4'!B5</f>
        <v>154.48115141238722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0.40632003533734889</v>
      </c>
      <c r="C28" s="242">
        <f>B28*'GWP N2O_CH4'!B4</f>
        <v>125.95921095457815</v>
      </c>
      <c r="D28" s="50"/>
    </row>
    <row r="29" spans="1:4">
      <c r="A29" s="41" t="s">
        <v>266</v>
      </c>
      <c r="B29" s="242">
        <f>B34*'ha_N2O bodem landbouw'!B4</f>
        <v>3.0808261699360613</v>
      </c>
      <c r="C29" s="242">
        <f>B29*'GWP N2O_CH4'!B4</f>
        <v>955.05611268017901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7.0212908238839289E-4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5.90138371113079E-4</v>
      </c>
      <c r="C5" s="430" t="s">
        <v>204</v>
      </c>
      <c r="D5" s="415">
        <f>SUM(D6:D11)</f>
        <v>9.6034603072135314E-4</v>
      </c>
      <c r="E5" s="415">
        <f>SUM(E6:E11)</f>
        <v>5.7609979868018693E-4</v>
      </c>
      <c r="F5" s="428" t="s">
        <v>204</v>
      </c>
      <c r="G5" s="415">
        <f>SUM(G6:G11)</f>
        <v>0.31564971182119161</v>
      </c>
      <c r="H5" s="415">
        <f>SUM(H6:H11)</f>
        <v>6.4648296825762661E-2</v>
      </c>
      <c r="I5" s="430" t="s">
        <v>204</v>
      </c>
      <c r="J5" s="430" t="s">
        <v>204</v>
      </c>
      <c r="K5" s="430" t="s">
        <v>204</v>
      </c>
      <c r="L5" s="430" t="s">
        <v>204</v>
      </c>
      <c r="M5" s="415">
        <f>SUM(M6:M11)</f>
        <v>2.2265608802416629E-2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2.4042553231137247E-4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4.1957773603756323E-4</v>
      </c>
      <c r="E6" s="844">
        <f>vkm_GW_PW*SUMIFS(TableVerdeelsleutelVkm[LPG],TableVerdeelsleutelVkm[Voertuigtype],"Lichte voertuigen")*SUMIFS(TableECFTransport[EnergieConsumptieFactor (PJ per km)],TableECFTransport[Index],CONCATENATE($A6,"_LPG_LPG"))</f>
        <v>2.3069668966667096E-4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7.1002516902286289E-2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2.7702259249657617E-2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5.9233264609473094E-3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1.6625349537498927E-6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6.8808074443672818E-2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7.5410231812556898E-7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3.8740044342050026E-3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6.105378711130391E-5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1.3658836931753593E-4</v>
      </c>
      <c r="E8" s="418">
        <f>vkm_NGW_PW*SUMIFS(TableVerdeelsleutelVkm[LPG],TableVerdeelsleutelVkm[Voertuigtype],"Lichte voertuigen")*SUMIFS(TableECFTransport[EnergieConsumptieFactor (PJ per km)],TableECFTransport[Index],CONCATENATE($A8,"_LPG_LPG"))</f>
        <v>7.1729307077417074E-5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2.040088375064961E-2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8.8774141766736273E-3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1.7657332193329021E-3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1.7985983229390158E-8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9.5860592310453288E-4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9.8471402012730562E-9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5.3970997966560796E-5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2.8496247286776544E-4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4.0417992536625401E-4</v>
      </c>
      <c r="E10" s="418">
        <f>vkm_SW_PW*SUMIFS(TableVerdeelsleutelVkm[LPG],TableVerdeelsleutelVkm[Voertuigtype],"Lichte voertuigen")*SUMIFS(TableECFTransport[EnergieConsumptieFactor (PJ per km)],TableECFTransport[Index],CONCATENATE($A10,"_LPG_LPG"))</f>
        <v>2.7367380193609885E-4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7.5652593765686907E-2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2.8066918226113336E-2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6.2104802927737011E-3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2.0160578856578774E-6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7.8827037035791483E-2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9.4122385975074788E-7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4.438093397191153E-3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163.9273253091886</v>
      </c>
      <c r="C14" s="21"/>
      <c r="D14" s="21">
        <f t="shared" ref="D14:M14" si="0">((D5)*10^9/3600)+D12</f>
        <v>266.76278631148699</v>
      </c>
      <c r="E14" s="21">
        <f t="shared" si="0"/>
        <v>160.0277218556075</v>
      </c>
      <c r="F14" s="21"/>
      <c r="G14" s="21">
        <f t="shared" si="0"/>
        <v>87680.475505886556</v>
      </c>
      <c r="H14" s="21">
        <f t="shared" si="0"/>
        <v>17957.860229378515</v>
      </c>
      <c r="I14" s="21"/>
      <c r="J14" s="21"/>
      <c r="K14" s="21"/>
      <c r="L14" s="21"/>
      <c r="M14" s="21">
        <f t="shared" si="0"/>
        <v>6184.8913340046192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7.3242797609733457E-2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12.006495910325837</v>
      </c>
      <c r="C18" s="23"/>
      <c r="D18" s="23">
        <f t="shared" ref="D18:M18" si="1">D14*D16</f>
        <v>53.886082834920373</v>
      </c>
      <c r="E18" s="23">
        <f t="shared" si="1"/>
        <v>36.326292861222903</v>
      </c>
      <c r="F18" s="23"/>
      <c r="G18" s="23">
        <f t="shared" si="1"/>
        <v>23410.686960071711</v>
      </c>
      <c r="H18" s="23">
        <f t="shared" si="1"/>
        <v>4471.5071971152502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2.7726661338981298E-5</v>
      </c>
      <c r="C50" s="313">
        <f t="shared" ref="C50:P50" si="2">SUM(C51:C52)</f>
        <v>0</v>
      </c>
      <c r="D50" s="313">
        <f t="shared" si="2"/>
        <v>0</v>
      </c>
      <c r="E50" s="313">
        <f t="shared" si="2"/>
        <v>0</v>
      </c>
      <c r="F50" s="313">
        <f t="shared" si="2"/>
        <v>0</v>
      </c>
      <c r="G50" s="313">
        <f t="shared" si="2"/>
        <v>1.9790791323619919E-3</v>
      </c>
      <c r="H50" s="313">
        <f t="shared" si="2"/>
        <v>0</v>
      </c>
      <c r="I50" s="313">
        <f t="shared" si="2"/>
        <v>0</v>
      </c>
      <c r="J50" s="313">
        <f t="shared" si="2"/>
        <v>0</v>
      </c>
      <c r="K50" s="313">
        <f t="shared" si="2"/>
        <v>0</v>
      </c>
      <c r="L50" s="313">
        <f t="shared" si="2"/>
        <v>0</v>
      </c>
      <c r="M50" s="313">
        <f t="shared" si="2"/>
        <v>1.0928196686864668E-4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2.7726661338981298E-5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1.9790791323619919E-3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1.0928196686864668E-4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7.7018503719392495</v>
      </c>
      <c r="C54" s="21">
        <f t="shared" ref="C54:P54" si="3">(C50)*10^9/3600</f>
        <v>0</v>
      </c>
      <c r="D54" s="21">
        <f t="shared" si="3"/>
        <v>0</v>
      </c>
      <c r="E54" s="21">
        <f t="shared" si="3"/>
        <v>0</v>
      </c>
      <c r="F54" s="21">
        <f t="shared" si="3"/>
        <v>0</v>
      </c>
      <c r="G54" s="21">
        <f t="shared" si="3"/>
        <v>549.7442034338867</v>
      </c>
      <c r="H54" s="21">
        <f t="shared" si="3"/>
        <v>0</v>
      </c>
      <c r="I54" s="21">
        <f t="shared" si="3"/>
        <v>0</v>
      </c>
      <c r="J54" s="21">
        <f t="shared" si="3"/>
        <v>0</v>
      </c>
      <c r="K54" s="21">
        <f t="shared" si="3"/>
        <v>0</v>
      </c>
      <c r="L54" s="21">
        <f t="shared" si="3"/>
        <v>0</v>
      </c>
      <c r="M54" s="21">
        <f t="shared" si="3"/>
        <v>30.356101907957409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7.3242797609733457E-2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0.56410506801239679</v>
      </c>
      <c r="C58" s="23">
        <f t="shared" ref="C58:P58" ca="1" si="4">C54*C56</f>
        <v>0</v>
      </c>
      <c r="D58" s="23">
        <f t="shared" si="4"/>
        <v>0</v>
      </c>
      <c r="E58" s="23">
        <f t="shared" si="4"/>
        <v>0</v>
      </c>
      <c r="F58" s="23">
        <f t="shared" si="4"/>
        <v>0</v>
      </c>
      <c r="G58" s="23">
        <f t="shared" si="4"/>
        <v>146.78170231684777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38457.797282742358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10841.367240935879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49299.164523678235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13205.771099999996</v>
      </c>
      <c r="D10" s="642">
        <f ca="1">tertiair!C16</f>
        <v>0</v>
      </c>
      <c r="E10" s="642">
        <f ca="1">tertiair!D16</f>
        <v>22627.345196105998</v>
      </c>
      <c r="F10" s="642">
        <f>tertiair!E16</f>
        <v>43.291867530014279</v>
      </c>
      <c r="G10" s="642">
        <f ca="1">tertiair!F16</f>
        <v>2755.8486052372605</v>
      </c>
      <c r="H10" s="642">
        <f>tertiair!G16</f>
        <v>0</v>
      </c>
      <c r="I10" s="642">
        <f>tertiair!H16</f>
        <v>0</v>
      </c>
      <c r="J10" s="642">
        <f>tertiair!I16</f>
        <v>0</v>
      </c>
      <c r="K10" s="642">
        <f>tertiair!J16</f>
        <v>1.9533032704505241E-2</v>
      </c>
      <c r="L10" s="642">
        <f>tertiair!K16</f>
        <v>0</v>
      </c>
      <c r="M10" s="642">
        <f ca="1">tertiair!L16</f>
        <v>0</v>
      </c>
      <c r="N10" s="642">
        <f>tertiair!M16</f>
        <v>0</v>
      </c>
      <c r="O10" s="642">
        <f ca="1">tertiair!N16</f>
        <v>692.12522877252718</v>
      </c>
      <c r="P10" s="642">
        <f>tertiair!O16</f>
        <v>14.691782297523464</v>
      </c>
      <c r="Q10" s="643">
        <f>tertiair!P16</f>
        <v>0</v>
      </c>
      <c r="R10" s="645">
        <f ca="1">SUM(C10:Q10)</f>
        <v>39339.093312976031</v>
      </c>
      <c r="S10" s="67"/>
    </row>
    <row r="11" spans="1:19" s="441" customFormat="1">
      <c r="A11" s="762" t="s">
        <v>214</v>
      </c>
      <c r="B11" s="767"/>
      <c r="C11" s="642">
        <f>huishoudens!B8</f>
        <v>20078.035222678001</v>
      </c>
      <c r="D11" s="642">
        <f>huishoudens!C8</f>
        <v>0</v>
      </c>
      <c r="E11" s="642">
        <f>huishoudens!D8</f>
        <v>48591.751870998</v>
      </c>
      <c r="F11" s="642">
        <f>huishoudens!E8</f>
        <v>1420.6450571075361</v>
      </c>
      <c r="G11" s="642">
        <f>huishoudens!F8</f>
        <v>23281.079318969238</v>
      </c>
      <c r="H11" s="642">
        <f>huishoudens!G8</f>
        <v>0</v>
      </c>
      <c r="I11" s="642">
        <f>huishoudens!H8</f>
        <v>0</v>
      </c>
      <c r="J11" s="642">
        <f>huishoudens!I8</f>
        <v>0</v>
      </c>
      <c r="K11" s="642">
        <f>huishoudens!J8</f>
        <v>128.49988980731985</v>
      </c>
      <c r="L11" s="642">
        <f>huishoudens!K8</f>
        <v>0</v>
      </c>
      <c r="M11" s="642">
        <f>huishoudens!L8</f>
        <v>0</v>
      </c>
      <c r="N11" s="642">
        <f>huishoudens!M8</f>
        <v>0</v>
      </c>
      <c r="O11" s="642">
        <f>huishoudens!N8</f>
        <v>7007.0845373151597</v>
      </c>
      <c r="P11" s="642">
        <f>huishoudens!O8</f>
        <v>174.58832330605881</v>
      </c>
      <c r="Q11" s="643">
        <f>huishoudens!P8</f>
        <v>31.601877923055071</v>
      </c>
      <c r="R11" s="645">
        <f>SUM(C11:Q11)</f>
        <v>100713.28609810436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39243.774522</v>
      </c>
      <c r="D13" s="642">
        <f>industrie!C18</f>
        <v>0</v>
      </c>
      <c r="E13" s="642">
        <f>industrie!D18</f>
        <v>173708.047063089</v>
      </c>
      <c r="F13" s="642">
        <f>industrie!E18</f>
        <v>7253.2905558744624</v>
      </c>
      <c r="G13" s="642">
        <f>industrie!F18</f>
        <v>1074.6663069402232</v>
      </c>
      <c r="H13" s="642">
        <f>industrie!G18</f>
        <v>0</v>
      </c>
      <c r="I13" s="642">
        <f>industrie!H18</f>
        <v>0</v>
      </c>
      <c r="J13" s="642">
        <f>industrie!I18</f>
        <v>0</v>
      </c>
      <c r="K13" s="642">
        <f>industrie!J18</f>
        <v>0.30952077489947227</v>
      </c>
      <c r="L13" s="642">
        <f>industrie!K18</f>
        <v>0</v>
      </c>
      <c r="M13" s="642">
        <f>industrie!L18</f>
        <v>0</v>
      </c>
      <c r="N13" s="642">
        <f>industrie!M18</f>
        <v>0</v>
      </c>
      <c r="O13" s="642">
        <f>industrie!N18</f>
        <v>59.459641464540852</v>
      </c>
      <c r="P13" s="642">
        <f>industrie!O18</f>
        <v>0</v>
      </c>
      <c r="Q13" s="643">
        <f>industrie!P18</f>
        <v>0</v>
      </c>
      <c r="R13" s="645">
        <f>SUM(C13:Q13)</f>
        <v>221339.54761014314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72527.580844677999</v>
      </c>
      <c r="D16" s="678">
        <f t="shared" ref="D16:R16" ca="1" si="0">SUM(D9:D15)</f>
        <v>0</v>
      </c>
      <c r="E16" s="678">
        <f t="shared" ca="1" si="0"/>
        <v>244927.14413019299</v>
      </c>
      <c r="F16" s="678">
        <f t="shared" si="0"/>
        <v>8717.2274805120123</v>
      </c>
      <c r="G16" s="678">
        <f t="shared" ca="1" si="0"/>
        <v>27111.594231146722</v>
      </c>
      <c r="H16" s="678">
        <f t="shared" si="0"/>
        <v>0</v>
      </c>
      <c r="I16" s="678">
        <f t="shared" si="0"/>
        <v>0</v>
      </c>
      <c r="J16" s="678">
        <f t="shared" si="0"/>
        <v>0</v>
      </c>
      <c r="K16" s="678">
        <f t="shared" si="0"/>
        <v>128.82894361492384</v>
      </c>
      <c r="L16" s="678">
        <f t="shared" si="0"/>
        <v>0</v>
      </c>
      <c r="M16" s="678">
        <f t="shared" ca="1" si="0"/>
        <v>0</v>
      </c>
      <c r="N16" s="678">
        <f t="shared" si="0"/>
        <v>0</v>
      </c>
      <c r="O16" s="678">
        <f t="shared" ca="1" si="0"/>
        <v>7758.6694075522282</v>
      </c>
      <c r="P16" s="678">
        <f t="shared" si="0"/>
        <v>189.28010560358229</v>
      </c>
      <c r="Q16" s="678">
        <f t="shared" si="0"/>
        <v>31.601877923055071</v>
      </c>
      <c r="R16" s="678">
        <f t="shared" ca="1" si="0"/>
        <v>361391.92702122353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7.7018503719392495</v>
      </c>
      <c r="D19" s="642">
        <f>transport!C54</f>
        <v>0</v>
      </c>
      <c r="E19" s="642">
        <f>transport!D54</f>
        <v>0</v>
      </c>
      <c r="F19" s="642">
        <f>transport!E54</f>
        <v>0</v>
      </c>
      <c r="G19" s="642">
        <f>transport!F54</f>
        <v>0</v>
      </c>
      <c r="H19" s="642">
        <f>transport!G54</f>
        <v>549.7442034338867</v>
      </c>
      <c r="I19" s="642">
        <f>transport!H54</f>
        <v>0</v>
      </c>
      <c r="J19" s="642">
        <f>transport!I54</f>
        <v>0</v>
      </c>
      <c r="K19" s="642">
        <f>transport!J54</f>
        <v>0</v>
      </c>
      <c r="L19" s="642">
        <f>transport!K54</f>
        <v>0</v>
      </c>
      <c r="M19" s="642">
        <f>transport!L54</f>
        <v>0</v>
      </c>
      <c r="N19" s="642">
        <f>transport!M54</f>
        <v>30.356101907957409</v>
      </c>
      <c r="O19" s="642">
        <f>transport!N54</f>
        <v>0</v>
      </c>
      <c r="P19" s="642">
        <f>transport!O54</f>
        <v>0</v>
      </c>
      <c r="Q19" s="643">
        <f>transport!P54</f>
        <v>0</v>
      </c>
      <c r="R19" s="645">
        <f>SUM(C19:Q19)</f>
        <v>587.80215571378335</v>
      </c>
      <c r="S19" s="67"/>
    </row>
    <row r="20" spans="1:19" s="441" customFormat="1">
      <c r="A20" s="762" t="s">
        <v>296</v>
      </c>
      <c r="B20" s="767"/>
      <c r="C20" s="642">
        <f>transport!B14</f>
        <v>163.9273253091886</v>
      </c>
      <c r="D20" s="642">
        <f>transport!C14</f>
        <v>0</v>
      </c>
      <c r="E20" s="642">
        <f>transport!D14</f>
        <v>266.76278631148699</v>
      </c>
      <c r="F20" s="642">
        <f>transport!E14</f>
        <v>160.0277218556075</v>
      </c>
      <c r="G20" s="642">
        <f>transport!F14</f>
        <v>0</v>
      </c>
      <c r="H20" s="642">
        <f>transport!G14</f>
        <v>87680.475505886556</v>
      </c>
      <c r="I20" s="642">
        <f>transport!H14</f>
        <v>17957.860229378515</v>
      </c>
      <c r="J20" s="642">
        <f>transport!I14</f>
        <v>0</v>
      </c>
      <c r="K20" s="642">
        <f>transport!J14</f>
        <v>0</v>
      </c>
      <c r="L20" s="642">
        <f>transport!K14</f>
        <v>0</v>
      </c>
      <c r="M20" s="642">
        <f>transport!L14</f>
        <v>0</v>
      </c>
      <c r="N20" s="642">
        <f>transport!M14</f>
        <v>6184.8913340046192</v>
      </c>
      <c r="O20" s="642">
        <f>transport!N14</f>
        <v>0</v>
      </c>
      <c r="P20" s="642">
        <f>transport!O14</f>
        <v>0</v>
      </c>
      <c r="Q20" s="643">
        <f>transport!P14</f>
        <v>0</v>
      </c>
      <c r="R20" s="645">
        <f>SUM(C20:Q20)</f>
        <v>112413.94490274598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171.62917568112786</v>
      </c>
      <c r="D22" s="765">
        <f t="shared" ref="D22:R22" si="1">SUM(D18:D21)</f>
        <v>0</v>
      </c>
      <c r="E22" s="765">
        <f t="shared" si="1"/>
        <v>266.76278631148699</v>
      </c>
      <c r="F22" s="765">
        <f t="shared" si="1"/>
        <v>160.0277218556075</v>
      </c>
      <c r="G22" s="765">
        <f t="shared" si="1"/>
        <v>0</v>
      </c>
      <c r="H22" s="765">
        <f t="shared" si="1"/>
        <v>88230.219709320445</v>
      </c>
      <c r="I22" s="765">
        <f t="shared" si="1"/>
        <v>17957.860229378515</v>
      </c>
      <c r="J22" s="765">
        <f t="shared" si="1"/>
        <v>0</v>
      </c>
      <c r="K22" s="765">
        <f t="shared" si="1"/>
        <v>0</v>
      </c>
      <c r="L22" s="765">
        <f t="shared" si="1"/>
        <v>0</v>
      </c>
      <c r="M22" s="765">
        <f t="shared" si="1"/>
        <v>0</v>
      </c>
      <c r="N22" s="765">
        <f t="shared" si="1"/>
        <v>6215.2474359125763</v>
      </c>
      <c r="O22" s="765">
        <f t="shared" si="1"/>
        <v>0</v>
      </c>
      <c r="P22" s="765">
        <f t="shared" si="1"/>
        <v>0</v>
      </c>
      <c r="Q22" s="765">
        <f t="shared" si="1"/>
        <v>0</v>
      </c>
      <c r="R22" s="765">
        <f t="shared" si="1"/>
        <v>113001.74705845976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218.803316</v>
      </c>
      <c r="D24" s="642">
        <f>+landbouw!C8</f>
        <v>0</v>
      </c>
      <c r="E24" s="642">
        <f>+landbouw!D8</f>
        <v>155.233416135</v>
      </c>
      <c r="F24" s="642">
        <f>+landbouw!E8</f>
        <v>6.4509403410635979</v>
      </c>
      <c r="G24" s="642">
        <f>+landbouw!F8</f>
        <v>695.43469857371349</v>
      </c>
      <c r="H24" s="642">
        <f>+landbouw!G8</f>
        <v>0</v>
      </c>
      <c r="I24" s="642">
        <f>+landbouw!H8</f>
        <v>0</v>
      </c>
      <c r="J24" s="642">
        <f>+landbouw!I8</f>
        <v>0</v>
      </c>
      <c r="K24" s="642">
        <f>+landbouw!J8</f>
        <v>55.180852679518033</v>
      </c>
      <c r="L24" s="642">
        <f>+landbouw!K8</f>
        <v>0</v>
      </c>
      <c r="M24" s="642">
        <f>+landbouw!L8</f>
        <v>0</v>
      </c>
      <c r="N24" s="642">
        <f>+landbouw!M8</f>
        <v>0</v>
      </c>
      <c r="O24" s="642">
        <f>+landbouw!N8</f>
        <v>0</v>
      </c>
      <c r="P24" s="642">
        <f>+landbouw!O8</f>
        <v>0</v>
      </c>
      <c r="Q24" s="643">
        <f>+landbouw!P8</f>
        <v>0</v>
      </c>
      <c r="R24" s="645">
        <f>SUM(C24:Q24)</f>
        <v>1131.103223729295</v>
      </c>
      <c r="S24" s="67"/>
    </row>
    <row r="25" spans="1:19" s="441" customFormat="1" ht="15" thickBot="1">
      <c r="A25" s="784" t="s">
        <v>672</v>
      </c>
      <c r="B25" s="895"/>
      <c r="C25" s="896">
        <f>IF(Onbekend_ele_kWh="---",0,Onbekend_ele_kWh)/1000+IF(REST_rest_ele_kWh="---",0,REST_rest_ele_kWh)/1000</f>
        <v>818.59769499999993</v>
      </c>
      <c r="D25" s="896"/>
      <c r="E25" s="896">
        <f>IF(onbekend_gas_kWh="---",0,onbekend_gas_kWh)/1000+IF(REST_rest_gas_kWh="---",0,REST_rest_gas_kWh)/1000</f>
        <v>4029.0078269999999</v>
      </c>
      <c r="F25" s="896"/>
      <c r="G25" s="896"/>
      <c r="H25" s="896"/>
      <c r="I25" s="896"/>
      <c r="J25" s="896"/>
      <c r="K25" s="896"/>
      <c r="L25" s="896"/>
      <c r="M25" s="896"/>
      <c r="N25" s="896"/>
      <c r="O25" s="896"/>
      <c r="P25" s="896"/>
      <c r="Q25" s="897"/>
      <c r="R25" s="645">
        <f>SUM(C25:Q25)</f>
        <v>4847.6055219999998</v>
      </c>
      <c r="S25" s="67"/>
    </row>
    <row r="26" spans="1:19" s="441" customFormat="1" ht="15.75" thickBot="1">
      <c r="A26" s="650" t="s">
        <v>673</v>
      </c>
      <c r="B26" s="770"/>
      <c r="C26" s="765">
        <f>SUM(C24:C25)</f>
        <v>1037.4010109999999</v>
      </c>
      <c r="D26" s="765">
        <f t="shared" ref="D26:R26" si="2">SUM(D24:D25)</f>
        <v>0</v>
      </c>
      <c r="E26" s="765">
        <f t="shared" si="2"/>
        <v>4184.2412431350003</v>
      </c>
      <c r="F26" s="765">
        <f t="shared" si="2"/>
        <v>6.4509403410635979</v>
      </c>
      <c r="G26" s="765">
        <f t="shared" si="2"/>
        <v>695.43469857371349</v>
      </c>
      <c r="H26" s="765">
        <f t="shared" si="2"/>
        <v>0</v>
      </c>
      <c r="I26" s="765">
        <f t="shared" si="2"/>
        <v>0</v>
      </c>
      <c r="J26" s="765">
        <f t="shared" si="2"/>
        <v>0</v>
      </c>
      <c r="K26" s="765">
        <f t="shared" si="2"/>
        <v>55.180852679518033</v>
      </c>
      <c r="L26" s="765">
        <f t="shared" si="2"/>
        <v>0</v>
      </c>
      <c r="M26" s="765">
        <f t="shared" si="2"/>
        <v>0</v>
      </c>
      <c r="N26" s="765">
        <f t="shared" si="2"/>
        <v>0</v>
      </c>
      <c r="O26" s="765">
        <f t="shared" si="2"/>
        <v>0</v>
      </c>
      <c r="P26" s="765">
        <f t="shared" si="2"/>
        <v>0</v>
      </c>
      <c r="Q26" s="765">
        <f t="shared" si="2"/>
        <v>0</v>
      </c>
      <c r="R26" s="765">
        <f t="shared" si="2"/>
        <v>5978.7087457292946</v>
      </c>
      <c r="S26" s="67"/>
    </row>
    <row r="27" spans="1:19" s="441" customFormat="1" ht="17.25" thickTop="1" thickBot="1">
      <c r="A27" s="651" t="s">
        <v>109</v>
      </c>
      <c r="B27" s="757"/>
      <c r="C27" s="652">
        <f ca="1">C22+C16+C26</f>
        <v>73736.61103135912</v>
      </c>
      <c r="D27" s="652">
        <f t="shared" ref="D27:R27" ca="1" si="3">D22+D16+D26</f>
        <v>0</v>
      </c>
      <c r="E27" s="652">
        <f t="shared" ca="1" si="3"/>
        <v>249378.14815963947</v>
      </c>
      <c r="F27" s="652">
        <f t="shared" si="3"/>
        <v>8883.7061427086828</v>
      </c>
      <c r="G27" s="652">
        <f t="shared" ca="1" si="3"/>
        <v>27807.028929720436</v>
      </c>
      <c r="H27" s="652">
        <f t="shared" si="3"/>
        <v>88230.219709320445</v>
      </c>
      <c r="I27" s="652">
        <f t="shared" si="3"/>
        <v>17957.860229378515</v>
      </c>
      <c r="J27" s="652">
        <f t="shared" si="3"/>
        <v>0</v>
      </c>
      <c r="K27" s="652">
        <f t="shared" si="3"/>
        <v>184.00979629444188</v>
      </c>
      <c r="L27" s="652">
        <f t="shared" si="3"/>
        <v>0</v>
      </c>
      <c r="M27" s="652">
        <f t="shared" ca="1" si="3"/>
        <v>0</v>
      </c>
      <c r="N27" s="652">
        <f t="shared" si="3"/>
        <v>6215.2474359125763</v>
      </c>
      <c r="O27" s="652">
        <f t="shared" ca="1" si="3"/>
        <v>7758.6694075522282</v>
      </c>
      <c r="P27" s="652">
        <f t="shared" si="3"/>
        <v>189.28010560358229</v>
      </c>
      <c r="Q27" s="652">
        <f t="shared" si="3"/>
        <v>31.601877923055071</v>
      </c>
      <c r="R27" s="652">
        <f t="shared" ca="1" si="3"/>
        <v>480372.38282541255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967.22761995776693</v>
      </c>
      <c r="D40" s="642">
        <f ca="1">tertiair!C20</f>
        <v>0</v>
      </c>
      <c r="E40" s="642">
        <f ca="1">tertiair!D20</f>
        <v>4570.7237296134117</v>
      </c>
      <c r="F40" s="642">
        <f>tertiair!E20</f>
        <v>9.8272539293132422</v>
      </c>
      <c r="G40" s="642">
        <f ca="1">tertiair!F20</f>
        <v>735.81157759834855</v>
      </c>
      <c r="H40" s="642">
        <f>tertiair!G20</f>
        <v>0</v>
      </c>
      <c r="I40" s="642">
        <f>tertiair!H20</f>
        <v>0</v>
      </c>
      <c r="J40" s="642">
        <f>tertiair!I20</f>
        <v>0</v>
      </c>
      <c r="K40" s="642">
        <f>tertiair!J20</f>
        <v>6.9146935773948554E-3</v>
      </c>
      <c r="L40" s="642">
        <f>tertiair!K20</f>
        <v>0</v>
      </c>
      <c r="M40" s="642">
        <f ca="1">tertiair!L20</f>
        <v>0</v>
      </c>
      <c r="N40" s="642">
        <f>tertiair!M20</f>
        <v>0</v>
      </c>
      <c r="O40" s="642">
        <f ca="1">tertiair!N20</f>
        <v>0</v>
      </c>
      <c r="P40" s="642">
        <f>tertiair!O20</f>
        <v>0</v>
      </c>
      <c r="Q40" s="725">
        <f>tertiair!P20</f>
        <v>0</v>
      </c>
      <c r="R40" s="803">
        <f t="shared" ca="1" si="4"/>
        <v>6283.5970957924183</v>
      </c>
    </row>
    <row r="41" spans="1:18">
      <c r="A41" s="775" t="s">
        <v>214</v>
      </c>
      <c r="B41" s="782"/>
      <c r="C41" s="642">
        <f ca="1">huishoudens!B12</f>
        <v>1470.5714702157045</v>
      </c>
      <c r="D41" s="642">
        <f ca="1">huishoudens!C12</f>
        <v>0</v>
      </c>
      <c r="E41" s="642">
        <f>huishoudens!D12</f>
        <v>9815.5338779415961</v>
      </c>
      <c r="F41" s="642">
        <f>huishoudens!E12</f>
        <v>322.48642796341073</v>
      </c>
      <c r="G41" s="642">
        <f>huishoudens!F12</f>
        <v>6216.0481781647868</v>
      </c>
      <c r="H41" s="642">
        <f>huishoudens!G12</f>
        <v>0</v>
      </c>
      <c r="I41" s="642">
        <f>huishoudens!H12</f>
        <v>0</v>
      </c>
      <c r="J41" s="642">
        <f>huishoudens!I12</f>
        <v>0</v>
      </c>
      <c r="K41" s="642">
        <f>huishoudens!J12</f>
        <v>45.488960991791224</v>
      </c>
      <c r="L41" s="642">
        <f>huishoudens!K12</f>
        <v>0</v>
      </c>
      <c r="M41" s="642">
        <f>huishoudens!L12</f>
        <v>0</v>
      </c>
      <c r="N41" s="642">
        <f>huishoudens!M12</f>
        <v>0</v>
      </c>
      <c r="O41" s="642">
        <f>huishoudens!N12</f>
        <v>0</v>
      </c>
      <c r="P41" s="642">
        <f>huishoudens!O12</f>
        <v>0</v>
      </c>
      <c r="Q41" s="725">
        <f>huishoudens!P12</f>
        <v>0</v>
      </c>
      <c r="R41" s="803">
        <f t="shared" ca="1" si="4"/>
        <v>17870.128915277292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2874.3238347568604</v>
      </c>
      <c r="D43" s="642">
        <f ca="1">industrie!C22</f>
        <v>0</v>
      </c>
      <c r="E43" s="642">
        <f>industrie!D22</f>
        <v>35089.025506743979</v>
      </c>
      <c r="F43" s="642">
        <f>industrie!E22</f>
        <v>1646.496956183503</v>
      </c>
      <c r="G43" s="642">
        <f>industrie!F22</f>
        <v>286.9359039530396</v>
      </c>
      <c r="H43" s="642">
        <f>industrie!G22</f>
        <v>0</v>
      </c>
      <c r="I43" s="642">
        <f>industrie!H22</f>
        <v>0</v>
      </c>
      <c r="J43" s="642">
        <f>industrie!I22</f>
        <v>0</v>
      </c>
      <c r="K43" s="642">
        <f>industrie!J22</f>
        <v>0.10957035431441318</v>
      </c>
      <c r="L43" s="642">
        <f>industrie!K22</f>
        <v>0</v>
      </c>
      <c r="M43" s="642">
        <f>industrie!L22</f>
        <v>0</v>
      </c>
      <c r="N43" s="642">
        <f>industrie!M22</f>
        <v>0</v>
      </c>
      <c r="O43" s="642">
        <f>industrie!N22</f>
        <v>0</v>
      </c>
      <c r="P43" s="642">
        <f>industrie!O22</f>
        <v>0</v>
      </c>
      <c r="Q43" s="725">
        <f>industrie!P22</f>
        <v>0</v>
      </c>
      <c r="R43" s="802">
        <f t="shared" ca="1" si="4"/>
        <v>39896.891771991701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5312.1229249303324</v>
      </c>
      <c r="D46" s="678">
        <f t="shared" ref="D46:Q46" ca="1" si="5">SUM(D39:D45)</f>
        <v>0</v>
      </c>
      <c r="E46" s="678">
        <f t="shared" ca="1" si="5"/>
        <v>49475.283114298989</v>
      </c>
      <c r="F46" s="678">
        <f t="shared" si="5"/>
        <v>1978.810638076227</v>
      </c>
      <c r="G46" s="678">
        <f t="shared" ca="1" si="5"/>
        <v>7238.7956597161756</v>
      </c>
      <c r="H46" s="678">
        <f t="shared" si="5"/>
        <v>0</v>
      </c>
      <c r="I46" s="678">
        <f t="shared" si="5"/>
        <v>0</v>
      </c>
      <c r="J46" s="678">
        <f t="shared" si="5"/>
        <v>0</v>
      </c>
      <c r="K46" s="678">
        <f t="shared" si="5"/>
        <v>45.605446039683031</v>
      </c>
      <c r="L46" s="678">
        <f t="shared" si="5"/>
        <v>0</v>
      </c>
      <c r="M46" s="678">
        <f t="shared" ca="1" si="5"/>
        <v>0</v>
      </c>
      <c r="N46" s="678">
        <f t="shared" si="5"/>
        <v>0</v>
      </c>
      <c r="O46" s="678">
        <f t="shared" ca="1" si="5"/>
        <v>0</v>
      </c>
      <c r="P46" s="678">
        <f t="shared" si="5"/>
        <v>0</v>
      </c>
      <c r="Q46" s="678">
        <f t="shared" si="5"/>
        <v>0</v>
      </c>
      <c r="R46" s="678">
        <f ca="1">SUM(R39:R45)</f>
        <v>64050.617783061411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0.56410506801239679</v>
      </c>
      <c r="D49" s="642">
        <f ca="1">transport!C58</f>
        <v>0</v>
      </c>
      <c r="E49" s="642">
        <f>transport!D58</f>
        <v>0</v>
      </c>
      <c r="F49" s="642">
        <f>transport!E58</f>
        <v>0</v>
      </c>
      <c r="G49" s="642">
        <f>transport!F58</f>
        <v>0</v>
      </c>
      <c r="H49" s="642">
        <f>transport!G58</f>
        <v>146.78170231684777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147.34580738486017</v>
      </c>
    </row>
    <row r="50" spans="1:18">
      <c r="A50" s="778" t="s">
        <v>296</v>
      </c>
      <c r="B50" s="788"/>
      <c r="C50" s="648">
        <f ca="1">transport!B18</f>
        <v>12.006495910325837</v>
      </c>
      <c r="D50" s="648">
        <f>transport!C18</f>
        <v>0</v>
      </c>
      <c r="E50" s="648">
        <f>transport!D18</f>
        <v>53.886082834920373</v>
      </c>
      <c r="F50" s="648">
        <f>transport!E18</f>
        <v>36.326292861222903</v>
      </c>
      <c r="G50" s="648">
        <f>transport!F18</f>
        <v>0</v>
      </c>
      <c r="H50" s="648">
        <f>transport!G18</f>
        <v>23410.686960071711</v>
      </c>
      <c r="I50" s="648">
        <f>transport!H18</f>
        <v>4471.5071971152502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27984.413028793431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12.570600978338234</v>
      </c>
      <c r="D52" s="678">
        <f t="shared" ref="D52:Q52" ca="1" si="6">SUM(D48:D51)</f>
        <v>0</v>
      </c>
      <c r="E52" s="678">
        <f t="shared" si="6"/>
        <v>53.886082834920373</v>
      </c>
      <c r="F52" s="678">
        <f t="shared" si="6"/>
        <v>36.326292861222903</v>
      </c>
      <c r="G52" s="678">
        <f t="shared" si="6"/>
        <v>0</v>
      </c>
      <c r="H52" s="678">
        <f t="shared" si="6"/>
        <v>23557.468662388557</v>
      </c>
      <c r="I52" s="678">
        <f t="shared" si="6"/>
        <v>4471.5071971152502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28131.758836178291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16.025766990126552</v>
      </c>
      <c r="D54" s="648">
        <f ca="1">+landbouw!C12</f>
        <v>0</v>
      </c>
      <c r="E54" s="648">
        <f>+landbouw!D12</f>
        <v>31.357150059270001</v>
      </c>
      <c r="F54" s="648">
        <f>+landbouw!E12</f>
        <v>1.4643634574214368</v>
      </c>
      <c r="G54" s="648">
        <f>+landbouw!F12</f>
        <v>185.68106451918152</v>
      </c>
      <c r="H54" s="648">
        <f>+landbouw!G12</f>
        <v>0</v>
      </c>
      <c r="I54" s="648">
        <f>+landbouw!H12</f>
        <v>0</v>
      </c>
      <c r="J54" s="648">
        <f>+landbouw!I12</f>
        <v>0</v>
      </c>
      <c r="K54" s="648">
        <f>+landbouw!J12</f>
        <v>19.534021848549383</v>
      </c>
      <c r="L54" s="648">
        <f>+landbouw!K12</f>
        <v>0</v>
      </c>
      <c r="M54" s="648">
        <f>+landbouw!L12</f>
        <v>0</v>
      </c>
      <c r="N54" s="648">
        <f>+landbouw!M12</f>
        <v>0</v>
      </c>
      <c r="O54" s="648">
        <f>+landbouw!N12</f>
        <v>0</v>
      </c>
      <c r="P54" s="648">
        <f>+landbouw!O12</f>
        <v>0</v>
      </c>
      <c r="Q54" s="649">
        <f>+landbouw!P12</f>
        <v>0</v>
      </c>
      <c r="R54" s="677">
        <f ca="1">SUM(C54:Q54)</f>
        <v>254.06236687454887</v>
      </c>
    </row>
    <row r="55" spans="1:18" ht="15" thickBot="1">
      <c r="A55" s="778" t="s">
        <v>672</v>
      </c>
      <c r="B55" s="788"/>
      <c r="C55" s="648">
        <f ca="1">C25*'EF ele_warmte'!B12</f>
        <v>59.956385298679315</v>
      </c>
      <c r="D55" s="648"/>
      <c r="E55" s="648">
        <f>E25*EF_CO2_aardgas</f>
        <v>813.85958105400005</v>
      </c>
      <c r="F55" s="648"/>
      <c r="G55" s="648"/>
      <c r="H55" s="648"/>
      <c r="I55" s="648"/>
      <c r="J55" s="648"/>
      <c r="K55" s="648"/>
      <c r="L55" s="648"/>
      <c r="M55" s="648"/>
      <c r="N55" s="648"/>
      <c r="O55" s="648"/>
      <c r="P55" s="648"/>
      <c r="Q55" s="649"/>
      <c r="R55" s="677">
        <f ca="1">SUM(C55:Q55)</f>
        <v>873.81596635267931</v>
      </c>
    </row>
    <row r="56" spans="1:18" ht="15.75" thickBot="1">
      <c r="A56" s="776" t="s">
        <v>673</v>
      </c>
      <c r="B56" s="789"/>
      <c r="C56" s="678">
        <f ca="1">SUM(C54:C55)</f>
        <v>75.982152288805864</v>
      </c>
      <c r="D56" s="678">
        <f t="shared" ref="D56:Q56" ca="1" si="7">SUM(D54:D55)</f>
        <v>0</v>
      </c>
      <c r="E56" s="678">
        <f t="shared" si="7"/>
        <v>845.21673111327004</v>
      </c>
      <c r="F56" s="678">
        <f t="shared" si="7"/>
        <v>1.4643634574214368</v>
      </c>
      <c r="G56" s="678">
        <f t="shared" si="7"/>
        <v>185.68106451918152</v>
      </c>
      <c r="H56" s="678">
        <f t="shared" si="7"/>
        <v>0</v>
      </c>
      <c r="I56" s="678">
        <f t="shared" si="7"/>
        <v>0</v>
      </c>
      <c r="J56" s="678">
        <f t="shared" si="7"/>
        <v>0</v>
      </c>
      <c r="K56" s="678">
        <f t="shared" si="7"/>
        <v>19.534021848549383</v>
      </c>
      <c r="L56" s="678">
        <f t="shared" si="7"/>
        <v>0</v>
      </c>
      <c r="M56" s="678">
        <f t="shared" si="7"/>
        <v>0</v>
      </c>
      <c r="N56" s="678">
        <f t="shared" si="7"/>
        <v>0</v>
      </c>
      <c r="O56" s="678">
        <f t="shared" si="7"/>
        <v>0</v>
      </c>
      <c r="P56" s="678">
        <f t="shared" si="7"/>
        <v>0</v>
      </c>
      <c r="Q56" s="679">
        <f t="shared" si="7"/>
        <v>0</v>
      </c>
      <c r="R56" s="680">
        <f ca="1">SUM(R54:R55)</f>
        <v>1127.8783332272283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5400.6756781974764</v>
      </c>
      <c r="D61" s="686">
        <f t="shared" ref="D61:Q61" ca="1" si="8">D46+D52+D56</f>
        <v>0</v>
      </c>
      <c r="E61" s="686">
        <f t="shared" ca="1" si="8"/>
        <v>50374.385928247182</v>
      </c>
      <c r="F61" s="686">
        <f t="shared" si="8"/>
        <v>2016.6012943948715</v>
      </c>
      <c r="G61" s="686">
        <f t="shared" ca="1" si="8"/>
        <v>7424.4767242353573</v>
      </c>
      <c r="H61" s="686">
        <f t="shared" si="8"/>
        <v>23557.468662388557</v>
      </c>
      <c r="I61" s="686">
        <f t="shared" si="8"/>
        <v>4471.5071971152502</v>
      </c>
      <c r="J61" s="686">
        <f t="shared" si="8"/>
        <v>0</v>
      </c>
      <c r="K61" s="686">
        <f t="shared" si="8"/>
        <v>65.139467888232417</v>
      </c>
      <c r="L61" s="686">
        <f t="shared" si="8"/>
        <v>0</v>
      </c>
      <c r="M61" s="686">
        <f t="shared" ca="1" si="8"/>
        <v>0</v>
      </c>
      <c r="N61" s="686">
        <f t="shared" si="8"/>
        <v>0</v>
      </c>
      <c r="O61" s="686">
        <f t="shared" ca="1" si="8"/>
        <v>0</v>
      </c>
      <c r="P61" s="686">
        <f t="shared" si="8"/>
        <v>0</v>
      </c>
      <c r="Q61" s="686">
        <f t="shared" si="8"/>
        <v>0</v>
      </c>
      <c r="R61" s="686">
        <f ca="1">R46+R52+R56</f>
        <v>93310.25495246693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7.324279760973347E-2</v>
      </c>
      <c r="D63" s="732">
        <f t="shared" ca="1" si="9"/>
        <v>0</v>
      </c>
      <c r="E63" s="921">
        <f t="shared" ca="1" si="9"/>
        <v>0.20200000000000004</v>
      </c>
      <c r="F63" s="732">
        <f t="shared" si="9"/>
        <v>0.22700000000000006</v>
      </c>
      <c r="G63" s="732">
        <f t="shared" ca="1" si="9"/>
        <v>0.26700000000000002</v>
      </c>
      <c r="H63" s="732">
        <f t="shared" si="9"/>
        <v>0.26699999999999996</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38457.797282742358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10841.367240935879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49299.164523678235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20078.035222678001</v>
      </c>
      <c r="C4" s="445">
        <f>huishoudens!C8</f>
        <v>0</v>
      </c>
      <c r="D4" s="445">
        <f>huishoudens!D8</f>
        <v>48591.751870998</v>
      </c>
      <c r="E4" s="445">
        <f>huishoudens!E8</f>
        <v>1420.6450571075361</v>
      </c>
      <c r="F4" s="445">
        <f>huishoudens!F8</f>
        <v>23281.079318969238</v>
      </c>
      <c r="G4" s="445">
        <f>huishoudens!G8</f>
        <v>0</v>
      </c>
      <c r="H4" s="445">
        <f>huishoudens!H8</f>
        <v>0</v>
      </c>
      <c r="I4" s="445">
        <f>huishoudens!I8</f>
        <v>0</v>
      </c>
      <c r="J4" s="445">
        <f>huishoudens!J8</f>
        <v>128.49988980731985</v>
      </c>
      <c r="K4" s="445">
        <f>huishoudens!K8</f>
        <v>0</v>
      </c>
      <c r="L4" s="445">
        <f>huishoudens!L8</f>
        <v>0</v>
      </c>
      <c r="M4" s="445">
        <f>huishoudens!M8</f>
        <v>0</v>
      </c>
      <c r="N4" s="445">
        <f>huishoudens!N8</f>
        <v>7007.0845373151597</v>
      </c>
      <c r="O4" s="445">
        <f>huishoudens!O8</f>
        <v>174.58832330605881</v>
      </c>
      <c r="P4" s="446">
        <f>huishoudens!P8</f>
        <v>31.601877923055071</v>
      </c>
      <c r="Q4" s="447">
        <f>SUM(B4:P4)</f>
        <v>100713.28609810436</v>
      </c>
    </row>
    <row r="5" spans="1:17">
      <c r="A5" s="444" t="s">
        <v>149</v>
      </c>
      <c r="B5" s="445">
        <f ca="1">tertiair!B16</f>
        <v>12489.121099999997</v>
      </c>
      <c r="C5" s="445">
        <f ca="1">tertiair!C16</f>
        <v>0</v>
      </c>
      <c r="D5" s="445">
        <f ca="1">tertiair!D16</f>
        <v>22627.345196105998</v>
      </c>
      <c r="E5" s="445">
        <f>tertiair!E16</f>
        <v>43.291867530014279</v>
      </c>
      <c r="F5" s="445">
        <f ca="1">tertiair!F16</f>
        <v>2755.8486052372605</v>
      </c>
      <c r="G5" s="445">
        <f>tertiair!G16</f>
        <v>0</v>
      </c>
      <c r="H5" s="445">
        <f>tertiair!H16</f>
        <v>0</v>
      </c>
      <c r="I5" s="445">
        <f>tertiair!I16</f>
        <v>0</v>
      </c>
      <c r="J5" s="445">
        <f>tertiair!J16</f>
        <v>1.9533032704505241E-2</v>
      </c>
      <c r="K5" s="445">
        <f>tertiair!K16</f>
        <v>0</v>
      </c>
      <c r="L5" s="445">
        <f ca="1">tertiair!L16</f>
        <v>0</v>
      </c>
      <c r="M5" s="445">
        <f>tertiair!M16</f>
        <v>0</v>
      </c>
      <c r="N5" s="445">
        <f ca="1">tertiair!N16</f>
        <v>692.12522877252718</v>
      </c>
      <c r="O5" s="445">
        <f>tertiair!O16</f>
        <v>14.691782297523464</v>
      </c>
      <c r="P5" s="446">
        <f>tertiair!P16</f>
        <v>0</v>
      </c>
      <c r="Q5" s="444">
        <f t="shared" ref="Q5:Q14" ca="1" si="0">SUM(B5:P5)</f>
        <v>38622.443312976029</v>
      </c>
    </row>
    <row r="6" spans="1:17">
      <c r="A6" s="444" t="s">
        <v>187</v>
      </c>
      <c r="B6" s="445">
        <f>'openbare verlichting'!B8</f>
        <v>716.65</v>
      </c>
      <c r="C6" s="445"/>
      <c r="D6" s="445"/>
      <c r="E6" s="445"/>
      <c r="F6" s="445"/>
      <c r="G6" s="445"/>
      <c r="H6" s="445"/>
      <c r="I6" s="445"/>
      <c r="J6" s="445"/>
      <c r="K6" s="445"/>
      <c r="L6" s="445"/>
      <c r="M6" s="445"/>
      <c r="N6" s="445"/>
      <c r="O6" s="445"/>
      <c r="P6" s="446"/>
      <c r="Q6" s="444">
        <f t="shared" si="0"/>
        <v>716.65</v>
      </c>
    </row>
    <row r="7" spans="1:17">
      <c r="A7" s="444" t="s">
        <v>105</v>
      </c>
      <c r="B7" s="445">
        <f>landbouw!B8</f>
        <v>218.803316</v>
      </c>
      <c r="C7" s="445">
        <f>landbouw!C8</f>
        <v>0</v>
      </c>
      <c r="D7" s="445">
        <f>landbouw!D8</f>
        <v>155.233416135</v>
      </c>
      <c r="E7" s="445">
        <f>landbouw!E8</f>
        <v>6.4509403410635979</v>
      </c>
      <c r="F7" s="445">
        <f>landbouw!F8</f>
        <v>695.43469857371349</v>
      </c>
      <c r="G7" s="445">
        <f>landbouw!G8</f>
        <v>0</v>
      </c>
      <c r="H7" s="445">
        <f>landbouw!H8</f>
        <v>0</v>
      </c>
      <c r="I7" s="445">
        <f>landbouw!I8</f>
        <v>0</v>
      </c>
      <c r="J7" s="445">
        <f>landbouw!J8</f>
        <v>55.180852679518033</v>
      </c>
      <c r="K7" s="445">
        <f>landbouw!K8</f>
        <v>0</v>
      </c>
      <c r="L7" s="445">
        <f>landbouw!L8</f>
        <v>0</v>
      </c>
      <c r="M7" s="445">
        <f>landbouw!M8</f>
        <v>0</v>
      </c>
      <c r="N7" s="445">
        <f>landbouw!N8</f>
        <v>0</v>
      </c>
      <c r="O7" s="445">
        <f>landbouw!O8</f>
        <v>0</v>
      </c>
      <c r="P7" s="446">
        <f>landbouw!P8</f>
        <v>0</v>
      </c>
      <c r="Q7" s="444">
        <f t="shared" si="0"/>
        <v>1131.103223729295</v>
      </c>
    </row>
    <row r="8" spans="1:17">
      <c r="A8" s="444" t="s">
        <v>587</v>
      </c>
      <c r="B8" s="445">
        <f>industrie!B18</f>
        <v>39243.774522</v>
      </c>
      <c r="C8" s="445">
        <f>industrie!C18</f>
        <v>0</v>
      </c>
      <c r="D8" s="445">
        <f>industrie!D18</f>
        <v>173708.047063089</v>
      </c>
      <c r="E8" s="445">
        <f>industrie!E18</f>
        <v>7253.2905558744624</v>
      </c>
      <c r="F8" s="445">
        <f>industrie!F18</f>
        <v>1074.6663069402232</v>
      </c>
      <c r="G8" s="445">
        <f>industrie!G18</f>
        <v>0</v>
      </c>
      <c r="H8" s="445">
        <f>industrie!H18</f>
        <v>0</v>
      </c>
      <c r="I8" s="445">
        <f>industrie!I18</f>
        <v>0</v>
      </c>
      <c r="J8" s="445">
        <f>industrie!J18</f>
        <v>0.30952077489947227</v>
      </c>
      <c r="K8" s="445">
        <f>industrie!K18</f>
        <v>0</v>
      </c>
      <c r="L8" s="445">
        <f>industrie!L18</f>
        <v>0</v>
      </c>
      <c r="M8" s="445">
        <f>industrie!M18</f>
        <v>0</v>
      </c>
      <c r="N8" s="445">
        <f>industrie!N18</f>
        <v>59.459641464540852</v>
      </c>
      <c r="O8" s="445">
        <f>industrie!O18</f>
        <v>0</v>
      </c>
      <c r="P8" s="446">
        <f>industrie!P18</f>
        <v>0</v>
      </c>
      <c r="Q8" s="444">
        <f t="shared" si="0"/>
        <v>221339.54761014314</v>
      </c>
    </row>
    <row r="9" spans="1:17" s="450" customFormat="1">
      <c r="A9" s="448" t="s">
        <v>536</v>
      </c>
      <c r="B9" s="449">
        <f>transport!B14</f>
        <v>163.9273253091886</v>
      </c>
      <c r="C9" s="449">
        <f>transport!C14</f>
        <v>0</v>
      </c>
      <c r="D9" s="449">
        <f>transport!D14</f>
        <v>266.76278631148699</v>
      </c>
      <c r="E9" s="449">
        <f>transport!E14</f>
        <v>160.0277218556075</v>
      </c>
      <c r="F9" s="449">
        <f>transport!F14</f>
        <v>0</v>
      </c>
      <c r="G9" s="449">
        <f>transport!G14</f>
        <v>87680.475505886556</v>
      </c>
      <c r="H9" s="449">
        <f>transport!H14</f>
        <v>17957.860229378515</v>
      </c>
      <c r="I9" s="449">
        <f>transport!I14</f>
        <v>0</v>
      </c>
      <c r="J9" s="449">
        <f>transport!J14</f>
        <v>0</v>
      </c>
      <c r="K9" s="449">
        <f>transport!K14</f>
        <v>0</v>
      </c>
      <c r="L9" s="449">
        <f>transport!L14</f>
        <v>0</v>
      </c>
      <c r="M9" s="449">
        <f>transport!M14</f>
        <v>6184.8913340046192</v>
      </c>
      <c r="N9" s="449">
        <f>transport!N14</f>
        <v>0</v>
      </c>
      <c r="O9" s="449">
        <f>transport!O14</f>
        <v>0</v>
      </c>
      <c r="P9" s="449">
        <f>transport!P14</f>
        <v>0</v>
      </c>
      <c r="Q9" s="448">
        <f>SUM(B9:P9)</f>
        <v>112413.94490274598</v>
      </c>
    </row>
    <row r="10" spans="1:17">
      <c r="A10" s="444" t="s">
        <v>526</v>
      </c>
      <c r="B10" s="445">
        <f>transport!B54</f>
        <v>7.7018503719392495</v>
      </c>
      <c r="C10" s="445">
        <f>transport!C54</f>
        <v>0</v>
      </c>
      <c r="D10" s="445">
        <f>transport!D54</f>
        <v>0</v>
      </c>
      <c r="E10" s="445">
        <f>transport!E54</f>
        <v>0</v>
      </c>
      <c r="F10" s="445">
        <f>transport!F54</f>
        <v>0</v>
      </c>
      <c r="G10" s="445">
        <f>transport!G54</f>
        <v>549.7442034338867</v>
      </c>
      <c r="H10" s="445">
        <f>transport!H54</f>
        <v>0</v>
      </c>
      <c r="I10" s="445">
        <f>transport!I54</f>
        <v>0</v>
      </c>
      <c r="J10" s="445">
        <f>transport!J54</f>
        <v>0</v>
      </c>
      <c r="K10" s="445">
        <f>transport!K54</f>
        <v>0</v>
      </c>
      <c r="L10" s="445">
        <f>transport!L54</f>
        <v>0</v>
      </c>
      <c r="M10" s="445">
        <f>transport!M54</f>
        <v>30.356101907957409</v>
      </c>
      <c r="N10" s="445">
        <f>transport!N54</f>
        <v>0</v>
      </c>
      <c r="O10" s="445">
        <f>transport!O54</f>
        <v>0</v>
      </c>
      <c r="P10" s="446">
        <f>transport!P54</f>
        <v>0</v>
      </c>
      <c r="Q10" s="444">
        <f t="shared" si="0"/>
        <v>587.80215571378335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818.59769499999993</v>
      </c>
      <c r="C14" s="452"/>
      <c r="D14" s="452">
        <f>'SEAP template'!E25</f>
        <v>4029.0078269999999</v>
      </c>
      <c r="E14" s="452"/>
      <c r="F14" s="452"/>
      <c r="G14" s="452"/>
      <c r="H14" s="452"/>
      <c r="I14" s="452"/>
      <c r="J14" s="452"/>
      <c r="K14" s="452"/>
      <c r="L14" s="452"/>
      <c r="M14" s="452"/>
      <c r="N14" s="452"/>
      <c r="O14" s="452"/>
      <c r="P14" s="453"/>
      <c r="Q14" s="444">
        <f t="shared" si="0"/>
        <v>4847.6055219999998</v>
      </c>
    </row>
    <row r="15" spans="1:17" s="456" customFormat="1">
      <c r="A15" s="454" t="s">
        <v>530</v>
      </c>
      <c r="B15" s="455">
        <f ca="1">SUM(B4:B14)</f>
        <v>73736.61103135912</v>
      </c>
      <c r="C15" s="455">
        <f t="shared" ref="C15:Q15" ca="1" si="1">SUM(C4:C14)</f>
        <v>0</v>
      </c>
      <c r="D15" s="455">
        <f t="shared" ca="1" si="1"/>
        <v>249378.14815963947</v>
      </c>
      <c r="E15" s="455">
        <f t="shared" si="1"/>
        <v>8883.7061427086846</v>
      </c>
      <c r="F15" s="455">
        <f t="shared" ca="1" si="1"/>
        <v>27807.028929720436</v>
      </c>
      <c r="G15" s="455">
        <f t="shared" si="1"/>
        <v>88230.219709320445</v>
      </c>
      <c r="H15" s="455">
        <f t="shared" si="1"/>
        <v>17957.860229378515</v>
      </c>
      <c r="I15" s="455">
        <f t="shared" si="1"/>
        <v>0</v>
      </c>
      <c r="J15" s="455">
        <f t="shared" si="1"/>
        <v>184.00979629444188</v>
      </c>
      <c r="K15" s="455">
        <f t="shared" si="1"/>
        <v>0</v>
      </c>
      <c r="L15" s="455">
        <f t="shared" ca="1" si="1"/>
        <v>0</v>
      </c>
      <c r="M15" s="455">
        <f t="shared" si="1"/>
        <v>6215.2474359125763</v>
      </c>
      <c r="N15" s="455">
        <f t="shared" ca="1" si="1"/>
        <v>7758.6694075522282</v>
      </c>
      <c r="O15" s="455">
        <f t="shared" si="1"/>
        <v>189.28010560358229</v>
      </c>
      <c r="P15" s="455">
        <f t="shared" si="1"/>
        <v>31.601877923055071</v>
      </c>
      <c r="Q15" s="455">
        <f t="shared" ca="1" si="1"/>
        <v>480372.38282541255</v>
      </c>
    </row>
    <row r="17" spans="1:17">
      <c r="A17" s="457" t="s">
        <v>531</v>
      </c>
      <c r="B17" s="737">
        <f ca="1">huishoudens!B10</f>
        <v>7.3242797609733457E-2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1470.5714702157045</v>
      </c>
      <c r="C22" s="445">
        <f t="shared" ref="C22:C32" ca="1" si="3">C4*$C$17</f>
        <v>0</v>
      </c>
      <c r="D22" s="445">
        <f t="shared" ref="D22:D32" si="4">D4*$D$17</f>
        <v>9815.5338779415961</v>
      </c>
      <c r="E22" s="445">
        <f t="shared" ref="E22:E32" si="5">E4*$E$17</f>
        <v>322.48642796341073</v>
      </c>
      <c r="F22" s="445">
        <f t="shared" ref="F22:F32" si="6">F4*$F$17</f>
        <v>6216.0481781647868</v>
      </c>
      <c r="G22" s="445">
        <f t="shared" ref="G22:G32" si="7">G4*$G$17</f>
        <v>0</v>
      </c>
      <c r="H22" s="445">
        <f t="shared" ref="H22:H32" si="8">H4*$H$17</f>
        <v>0</v>
      </c>
      <c r="I22" s="445">
        <f t="shared" ref="I22:I32" si="9">I4*$I$17</f>
        <v>0</v>
      </c>
      <c r="J22" s="445">
        <f t="shared" ref="J22:J32" si="10">J4*$J$17</f>
        <v>45.488960991791224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17870.128915277292</v>
      </c>
    </row>
    <row r="23" spans="1:17">
      <c r="A23" s="444" t="s">
        <v>149</v>
      </c>
      <c r="B23" s="445">
        <f t="shared" ca="1" si="2"/>
        <v>914.73816905075148</v>
      </c>
      <c r="C23" s="445">
        <f t="shared" ca="1" si="3"/>
        <v>0</v>
      </c>
      <c r="D23" s="445">
        <f t="shared" ca="1" si="4"/>
        <v>4570.7237296134117</v>
      </c>
      <c r="E23" s="445">
        <f t="shared" si="5"/>
        <v>9.8272539293132422</v>
      </c>
      <c r="F23" s="445">
        <f t="shared" ca="1" si="6"/>
        <v>735.81157759834855</v>
      </c>
      <c r="G23" s="445">
        <f t="shared" si="7"/>
        <v>0</v>
      </c>
      <c r="H23" s="445">
        <f t="shared" si="8"/>
        <v>0</v>
      </c>
      <c r="I23" s="445">
        <f t="shared" si="9"/>
        <v>0</v>
      </c>
      <c r="J23" s="445">
        <f t="shared" si="10"/>
        <v>6.9146935773948554E-3</v>
      </c>
      <c r="K23" s="445">
        <f t="shared" si="11"/>
        <v>0</v>
      </c>
      <c r="L23" s="445">
        <f t="shared" ca="1" si="12"/>
        <v>0</v>
      </c>
      <c r="M23" s="445">
        <f t="shared" si="13"/>
        <v>0</v>
      </c>
      <c r="N23" s="445">
        <f t="shared" ca="1" si="14"/>
        <v>0</v>
      </c>
      <c r="O23" s="445">
        <f t="shared" si="15"/>
        <v>0</v>
      </c>
      <c r="P23" s="446">
        <f t="shared" si="16"/>
        <v>0</v>
      </c>
      <c r="Q23" s="444">
        <f t="shared" ref="Q23:Q31" ca="1" si="17">SUM(B23:P23)</f>
        <v>6231.1076448854028</v>
      </c>
    </row>
    <row r="24" spans="1:17">
      <c r="A24" s="444" t="s">
        <v>187</v>
      </c>
      <c r="B24" s="445">
        <f t="shared" ca="1" si="2"/>
        <v>52.489450907015481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52.489450907015481</v>
      </c>
    </row>
    <row r="25" spans="1:17">
      <c r="A25" s="444" t="s">
        <v>105</v>
      </c>
      <c r="B25" s="445">
        <f t="shared" ca="1" si="2"/>
        <v>16.025766990126552</v>
      </c>
      <c r="C25" s="445">
        <f t="shared" ca="1" si="3"/>
        <v>0</v>
      </c>
      <c r="D25" s="445">
        <f t="shared" si="4"/>
        <v>31.357150059270001</v>
      </c>
      <c r="E25" s="445">
        <f t="shared" si="5"/>
        <v>1.4643634574214368</v>
      </c>
      <c r="F25" s="445">
        <f t="shared" si="6"/>
        <v>185.68106451918152</v>
      </c>
      <c r="G25" s="445">
        <f t="shared" si="7"/>
        <v>0</v>
      </c>
      <c r="H25" s="445">
        <f t="shared" si="8"/>
        <v>0</v>
      </c>
      <c r="I25" s="445">
        <f t="shared" si="9"/>
        <v>0</v>
      </c>
      <c r="J25" s="445">
        <f t="shared" si="10"/>
        <v>19.534021848549383</v>
      </c>
      <c r="K25" s="445">
        <f t="shared" si="11"/>
        <v>0</v>
      </c>
      <c r="L25" s="445">
        <f t="shared" si="12"/>
        <v>0</v>
      </c>
      <c r="M25" s="445">
        <f t="shared" si="13"/>
        <v>0</v>
      </c>
      <c r="N25" s="445">
        <f t="shared" si="14"/>
        <v>0</v>
      </c>
      <c r="O25" s="445">
        <f t="shared" si="15"/>
        <v>0</v>
      </c>
      <c r="P25" s="446">
        <f t="shared" si="16"/>
        <v>0</v>
      </c>
      <c r="Q25" s="444">
        <f t="shared" ca="1" si="17"/>
        <v>254.06236687454887</v>
      </c>
    </row>
    <row r="26" spans="1:17">
      <c r="A26" s="444" t="s">
        <v>587</v>
      </c>
      <c r="B26" s="445">
        <f t="shared" ca="1" si="2"/>
        <v>2874.3238347568604</v>
      </c>
      <c r="C26" s="445">
        <f t="shared" ca="1" si="3"/>
        <v>0</v>
      </c>
      <c r="D26" s="445">
        <f t="shared" si="4"/>
        <v>35089.025506743979</v>
      </c>
      <c r="E26" s="445">
        <f t="shared" si="5"/>
        <v>1646.496956183503</v>
      </c>
      <c r="F26" s="445">
        <f t="shared" si="6"/>
        <v>286.9359039530396</v>
      </c>
      <c r="G26" s="445">
        <f t="shared" si="7"/>
        <v>0</v>
      </c>
      <c r="H26" s="445">
        <f t="shared" si="8"/>
        <v>0</v>
      </c>
      <c r="I26" s="445">
        <f t="shared" si="9"/>
        <v>0</v>
      </c>
      <c r="J26" s="445">
        <f t="shared" si="10"/>
        <v>0.10957035431441318</v>
      </c>
      <c r="K26" s="445">
        <f t="shared" si="11"/>
        <v>0</v>
      </c>
      <c r="L26" s="445">
        <f t="shared" si="12"/>
        <v>0</v>
      </c>
      <c r="M26" s="445">
        <f t="shared" si="13"/>
        <v>0</v>
      </c>
      <c r="N26" s="445">
        <f t="shared" si="14"/>
        <v>0</v>
      </c>
      <c r="O26" s="445">
        <f t="shared" si="15"/>
        <v>0</v>
      </c>
      <c r="P26" s="446">
        <f t="shared" si="16"/>
        <v>0</v>
      </c>
      <c r="Q26" s="444">
        <f t="shared" ca="1" si="17"/>
        <v>39896.891771991701</v>
      </c>
    </row>
    <row r="27" spans="1:17" s="450" customFormat="1">
      <c r="A27" s="448" t="s">
        <v>536</v>
      </c>
      <c r="B27" s="731">
        <f t="shared" ca="1" si="2"/>
        <v>12.006495910325837</v>
      </c>
      <c r="C27" s="449">
        <f t="shared" ca="1" si="3"/>
        <v>0</v>
      </c>
      <c r="D27" s="449">
        <f t="shared" si="4"/>
        <v>53.886082834920373</v>
      </c>
      <c r="E27" s="449">
        <f t="shared" si="5"/>
        <v>36.326292861222903</v>
      </c>
      <c r="F27" s="449">
        <f t="shared" si="6"/>
        <v>0</v>
      </c>
      <c r="G27" s="449">
        <f t="shared" si="7"/>
        <v>23410.686960071711</v>
      </c>
      <c r="H27" s="449">
        <f t="shared" si="8"/>
        <v>4471.5071971152502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27984.413028793431</v>
      </c>
    </row>
    <row r="28" spans="1:17" ht="16.5" customHeight="1">
      <c r="A28" s="444" t="s">
        <v>526</v>
      </c>
      <c r="B28" s="445">
        <f t="shared" ca="1" si="2"/>
        <v>0.56410506801239679</v>
      </c>
      <c r="C28" s="445">
        <f t="shared" ca="1" si="3"/>
        <v>0</v>
      </c>
      <c r="D28" s="445">
        <f t="shared" si="4"/>
        <v>0</v>
      </c>
      <c r="E28" s="445">
        <f t="shared" si="5"/>
        <v>0</v>
      </c>
      <c r="F28" s="445">
        <f t="shared" si="6"/>
        <v>0</v>
      </c>
      <c r="G28" s="445">
        <f t="shared" si="7"/>
        <v>146.78170231684777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147.34580738486017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59.956385298679315</v>
      </c>
      <c r="C32" s="445">
        <f t="shared" ca="1" si="3"/>
        <v>0</v>
      </c>
      <c r="D32" s="445">
        <f t="shared" si="4"/>
        <v>813.85958105400005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873.81596635267931</v>
      </c>
    </row>
    <row r="33" spans="1:17" s="456" customFormat="1">
      <c r="A33" s="454" t="s">
        <v>530</v>
      </c>
      <c r="B33" s="455">
        <f ca="1">SUM(B22:B32)</f>
        <v>5400.6756781974755</v>
      </c>
      <c r="C33" s="455">
        <f t="shared" ref="C33:Q33" ca="1" si="19">SUM(C22:C32)</f>
        <v>0</v>
      </c>
      <c r="D33" s="455">
        <f t="shared" ca="1" si="19"/>
        <v>50374.385928247175</v>
      </c>
      <c r="E33" s="455">
        <f t="shared" si="19"/>
        <v>2016.6012943948715</v>
      </c>
      <c r="F33" s="455">
        <f t="shared" ca="1" si="19"/>
        <v>7424.4767242353573</v>
      </c>
      <c r="G33" s="455">
        <f t="shared" si="19"/>
        <v>23557.468662388557</v>
      </c>
      <c r="H33" s="455">
        <f t="shared" si="19"/>
        <v>4471.5071971152502</v>
      </c>
      <c r="I33" s="455">
        <f t="shared" si="19"/>
        <v>0</v>
      </c>
      <c r="J33" s="455">
        <f t="shared" si="19"/>
        <v>65.139467888232417</v>
      </c>
      <c r="K33" s="455">
        <f t="shared" si="19"/>
        <v>0</v>
      </c>
      <c r="L33" s="455">
        <f t="shared" ca="1" si="19"/>
        <v>0</v>
      </c>
      <c r="M33" s="455">
        <f t="shared" si="19"/>
        <v>0</v>
      </c>
      <c r="N33" s="455">
        <f t="shared" ca="1" si="19"/>
        <v>0</v>
      </c>
      <c r="O33" s="455">
        <f t="shared" si="19"/>
        <v>0</v>
      </c>
      <c r="P33" s="455">
        <f t="shared" si="19"/>
        <v>0</v>
      </c>
      <c r="Q33" s="455">
        <f t="shared" ca="1" si="19"/>
        <v>93310.254952466916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38457.797282742358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10841.367240935879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49299.164523678235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7.3242797609733457E-2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7.3242797609733457E-2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2022-07-26T09:56:26Z</dcterms:modified>
</cp:coreProperties>
</file>