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6BBF673A-A793-4D54-836F-665854E821F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<sst xmlns="http://schemas.openxmlformats.org/spreadsheetml/2006/main" count="2372" uniqueCount="861">
  <si>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</si>
  <si>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</si>
  <si>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</si>
  <si>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</si>
  <si>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</si>
  <si>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</si>
  <si>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</si>
  <si>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</si>
  <si>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</si>
  <si>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</si>
  <si>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</si>
  <si>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</si>
  <si>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</si>
  <si>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</si>
  <si>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</si>
  <si>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</si>
  <si>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</si>
  <si>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</si>
  <si>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</si>
  <si>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</si>
  <si>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</si>
  <si>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</si>
  <si>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</si>
  <si>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</si>
  <si>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</si>
  <si>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</si>
  <si>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</si>
  <si>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</si>
  <si>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</si>
  <si>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</si>
  <si>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</si>
  <si>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</si>
  <si>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</si>
  <si>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</si>
  <si>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</si>
  <si>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</si>
  <si>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</si>
  <si>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</si>
  <si>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</si>
  <si>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</si>
  <si>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</si>
  <si>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</si>
  <si>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</si>
  <si>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</si>
  <si>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</si>
  <si>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</si>
  <si>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</si>
  <si>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</si>
  <si>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</si>
  <si>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</si>
  <si>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</si>
  <si>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</si>
  <si>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</si>
  <si>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</si>
  <si>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</si>
  <si>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</si>
  <si>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</si>
  <si>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</si>
  <si>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</si>
  <si>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</si>
  <si>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</si>
  <si>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</si>
  <si>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</si>
  <si>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</si>
  <si>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</si>
  <si>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</si>
  <si>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</si>
  <si>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</si>
  <si>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</si>
  <si>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</si>
  <si>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</si>
  <si>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</si>
  <si>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</si>
  <si>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</si>
  <si>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</si>
  <si>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</si>
  <si>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</si>
  <si>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</si>
  <si>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</si>
  <si>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</si>
  <si>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</si>
  <si>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</si>
  <si>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</si>
  <si>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</si>
  <si>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</si>
  <si>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</si>
  <si>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</si>
  <si>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</si>
  <si>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</si>
  <si>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</si>
  <si>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</si>
  <si>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</si>
  <si>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</si>
  <si>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</si>
  <si>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</si>
  <si>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</si>
  <si>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</si>
  <si>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</si>
  <si>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</si>
  <si>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</si>
  <si>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</si>
  <si>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</si>
  <si>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</si>
  <si>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</si>
  <si>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</si>
  <si>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</si>
  <si>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</si>
  <si>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</si>
  <si>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</si>
  <si>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</si>
  <si>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</si>
  <si>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</si>
  <si>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</si>
  <si>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</si>
  <si>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</si>
  <si>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</si>
  <si>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</si>
  <si>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</si>
  <si>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</si>
  <si>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</si>
  <si>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</si>
  <si>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</si>
  <si>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</si>
  <si>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</si>
  <si>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</si>
  <si>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</si>
  <si>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</si>
  <si>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</si>
  <si>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</si>
  <si>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</si>
  <si>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</si>
  <si>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</si>
  <si>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</si>
  <si>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</si>
  <si>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</si>
  <si>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</si>
  <si>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</si>
  <si>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</si>
  <si>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</si>
  <si>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</si>
  <si>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</si>
  <si>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</si>
  <si>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</si>
  <si>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</si>
  <si>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</si>
  <si>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</si>
  <si>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</si>
  <si>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</si>
  <si>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</si>
  <si>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</si>
  <si>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</si>
  <si>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</si>
  <si>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</si>
  <si>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</si>
  <si>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</si>
  <si>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</si>
  <si>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</si>
  <si>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</si>
  <si>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</si>
  <si>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</si>
  <si>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</si>
  <si>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</si>
  <si>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</si>
  <si>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</si>
  <si>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</si>
  <si>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</si>
  <si>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</si>
  <si>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</si>
  <si>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</si>
  <si>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</si>
  <si>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</si>
  <si>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</si>
  <si>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</si>
  <si>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</si>
  <si>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</si>
  <si>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</si>
  <si>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</si>
  <si>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</si>
  <si>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</si>
  <si>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</si>
  <si>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</si>
  <si>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</si>
  <si>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</si>
  <si>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</si>
  <si>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</si>
  <si>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</si>
  <si>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</si>
  <si>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</si>
  <si>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</si>
  <si>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</si>
  <si>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</si>
  <si>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</si>
  <si>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</si>
  <si>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</si>
  <si>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</si>
  <si>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</si>
  <si>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</si>
  <si>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</si>
  <si>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</si>
  <si>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</si>
  <si>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</si>
  <si>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</si>
  <si>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</si>
  <si>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</si>
  <si>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</si>
  <si>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</si>
  <si>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</si>
  <si>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</si>
  <si>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</si>
  <si>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</si>
  <si>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</si>
  <si>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</si>
  <si>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</si>
  <si>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</si>
  <si>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</si>
  <si>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</si>
  <si>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</si>
  <si>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</si>
  <si>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</si>
  <si>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</si>
  <si>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</si>
  <si>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</si>
  <si>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</si>
  <si>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</si>
  <si>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</si>
  <si>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</si>
  <si>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</si>
  <si>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</si>
  <si>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</si>
  <si>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</si>
  <si>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</si>
  <si>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</si>
  <si>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</si>
  <si>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</si>
  <si>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</si>
  <si>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</si>
  <si>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</si>
  <si>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</si>
  <si>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</si>
  <si>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</si>
  <si>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</si>
  <si>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</si>
  <si>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</si>
  <si>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</si>
  <si>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</si>
  <si>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</si>
  <si>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</si>
  <si>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</si>
  <si>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</si>
  <si>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</si>
  <si>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</si>
  <si>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</si>
  <si>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</si>
  <si>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</si>
  <si>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</si>
  <si>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</si>
  <si>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</si>
  <si>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</si>
  <si>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</si>
  <si>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</si>
  <si>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</si>
  <si>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</si>
  <si>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</si>
  <si>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</si>
  <si>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</si>
  <si>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</si>
  <si>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</si>
  <si>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</si>
  <si>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</si>
  <si>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</si>
  <si>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</si>
  <si>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</si>
  <si>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</si>
  <si>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</si>
  <si>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</si>
  <si>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</si>
  <si>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</si>
  <si>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</si>
  <si>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</si>
  <si>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</si>
  <si>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</si>
  <si>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</si>
  <si>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</si>
  <si>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</si>
  <si>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</si>
  <si>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</si>
  <si>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</si>
  <si>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</si>
  <si>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</si>
  <si>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</si>
  <si>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</si>
  <si>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</si>
  <si>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</si>
  <si>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</si>
  <si>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</si>
  <si>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</si>
  <si>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</si>
  <si>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</si>
  <si>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</si>
  <si>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</si>
  <si>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</si>
  <si>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</si>
  <si>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</si>
  <si>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</si>
  <si>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</si>
  <si>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</si>
  <si>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</si>
  <si>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</si>
  <si>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</si>
  <si>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</si>
  <si>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</si>
  <si>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</si>
  <si>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</si>
  <si>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</si>
  <si>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</si>
  <si>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</si>
  <si>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</si>
  <si>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</si>
  <si>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</si>
  <si>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</si>
  <si>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</si>
  <si>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</si>
  <si>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</si>
  <si>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</si>
  <si>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</si>
  <si>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</si>
  <si>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</si>
  <si>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</si>
  <si>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</si>
  <si>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</si>
  <si>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</si>
  <si>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</si>
  <si>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</si>
  <si>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</si>
  <si>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</si>
  <si>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</si>
  <si>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</si>
  <si>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</si>
  <si>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</si>
  <si>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</si>
  <si>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</si>
  <si>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</si>
  <si>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</si>
  <si>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</si>
  <si>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</si>
  <si>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</si>
  <si>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</si>
  <si>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</si>
  <si>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</si>
  <si>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</si>
  <si>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</si>
  <si>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</si>
  <si>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</si>
  <si>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</si>
  <si>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</si>
  <si>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</si>
  <si>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</si>
  <si>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</si>
  <si>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</si>
  <si>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</si>
  <si>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</si>
  <si>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</si>
  <si>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</si>
  <si>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</si>
  <si>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</si>
  <si>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</si>
  <si>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</si>
  <si>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</si>
  <si>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</si>
  <si>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</si>
  <si>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</si>
  <si>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</si>
  <si>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</si>
  <si>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</si>
  <si>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</si>
  <si>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</si>
  <si>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</si>
  <si>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</si>
  <si>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</si>
  <si>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</si>
  <si>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</si>
  <si>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</si>
  <si>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</si>
  <si>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</si>
  <si>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</si>
  <si>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</si>
  <si>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</si>
  <si>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</si>
  <si>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</si>
  <si>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</si>
  <si>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</si>
  <si>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</si>
  <si>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</si>
  <si>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</si>
  <si>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</si>
  <si>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</si>
  <si>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</si>
  <si>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</si>
  <si>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</si>
  <si>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</si>
  <si>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</si>
  <si>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</si>
  <si>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</si>
  <si>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</si>
  <si>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</si>
  <si>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</si>
  <si>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</si>
  <si>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</si>
  <si>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</si>
  <si>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</si>
  <si>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</si>
  <si>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</si>
  <si>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</si>
  <si>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</si>
  <si>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</si>
  <si>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</si>
  <si>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</si>
  <si>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</si>
  <si>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</si>
  <si>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</si>
  <si>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</si>
  <si>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</si>
  <si>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</si>
  <si>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</si>
  <si>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</si>
  <si>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</si>
  <si>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</si>
  <si>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</si>
  <si>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</si>
  <si>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</si>
  <si>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</si>
  <si>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</si>
  <si>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</si>
  <si>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</si>
  <si>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</si>
  <si>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</si>
  <si>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</si>
  <si>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</si>
  <si>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</si>
  <si>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</si>
  <si>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</si>
  <si>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</si>
  <si>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</si>
  <si>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</si>
  <si>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</si>
  <si>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</si>
  <si>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</si>
  <si>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</si>
  <si>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</si>
  <si>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</si>
  <si>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</si>
  <si>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</si>
  <si>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</si>
  <si>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</si>
  <si>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</si>
  <si>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</si>
  <si>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</si>
  <si>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</si>
  <si>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</si>
  <si>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</si>
  <si>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</si>
  <si>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</si>
  <si>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</si>
  <si>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</si>
  <si>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</si>
  <si>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</si>
  <si>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</si>
  <si>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</si>
  <si>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</si>
  <si>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</si>
  <si>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</si>
  <si>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</si>
  <si>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</si>
  <si>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</si>
  <si>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</si>
  <si>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</si>
  <si>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</si>
  <si>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</si>
  <si>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</si>
  <si>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</si>
  <si>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</si>
  <si>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</si>
  <si>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</si>
  <si>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</si>
  <si>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</si>
  <si>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</si>
  <si>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</si>
  <si>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</si>
  <si>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</si>
  <si>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</si>
  <si>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</si>
  <si>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</si>
  <si>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</si>
  <si>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</si>
  <si>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</si>
  <si>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</si>
  <si>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</si>
  <si>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</si>
  <si>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</si>
  <si>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</si>
  <si>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</si>
  <si>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</si>
  <si>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</si>
  <si>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</si>
  <si>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</si>
  <si>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</si>
  <si>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</si>
  <si>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</si>
  <si>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</si>
  <si>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</si>
  <si>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</si>
  <si>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</si>
  <si>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</si>
  <si>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</si>
  <si>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</si>
  <si>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</si>
  <si>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</si>
  <si>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</si>
  <si>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</si>
  <si>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</si>
  <si>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</si>
  <si>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</si>
  <si>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</si>
  <si>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</si>
  <si>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</si>
  <si>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</si>
  <si>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</si>
  <si>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</si>
  <si>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</si>
  <si>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</si>
  <si>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</si>
  <si>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</si>
  <si>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</si>
  <si>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</si>
  <si>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</si>
  <si>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</si>
  <si>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</si>
  <si>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</si>
  <si>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</si>
  <si>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</si>
  <si>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</si>
  <si>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</si>
  <si>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</si>
  <si>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</si>
  <si>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</si>
  <si>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</si>
  <si>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</si>
  <si>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</si>
  <si>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</si>
  <si>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</si>
  <si>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</si>
  <si>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</si>
  <si>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</si>
  <si>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</si>
  <si>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</si>
  <si>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</si>
  <si>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</si>
  <si>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</si>
  <si>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</si>
  <si>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</si>
  <si>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</si>
  <si>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</si>
  <si>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</si>
  <si>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</si>
  <si>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</si>
  <si>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</si>
  <si>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</si>
  <si>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</si>
  <si>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</si>
  <si>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</si>
  <si>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</si>
  <si>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</si>
  <si>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</si>
  <si>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</si>
  <si>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</si>
  <si>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</si>
  <si>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</si>
  <si>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</si>
  <si>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</si>
  <si>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</si>
  <si>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</si>
  <si>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</si>
  <si>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</si>
  <si>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</si>
  <si>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</si>
  <si>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</si>
  <si>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</si>
  <si>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</si>
  <si>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</si>
  <si>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</si>
  <si>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</si>
  <si>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</si>
  <si>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</si>
  <si>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</si>
  <si>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</si>
  <si>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</si>
  <si>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</si>
  <si>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</si>
  <si>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</si>
  <si>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</si>
  <si>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</si>
  <si>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</si>
  <si>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</si>
  <si>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</si>
  <si>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</si>
  <si>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</si>
  <si>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</si>
  <si>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</si>
  <si>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</si>
  <si>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</si>
  <si>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</si>
  <si>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</si>
  <si>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</si>
  <si>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</si>
  <si>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</si>
  <si>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</si>
  <si>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</si>
  <si>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</si>
  <si>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</si>
  <si>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</si>
  <si>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</si>
  <si>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</si>
  <si>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</si>
  <si>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</si>
  <si>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</si>
  <si>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</si>
  <si>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</si>
  <si>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</si>
  <si>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</si>
  <si>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</si>
  <si>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</si>
  <si>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</si>
  <si>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</si>
  <si>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</si>
  <si>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</si>
  <si>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</si>
  <si>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</si>
  <si>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</si>
  <si>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</si>
  <si>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</si>
  <si>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</si>
  <si>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</si>
  <si>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</si>
  <si>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</si>
  <si>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</si>
  <si>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</si>
  <si>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</si>
  <si>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</si>
  <si>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</si>
  <si>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</si>
  <si>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</si>
  <si>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</si>
  <si>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</si>
  <si>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</si>
  <si>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</si>
  <si>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</si>
  <si>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</si>
  <si>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</si>
  <si>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</si>
  <si>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</si>
  <si>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</si>
  <si>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</si>
  <si>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</si>
  <si>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</si>
  <si>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</si>
  <si>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</si>
  <si>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</si>
  <si>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</si>
  <si>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</si>
  <si>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</si>
  <si>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</si>
  <si>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</si>
  <si>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</si>
  <si>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</si>
  <si>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</si>
  <si>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</si>
  <si>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</si>
  <si>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</si>
  <si>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</si>
  <si>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</si>
  <si>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</si>
  <si>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</si>
  <si>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</si>
  <si>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</si>
  <si>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</si>
  <si>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</si>
  <si>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</si>
  <si>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</si>
  <si>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</si>
  <si>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</si>
  <si>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</si>
  <si>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</si>
  <si>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</si>
  <si>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</si>
  <si>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</si>
  <si>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</si>
  <si>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</si>
  <si>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</si>
  <si>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</si>
  <si>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</si>
  <si>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</si>
  <si>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</si>
  <si>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</si>
  <si>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</si>
  <si>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</si>
  <si>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</si>
  <si>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</si>
  <si>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</si>
  <si>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</si>
  <si>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</si>
  <si>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</si>
  <si>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</si>
  <si>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</si>
  <si>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</si>
  <si>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</si>
  <si>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</si>
  <si>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</si>
  <si>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</si>
  <si>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</si>
  <si>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</si>
  <si>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</si>
  <si>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</si>
  <si>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</si>
  <si>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</si>
  <si>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</si>
  <si>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</si>
  <si>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</si>
  <si>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</si>
  <si>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</si>
  <si>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</si>
  <si>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</si>
  <si>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</si>
  <si>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</si>
  <si>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</si>
  <si>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</si>
  <si>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</si>
  <si>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</si>
  <si>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</si>
  <si>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</si>
  <si>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</si>
  <si>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</si>
  <si>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</si>
  <si>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</si>
  <si>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</si>
  <si>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</si>
  <si>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</si>
  <si>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</si>
  <si>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</si>
  <si>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</si>
  <si>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</si>
  <si>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</si>
  <si>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</si>
  <si>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</si>
  <si>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</si>
  <si>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</si>
  <si>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</si>
  <si>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</si>
  <si>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</si>
  <si>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</si>
  <si>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</si>
  <si>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</si>
  <si>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</si>
  <si>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</si>
  <si>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</si>
  <si>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</si>
  <si>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</si>
  <si>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</si>
  <si>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</si>
  <si>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</si>
  <si>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</si>
  <si>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</si>
  <si>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</si>
  <si>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</si>
  <si>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</si>
  <si>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</si>
  <si>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</si>
  <si>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</si>
  <si>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</si>
  <si>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</si>
  <si>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</si>
  <si>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</si>
  <si>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</si>
  <si>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</si>
  <si>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</si>
  <si>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</si>
  <si>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</si>
  <si>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</si>
  <si>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</si>
  <si>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</si>
  <si>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</si>
  <si>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</si>
  <si>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</si>
  <si>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</si>
  <si>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</si>
  <si>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</si>
  <si>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</si>
  <si>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</si>
  <si>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</si>
  <si>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</si>
  <si>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</si>
  <si>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</si>
  <si>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</si>
  <si>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</si>
  <si>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</si>
  <si>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</si>
  <si>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</si>
  <si>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</si>
  <si>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</si>
  <si>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</si>
  <si>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</si>
  <si>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</si>
  <si>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</si>
  <si>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</si>
  <si>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</si>
  <si>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</si>
  <si>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</si>
  <si>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</si>
  <si>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</si>
  <si>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</si>
  <si>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</si>
  <si>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</si>
  <si>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</si>
  <si>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</si>
  <si>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</si>
  <si>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</si>
  <si>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</si>
  <si>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</si>
  <si>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</si>
  <si>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</si>
  <si>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</si>
  <si>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</si>
  <si>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</si>
  <si>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</si>
  <si>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</si>
  <si>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</si>
  <si>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</si>
  <si>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</si>
  <si>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</si>
  <si>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</si>
  <si>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</si>
  <si>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</si>
  <si>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</si>
  <si>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</si>
  <si>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</si>
  <si>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</si>
  <si>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</si>
  <si>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</si>
  <si>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</si>
  <si>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</si>
  <si>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</si>
  <si>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</si>
  <si>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</si>
  <si>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</si>
  <si>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</si>
  <si>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</si>
  <si>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</si>
  <si>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</si>
  <si>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42025</t>
  </si>
  <si>
    <t>WETTEREN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</si>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</sst>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D15F45B4-D992-4867-B8BB-107F39A0332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211615.54789146472</c:v>
                </c:pt>
                <c:pt idx="1">
                  <c:v>91225.254842305032</c:v>
                </c:pt>
                <c:pt idx="2">
                  <c:v>1820.5260000000001</c:v>
                </c:pt>
                <c:pt idx="3">
                  <c:v>6288.8183298541098</c:v>
                </c:pt>
                <c:pt idx="4">
                  <c:v>206580.12357191273</c:v>
                </c:pt>
                <c:pt idx="5">
                  <c:v>227440.91124227946</c:v>
                </c:pt>
                <c:pt idx="6">
                  <c:v>1518.3808054876472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211615.54789146472</c:v>
                </c:pt>
                <c:pt idx="1">
                  <c:v>91225.254842305032</c:v>
                </c:pt>
                <c:pt idx="2">
                  <c:v>1820.5260000000001</c:v>
                </c:pt>
                <c:pt idx="3">
                  <c:v>6288.8183298541098</c:v>
                </c:pt>
                <c:pt idx="4">
                  <c:v>206580.12357191273</c:v>
                </c:pt>
                <c:pt idx="5">
                  <c:v>227440.91124227946</c:v>
                </c:pt>
                <c:pt idx="6">
                  <c:v>1518.3808054876472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43156.555148120089</c:v>
                </c:pt>
                <c:pt idx="1">
                  <c:v>18815.923250189924</c:v>
                </c:pt>
                <c:pt idx="2">
                  <c:v>382.34836126800138</c:v>
                </c:pt>
                <c:pt idx="3">
                  <c:v>1600.8604380242805</c:v>
                </c:pt>
                <c:pt idx="4">
                  <c:v>44597.977642764206</c:v>
                </c:pt>
                <c:pt idx="5">
                  <c:v>56542.230498818077</c:v>
                </c:pt>
                <c:pt idx="6">
                  <c:v>383.33744175522753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43156.555148120089</c:v>
                </c:pt>
                <c:pt idx="1">
                  <c:v>18815.923250189924</c:v>
                </c:pt>
                <c:pt idx="2">
                  <c:v>382.34836126800138</c:v>
                </c:pt>
                <c:pt idx="3">
                  <c:v>1600.8604380242805</c:v>
                </c:pt>
                <c:pt idx="4">
                  <c:v>44597.977642764206</c:v>
                </c:pt>
                <c:pt idx="5">
                  <c:v>56542.230498818077</c:v>
                </c:pt>
                <c:pt idx="6">
                  <c:v>383.33744175522753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42025</v>
      </c>
      <c r="B6" s="382"/>
      <c r="C6" s="383"/>
    </row>
    <row r="7" spans="1:7" s="380" customFormat="1" ht="15.75" customHeight="1">
      <c r="A7" s="384" t="str">
        <f>txtMunicipality</f>
        <v>WETTEREN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0.21002081885565016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0.21002081885565016</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11293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1727.9</v>
      </c>
      <c r="C14" s="324"/>
      <c r="D14" s="324"/>
      <c r="E14" s="324"/>
      <c r="F14" s="324"/>
    </row>
    <row r="15" spans="1:6">
      <c r="A15" s="1264" t="s">
        <v>177</v>
      </c>
      <c r="B15" s="1265">
        <v>12</v>
      </c>
      <c r="C15" s="324"/>
      <c r="D15" s="324"/>
      <c r="E15" s="324"/>
      <c r="F15" s="324"/>
    </row>
    <row r="16" spans="1:6">
      <c r="A16" s="1264" t="s">
        <v>6</v>
      </c>
      <c r="B16" s="1265">
        <v>513</v>
      </c>
      <c r="C16" s="324"/>
      <c r="D16" s="324"/>
      <c r="E16" s="324"/>
      <c r="F16" s="324"/>
    </row>
    <row r="17" spans="1:6">
      <c r="A17" s="1264" t="s">
        <v>7</v>
      </c>
      <c r="B17" s="1265">
        <v>532</v>
      </c>
      <c r="C17" s="324"/>
      <c r="D17" s="324"/>
      <c r="E17" s="324"/>
      <c r="F17" s="324"/>
    </row>
    <row r="18" spans="1:6">
      <c r="A18" s="1264" t="s">
        <v>8</v>
      </c>
      <c r="B18" s="1265">
        <v>739</v>
      </c>
      <c r="C18" s="324"/>
      <c r="D18" s="324"/>
      <c r="E18" s="324"/>
      <c r="F18" s="324"/>
    </row>
    <row r="19" spans="1:6">
      <c r="A19" s="1264" t="s">
        <v>9</v>
      </c>
      <c r="B19" s="1265">
        <v>597</v>
      </c>
      <c r="C19" s="324"/>
      <c r="D19" s="324"/>
      <c r="E19" s="324"/>
      <c r="F19" s="324"/>
    </row>
    <row r="20" spans="1:6">
      <c r="A20" s="1264" t="s">
        <v>10</v>
      </c>
      <c r="B20" s="1265">
        <v>658</v>
      </c>
      <c r="C20" s="324"/>
      <c r="D20" s="324"/>
      <c r="E20" s="324"/>
      <c r="F20" s="324"/>
    </row>
    <row r="21" spans="1:6">
      <c r="A21" s="1264" t="s">
        <v>11</v>
      </c>
      <c r="B21" s="1265">
        <v>0</v>
      </c>
      <c r="C21" s="324"/>
      <c r="D21" s="324"/>
      <c r="E21" s="324"/>
      <c r="F21" s="324"/>
    </row>
    <row r="22" spans="1:6">
      <c r="A22" s="1264" t="s">
        <v>12</v>
      </c>
      <c r="B22" s="1265">
        <v>1530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145</v>
      </c>
      <c r="C26" s="324"/>
      <c r="D26" s="324"/>
      <c r="E26" s="324"/>
      <c r="F26" s="324"/>
    </row>
    <row r="27" spans="1:6">
      <c r="A27" s="1264" t="s">
        <v>17</v>
      </c>
      <c r="B27" s="1265">
        <v>4</v>
      </c>
      <c r="C27" s="324"/>
      <c r="D27" s="324"/>
      <c r="E27" s="324"/>
      <c r="F27" s="324"/>
    </row>
    <row r="28" spans="1:6">
      <c r="A28" s="1264" t="s">
        <v>18</v>
      </c>
      <c r="B28" s="1266">
        <v>25</v>
      </c>
      <c r="C28" s="324"/>
      <c r="D28" s="324"/>
      <c r="E28" s="324"/>
      <c r="F28" s="324"/>
    </row>
    <row r="29" spans="1:6">
      <c r="A29" s="1264" t="s">
        <v>657</v>
      </c>
      <c r="B29" s="1266">
        <v>94</v>
      </c>
      <c r="C29" s="324"/>
      <c r="D29" s="324"/>
      <c r="E29" s="324"/>
      <c r="F29" s="324"/>
    </row>
    <row r="30" spans="1:6">
      <c r="A30" s="1259" t="s">
        <v>658</v>
      </c>
      <c r="B30" s="1267">
        <v>25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109350.20335429101</v>
      </c>
      <c r="E38" s="1265">
        <v>3</v>
      </c>
      <c r="F38" s="1265">
        <v>75946.0677990595</v>
      </c>
    </row>
    <row r="39" spans="1:6">
      <c r="A39" s="1264" t="s">
        <v>29</v>
      </c>
      <c r="B39" s="1264" t="s">
        <v>30</v>
      </c>
      <c r="C39" s="1265">
        <v>7920</v>
      </c>
      <c r="D39" s="1265">
        <v>109296092.62583899</v>
      </c>
      <c r="E39" s="1265">
        <v>11163</v>
      </c>
      <c r="F39" s="1265">
        <v>41217328.716573402</v>
      </c>
    </row>
    <row r="40" spans="1:6">
      <c r="A40" s="1264" t="s">
        <v>29</v>
      </c>
      <c r="B40" s="1264" t="s">
        <v>28</v>
      </c>
      <c r="C40" s="1265">
        <v>0</v>
      </c>
      <c r="D40" s="1265">
        <v>0</v>
      </c>
      <c r="E40" s="1265">
        <v>0</v>
      </c>
      <c r="F40" s="1265">
        <v>0</v>
      </c>
    </row>
    <row r="41" spans="1:6">
      <c r="A41" s="1264" t="s">
        <v>31</v>
      </c>
      <c r="B41" s="1264" t="s">
        <v>32</v>
      </c>
      <c r="C41" s="1265">
        <v>155</v>
      </c>
      <c r="D41" s="1265">
        <v>9640245.0400586203</v>
      </c>
      <c r="E41" s="1265">
        <v>276</v>
      </c>
      <c r="F41" s="1265">
        <v>53649840.722291999</v>
      </c>
    </row>
    <row r="42" spans="1:6">
      <c r="A42" s="1264" t="s">
        <v>31</v>
      </c>
      <c r="B42" s="1264" t="s">
        <v>33</v>
      </c>
      <c r="C42" s="1265">
        <v>3</v>
      </c>
      <c r="D42" s="1265">
        <v>52384193.2983227</v>
      </c>
      <c r="E42" s="1265">
        <v>5</v>
      </c>
      <c r="F42" s="1265">
        <v>33005272.027243</v>
      </c>
    </row>
    <row r="43" spans="1:6">
      <c r="A43" s="1264" t="s">
        <v>31</v>
      </c>
      <c r="B43" s="1264" t="s">
        <v>34</v>
      </c>
      <c r="C43" s="1265">
        <v>0</v>
      </c>
      <c r="D43" s="1265">
        <v>0</v>
      </c>
      <c r="E43" s="1265">
        <v>0</v>
      </c>
      <c r="F43" s="1265">
        <v>0</v>
      </c>
    </row>
    <row r="44" spans="1:6">
      <c r="A44" s="1264" t="s">
        <v>31</v>
      </c>
      <c r="B44" s="1264" t="s">
        <v>35</v>
      </c>
      <c r="C44" s="1265">
        <v>23</v>
      </c>
      <c r="D44" s="1265">
        <v>1491252.72150277</v>
      </c>
      <c r="E44" s="1265">
        <v>49</v>
      </c>
      <c r="F44" s="1265">
        <v>3582311.90479693</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8</v>
      </c>
      <c r="D47" s="1265">
        <v>437754.01432032097</v>
      </c>
      <c r="E47" s="1265">
        <v>13</v>
      </c>
      <c r="F47" s="1265">
        <v>2513636.6242049099</v>
      </c>
    </row>
    <row r="48" spans="1:6">
      <c r="A48" s="1264" t="s">
        <v>31</v>
      </c>
      <c r="B48" s="1264" t="s">
        <v>28</v>
      </c>
      <c r="C48" s="1265">
        <v>2</v>
      </c>
      <c r="D48" s="1265">
        <v>281896.99064458098</v>
      </c>
      <c r="E48" s="1265">
        <v>2</v>
      </c>
      <c r="F48" s="1265">
        <v>205664.55850759</v>
      </c>
    </row>
    <row r="49" spans="1:6">
      <c r="A49" s="1264" t="s">
        <v>31</v>
      </c>
      <c r="B49" s="1264" t="s">
        <v>39</v>
      </c>
      <c r="C49" s="1265">
        <v>7</v>
      </c>
      <c r="D49" s="1265">
        <v>1383618.1478041799</v>
      </c>
      <c r="E49" s="1265">
        <v>11</v>
      </c>
      <c r="F49" s="1265">
        <v>1323798.7138121801</v>
      </c>
    </row>
    <row r="50" spans="1:6">
      <c r="A50" s="1264" t="s">
        <v>31</v>
      </c>
      <c r="B50" s="1264" t="s">
        <v>40</v>
      </c>
      <c r="C50" s="1265">
        <v>22</v>
      </c>
      <c r="D50" s="1265">
        <v>4312134.2964136498</v>
      </c>
      <c r="E50" s="1265">
        <v>28</v>
      </c>
      <c r="F50" s="1265">
        <v>5076529.4962766897</v>
      </c>
    </row>
    <row r="51" spans="1:6">
      <c r="A51" s="1264" t="s">
        <v>41</v>
      </c>
      <c r="B51" s="1264" t="s">
        <v>42</v>
      </c>
      <c r="C51" s="1265">
        <v>25</v>
      </c>
      <c r="D51" s="1265">
        <v>529295.74001374398</v>
      </c>
      <c r="E51" s="1265">
        <v>125</v>
      </c>
      <c r="F51" s="1265">
        <v>1302874.9969067101</v>
      </c>
    </row>
    <row r="52" spans="1:6">
      <c r="A52" s="1264" t="s">
        <v>41</v>
      </c>
      <c r="B52" s="1264" t="s">
        <v>28</v>
      </c>
      <c r="C52" s="1265">
        <v>0</v>
      </c>
      <c r="D52" s="1265">
        <v>0</v>
      </c>
      <c r="E52" s="1265">
        <v>0</v>
      </c>
      <c r="F52" s="1265">
        <v>0</v>
      </c>
    </row>
    <row r="53" spans="1:6">
      <c r="A53" s="1264" t="s">
        <v>43</v>
      </c>
      <c r="B53" s="1264" t="s">
        <v>44</v>
      </c>
      <c r="C53" s="1265">
        <v>188</v>
      </c>
      <c r="D53" s="1265">
        <v>4487391.4113315297</v>
      </c>
      <c r="E53" s="1265">
        <v>440</v>
      </c>
      <c r="F53" s="1265">
        <v>1384582.4258735999</v>
      </c>
    </row>
    <row r="54" spans="1:6">
      <c r="A54" s="1264" t="s">
        <v>45</v>
      </c>
      <c r="B54" s="1264" t="s">
        <v>46</v>
      </c>
      <c r="C54" s="1265">
        <v>0</v>
      </c>
      <c r="D54" s="1265">
        <v>0</v>
      </c>
      <c r="E54" s="1265">
        <v>1</v>
      </c>
      <c r="F54" s="1265">
        <v>1820526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121</v>
      </c>
      <c r="D57" s="1265">
        <v>13009333.7417184</v>
      </c>
      <c r="E57" s="1265">
        <v>239</v>
      </c>
      <c r="F57" s="1265">
        <v>5670223.7454856699</v>
      </c>
    </row>
    <row r="58" spans="1:6">
      <c r="A58" s="1264" t="s">
        <v>48</v>
      </c>
      <c r="B58" s="1264" t="s">
        <v>50</v>
      </c>
      <c r="C58" s="1265">
        <v>55</v>
      </c>
      <c r="D58" s="1265">
        <v>5031292.3771886202</v>
      </c>
      <c r="E58" s="1265">
        <v>66</v>
      </c>
      <c r="F58" s="1265">
        <v>3138269.5868472601</v>
      </c>
    </row>
    <row r="59" spans="1:6">
      <c r="A59" s="1264" t="s">
        <v>48</v>
      </c>
      <c r="B59" s="1264" t="s">
        <v>51</v>
      </c>
      <c r="C59" s="1265">
        <v>230</v>
      </c>
      <c r="D59" s="1265">
        <v>9864478.17887922</v>
      </c>
      <c r="E59" s="1265">
        <v>435</v>
      </c>
      <c r="F59" s="1265">
        <v>14078554.518416701</v>
      </c>
    </row>
    <row r="60" spans="1:6">
      <c r="A60" s="1264" t="s">
        <v>48</v>
      </c>
      <c r="B60" s="1264" t="s">
        <v>52</v>
      </c>
      <c r="C60" s="1265">
        <v>121</v>
      </c>
      <c r="D60" s="1265">
        <v>7881129.3326500701</v>
      </c>
      <c r="E60" s="1265">
        <v>135</v>
      </c>
      <c r="F60" s="1265">
        <v>3150446.9960611798</v>
      </c>
    </row>
    <row r="61" spans="1:6">
      <c r="A61" s="1264" t="s">
        <v>48</v>
      </c>
      <c r="B61" s="1264" t="s">
        <v>53</v>
      </c>
      <c r="C61" s="1265">
        <v>206</v>
      </c>
      <c r="D61" s="1265">
        <v>7701111.2897997499</v>
      </c>
      <c r="E61" s="1265">
        <v>473</v>
      </c>
      <c r="F61" s="1265">
        <v>8067443.7101379102</v>
      </c>
    </row>
    <row r="62" spans="1:6">
      <c r="A62" s="1264" t="s">
        <v>48</v>
      </c>
      <c r="B62" s="1264" t="s">
        <v>54</v>
      </c>
      <c r="C62" s="1265">
        <v>18</v>
      </c>
      <c r="D62" s="1265">
        <v>6453474.5025775898</v>
      </c>
      <c r="E62" s="1265">
        <v>26</v>
      </c>
      <c r="F62" s="1265">
        <v>1742979.2033855701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56979.103886233199</v>
      </c>
      <c r="E65" s="1265">
        <v>0</v>
      </c>
      <c r="F65" s="1265">
        <v>0</v>
      </c>
    </row>
    <row r="66" spans="1:6">
      <c r="A66" s="1264" t="s">
        <v>55</v>
      </c>
      <c r="B66" s="1264" t="s">
        <v>57</v>
      </c>
      <c r="C66" s="1265">
        <v>0</v>
      </c>
      <c r="D66" s="1265">
        <v>0</v>
      </c>
      <c r="E66" s="1265">
        <v>16</v>
      </c>
      <c r="F66" s="1265">
        <v>349895.88832811703</v>
      </c>
    </row>
    <row r="67" spans="1:6">
      <c r="A67" s="1264" t="s">
        <v>55</v>
      </c>
      <c r="B67" s="1264" t="s">
        <v>58</v>
      </c>
      <c r="C67" s="1265">
        <v>0</v>
      </c>
      <c r="D67" s="1265">
        <v>0</v>
      </c>
      <c r="E67" s="1265">
        <v>0</v>
      </c>
      <c r="F67" s="1265">
        <v>0</v>
      </c>
    </row>
    <row r="68" spans="1:6">
      <c r="A68" s="1259" t="s">
        <v>55</v>
      </c>
      <c r="B68" s="1259" t="s">
        <v>59</v>
      </c>
      <c r="C68" s="1267">
        <v>9</v>
      </c>
      <c r="D68" s="1267">
        <v>284388.61875251698</v>
      </c>
      <c r="E68" s="1267">
        <v>17</v>
      </c>
      <c r="F68" s="1267">
        <v>728800.17886159697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80762925</v>
      </c>
      <c r="E73" s="443"/>
      <c r="F73" s="324"/>
    </row>
    <row r="74" spans="1:6">
      <c r="A74" s="1264" t="s">
        <v>63</v>
      </c>
      <c r="B74" s="1264" t="s">
        <v>608</v>
      </c>
      <c r="C74" s="1277" t="s">
        <v>610</v>
      </c>
      <c r="D74" s="1265">
        <v>6012477.1022789786</v>
      </c>
      <c r="E74" s="443"/>
      <c r="F74" s="324"/>
    </row>
    <row r="75" spans="1:6">
      <c r="A75" s="1264" t="s">
        <v>64</v>
      </c>
      <c r="B75" s="1264" t="s">
        <v>607</v>
      </c>
      <c r="C75" s="1277" t="s">
        <v>611</v>
      </c>
      <c r="D75" s="1265">
        <v>22496598</v>
      </c>
      <c r="E75" s="443"/>
      <c r="F75" s="324"/>
    </row>
    <row r="76" spans="1:6">
      <c r="A76" s="1264" t="s">
        <v>64</v>
      </c>
      <c r="B76" s="1264" t="s">
        <v>608</v>
      </c>
      <c r="C76" s="1277" t="s">
        <v>612</v>
      </c>
      <c r="D76" s="1265">
        <v>1302685.102278979</v>
      </c>
      <c r="E76" s="443"/>
      <c r="F76" s="324"/>
    </row>
    <row r="77" spans="1:6">
      <c r="A77" s="1264" t="s">
        <v>65</v>
      </c>
      <c r="B77" s="1264" t="s">
        <v>607</v>
      </c>
      <c r="C77" s="1277" t="s">
        <v>613</v>
      </c>
      <c r="D77" s="1265">
        <v>135071589</v>
      </c>
      <c r="E77" s="443"/>
      <c r="F77" s="324"/>
    </row>
    <row r="78" spans="1:6">
      <c r="A78" s="1259" t="s">
        <v>65</v>
      </c>
      <c r="B78" s="1259" t="s">
        <v>608</v>
      </c>
      <c r="C78" s="1259" t="s">
        <v>614</v>
      </c>
      <c r="D78" s="1267">
        <v>17092257</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420519.795442042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5419.0104861496757</v>
      </c>
      <c r="C91" s="324"/>
      <c r="D91" s="324"/>
      <c r="E91" s="324"/>
      <c r="F91" s="324"/>
    </row>
    <row r="92" spans="1:6">
      <c r="A92" s="1259" t="s">
        <v>68</v>
      </c>
      <c r="B92" s="1260">
        <v>3858.9227022144728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4298</v>
      </c>
      <c r="C97" s="324"/>
      <c r="D97" s="324"/>
      <c r="E97" s="324"/>
      <c r="F97" s="324"/>
    </row>
    <row r="98" spans="1:6">
      <c r="A98" s="1264" t="s">
        <v>71</v>
      </c>
      <c r="B98" s="1265">
        <v>2</v>
      </c>
      <c r="C98" s="324"/>
      <c r="D98" s="324"/>
      <c r="E98" s="324"/>
      <c r="F98" s="324"/>
    </row>
    <row r="99" spans="1:6">
      <c r="A99" s="1264" t="s">
        <v>72</v>
      </c>
      <c r="B99" s="1265">
        <v>96</v>
      </c>
      <c r="C99" s="324"/>
      <c r="D99" s="324"/>
      <c r="E99" s="324"/>
      <c r="F99" s="324"/>
    </row>
    <row r="100" spans="1:6">
      <c r="A100" s="1264" t="s">
        <v>73</v>
      </c>
      <c r="B100" s="1265">
        <v>1348</v>
      </c>
      <c r="C100" s="324"/>
      <c r="D100" s="324"/>
      <c r="E100" s="324"/>
      <c r="F100" s="324"/>
    </row>
    <row r="101" spans="1:6">
      <c r="A101" s="1264" t="s">
        <v>74</v>
      </c>
      <c r="B101" s="1265">
        <v>87</v>
      </c>
      <c r="C101" s="324"/>
      <c r="D101" s="324"/>
      <c r="E101" s="324"/>
      <c r="F101" s="324"/>
    </row>
    <row r="102" spans="1:6">
      <c r="A102" s="1264" t="s">
        <v>75</v>
      </c>
      <c r="B102" s="1265">
        <v>169</v>
      </c>
      <c r="C102" s="324"/>
      <c r="D102" s="324"/>
      <c r="E102" s="324"/>
      <c r="F102" s="324"/>
    </row>
    <row r="103" spans="1:6">
      <c r="A103" s="1264" t="s">
        <v>76</v>
      </c>
      <c r="B103" s="1265">
        <v>485</v>
      </c>
      <c r="C103" s="324"/>
      <c r="D103" s="324"/>
      <c r="E103" s="324"/>
      <c r="F103" s="324"/>
    </row>
    <row r="104" spans="1:6">
      <c r="A104" s="1264" t="s">
        <v>77</v>
      </c>
      <c r="B104" s="1265">
        <v>2881</v>
      </c>
      <c r="C104" s="324"/>
      <c r="D104" s="324"/>
      <c r="E104" s="324"/>
      <c r="F104" s="324"/>
    </row>
    <row r="105" spans="1:6">
      <c r="A105" s="1259" t="s">
        <v>78</v>
      </c>
      <c r="B105" s="1267">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33</v>
      </c>
      <c r="C123" s="1265">
        <v>62</v>
      </c>
      <c r="D123" s="324"/>
      <c r="E123" s="324"/>
      <c r="F123" s="324"/>
    </row>
    <row r="124" spans="1:6">
      <c r="A124" s="1264" t="s">
        <v>88</v>
      </c>
      <c r="B124" s="1265">
        <v>1</v>
      </c>
      <c r="C124" s="1265">
        <v>4</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195</v>
      </c>
      <c r="C129" s="324"/>
      <c r="D129" s="324"/>
      <c r="E129" s="324"/>
      <c r="F129" s="324"/>
    </row>
    <row r="130" spans="1:6">
      <c r="A130" s="1264" t="s">
        <v>284</v>
      </c>
      <c r="B130" s="1265">
        <v>7</v>
      </c>
      <c r="C130" s="324"/>
      <c r="D130" s="324"/>
      <c r="E130" s="324"/>
      <c r="F130" s="324"/>
    </row>
    <row r="131" spans="1:6">
      <c r="A131" s="1264" t="s">
        <v>285</v>
      </c>
      <c r="B131" s="1265">
        <v>1</v>
      </c>
      <c r="C131" s="324"/>
      <c r="D131" s="324"/>
      <c r="E131" s="324"/>
      <c r="F131" s="324"/>
    </row>
    <row r="132" spans="1:6">
      <c r="A132" s="1259" t="s">
        <v>286</v>
      </c>
      <c r="B132" s="1260">
        <v>30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186755.57017143077</v>
      </c>
      <c r="C3" s="43" t="s">
        <v>163</v>
      </c>
      <c r="D3" s="43"/>
      <c r="E3" s="153"/>
      <c r="F3" s="43"/>
      <c r="G3" s="43"/>
      <c r="H3" s="43"/>
      <c r="I3" s="43"/>
      <c r="J3" s="43"/>
      <c r="K3" s="96"/>
    </row>
    <row r="4" spans="1:11">
      <c r="A4" s="350" t="s">
        <v>164</v>
      </c>
      <c r="B4" s="49">
        <f>IF(ISERROR('SEAP template'!B78+'SEAP template'!C78),0,'SEAP template'!B78+'SEAP template'!C78)</f>
        <v>9277.933188364148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0.21002081885565016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1820.5260000000001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1820.5260000000001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0.21002081885565016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382.34836126800138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41217.3287165734</v>
      </c>
      <c r="C5" s="17">
        <f>IF(ISERROR('Eigen informatie GS &amp; warmtenet'!B59),0,'Eigen informatie GS &amp; warmtenet'!B59)</f>
        <v>0</v>
      </c>
      <c r="D5" s="30">
        <f>(SUM(HH_hh_gas_kWh,HH_rest_gas_kWh)/1000)*0.903</f>
        <v>98694.371641132617</v>
      </c>
      <c r="E5" s="17">
        <f>B32*B41</f>
        <v>2896.8821027454924</v>
      </c>
      <c r="F5" s="17">
        <f>B36*B45</f>
        <v>47473.182463348487</v>
      </c>
      <c r="G5" s="18"/>
      <c r="H5" s="17"/>
      <c r="I5" s="17"/>
      <c r="J5" s="17">
        <f>B35*B44+C35*C44</f>
        <v>262.02817454311901</v>
      </c>
      <c r="K5" s="17"/>
      <c r="L5" s="17"/>
      <c r="M5" s="17"/>
      <c r="N5" s="17">
        <f>B34*B43+C34*C43</f>
        <v>14460.757816020072</v>
      </c>
      <c r="O5" s="17">
        <f>B52*B53*B54</f>
        <v>517.8130952600153</v>
      </c>
      <c r="P5" s="17">
        <f>B60*B61*B62/1000-B60*B61*B62/1000/B63</f>
        <v>674.17339569184151</v>
      </c>
    </row>
    <row r="6" spans="1:16">
      <c r="A6" s="16" t="s">
        <v>573</v>
      </c>
      <c r="B6" s="739">
        <f>kWh_PV_kleiner_dan_10kW</f>
        <v>5419.0104861496757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46636.339202723073</v>
      </c>
      <c r="C8" s="21">
        <f>C5</f>
        <v>0</v>
      </c>
      <c r="D8" s="21">
        <f>D5</f>
        <v>98694.371641132617</v>
      </c>
      <c r="E8" s="21">
        <f>E5</f>
        <v>2896.8821027454924</v>
      </c>
      <c r="F8" s="21">
        <f>F5</f>
        <v>47473.182463348487</v>
      </c>
      <c r="G8" s="21"/>
      <c r="H8" s="21"/>
      <c r="I8" s="21"/>
      <c r="J8" s="21">
        <f>J5</f>
        <v>262.02817454311901</v>
      </c>
      <c r="K8" s="21"/>
      <c r="L8" s="21">
        <f>L5</f>
        <v>0</v>
      </c>
      <c r="M8" s="21">
        <f>M5</f>
        <v>0</v>
      </c>
      <c r="N8" s="21">
        <f>N5</f>
        <v>14460.757816020072</v>
      </c>
      <c r="O8" s="21">
        <f>O5</f>
        <v>517.8130952600153</v>
      </c>
      <c r="P8" s="21">
        <f>P5</f>
        <v>674.17339569184151</v>
      </c>
    </row>
    <row r="9" spans="1:16">
      <c r="B9" s="19"/>
      <c r="C9" s="19"/>
      <c r="D9" s="253"/>
      <c r="E9" s="19"/>
      <c r="F9" s="19"/>
      <c r="G9" s="19"/>
      <c r="H9" s="19"/>
      <c r="I9" s="19"/>
      <c r="J9" s="19"/>
      <c r="K9" s="19"/>
      <c r="L9" s="19"/>
      <c r="M9" s="19"/>
      <c r="N9" s="19"/>
      <c r="O9" s="19"/>
      <c r="P9" s="19"/>
    </row>
    <row r="10" spans="1:16">
      <c r="A10" s="24" t="s">
        <v>207</v>
      </c>
      <c r="B10" s="25">
        <f ca="1">'EF ele_warmte'!B12</f>
        <v>0.21002081885565016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9794.6021477857594</v>
      </c>
      <c r="C12" s="23">
        <f ca="1">C10*C8</f>
        <v>0</v>
      </c>
      <c r="D12" s="23">
        <f>D8*D10</f>
        <v>19936.263071508791</v>
      </c>
      <c r="E12" s="23">
        <f>E10*E8</f>
        <v>657.59223732322675</v>
      </c>
      <c r="F12" s="23">
        <f>F10*F8</f>
        <v>12675.339717714047</v>
      </c>
      <c r="G12" s="23"/>
      <c r="H12" s="23"/>
      <c r="I12" s="23"/>
      <c r="J12" s="23">
        <f>J10*J8</f>
        <v>92.757973788264124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11293</v>
      </c>
      <c r="C26" s="36"/>
      <c r="D26" s="224"/>
    </row>
    <row r="27" spans="1:5" s="15" customFormat="1">
      <c r="A27" s="226" t="s">
        <v>784</v>
      </c>
      <c r="B27" s="37">
        <f>SUM(HH_hh_gas_aantal,HH_rest_gas_aantal)</f>
        <v>7920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7524</v>
      </c>
      <c r="C31" s="34" t="s">
        <v>104</v>
      </c>
      <c r="D31" s="170"/>
    </row>
    <row r="32" spans="1:5">
      <c r="A32" s="167" t="s">
        <v>72</v>
      </c>
      <c r="B32" s="33">
        <f>IF((B21*($B$26-($B$27-0.05*$B$27)-$B$60))&lt;0,0,B21*($B$26-($B$27-0.05*$B$27)-$B$60))</f>
        <v>57.149484898040249</v>
      </c>
      <c r="C32" s="34" t="s">
        <v>104</v>
      </c>
      <c r="D32" s="170"/>
    </row>
    <row r="33" spans="1:6">
      <c r="A33" s="167" t="s">
        <v>73</v>
      </c>
      <c r="B33" s="33">
        <f>IF((B22*($B$26-($B$27-0.05*$B$27)-$B$60))&lt;0,0,B22*($B$26-($B$27-0.05*$B$27)-$B$60))</f>
        <v>927.99444894701855</v>
      </c>
      <c r="C33" s="34" t="s">
        <v>104</v>
      </c>
      <c r="D33" s="170"/>
    </row>
    <row r="34" spans="1:6">
      <c r="A34" s="167" t="s">
        <v>74</v>
      </c>
      <c r="B34" s="33">
        <f>IF((B24*($B$26-($B$27-0.05*$B$27)-$B$60))&lt;0,0,B24*($B$26-($B$27-0.05*$B$27)-$B$60))</f>
        <v>405.77417671911405</v>
      </c>
      <c r="C34" s="33">
        <f>B26*C24</f>
        <v>1897.2232299595598</v>
      </c>
      <c r="D34" s="229"/>
    </row>
    <row r="35" spans="1:6">
      <c r="A35" s="167" t="s">
        <v>76</v>
      </c>
      <c r="B35" s="33">
        <f>IF((B19*($B$26-($B$27-0.05*$B$27)-$B$60))&lt;0,0,B19*($B$26-($B$27-0.05*$B$27)-$B$60))</f>
        <v>24.842744837076804</v>
      </c>
      <c r="C35" s="33">
        <f>B35/2</f>
        <v>12.421372418538402</v>
      </c>
      <c r="D35" s="229"/>
    </row>
    <row r="36" spans="1:6">
      <c r="A36" s="167" t="s">
        <v>77</v>
      </c>
      <c r="B36" s="33">
        <f>IF((B18*($B$26-($B$27-0.05*$B$27)-$B$60))&lt;0,0,B18*($B$26-($B$27-0.05*$B$27)-$B$60))</f>
        <v>2289.2391445987491</v>
      </c>
      <c r="C36" s="34" t="s">
        <v>104</v>
      </c>
      <c r="D36" s="170"/>
    </row>
    <row r="37" spans="1:6">
      <c r="A37" s="167" t="s">
        <v>78</v>
      </c>
      <c r="B37" s="33">
        <f>B60</f>
        <v>64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261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35847.917760334291</v>
      </c>
      <c r="C5" s="17">
        <f>IF(ISERROR('Eigen informatie GS &amp; warmtenet'!B60),0,'Eigen informatie GS &amp; warmtenet'!B60)</f>
        <v>0</v>
      </c>
      <c r="D5" s="30">
        <f>SUM(D6:D12)</f>
        <v>45096.559938800725</v>
      </c>
      <c r="E5" s="17">
        <f>SUM(E6:E12)</f>
        <v>133.10637043796936</v>
      </c>
      <c r="F5" s="17">
        <f>SUM(F6:F12)</f>
        <v>8042.5997409607417</v>
      </c>
      <c r="G5" s="18"/>
      <c r="H5" s="17"/>
      <c r="I5" s="17"/>
      <c r="J5" s="17">
        <f>SUM(J6:J12)</f>
        <v>5.5998109677475962E-2</v>
      </c>
      <c r="K5" s="17"/>
      <c r="L5" s="17"/>
      <c r="M5" s="17"/>
      <c r="N5" s="17">
        <f>SUM(N6:N12)</f>
        <v>1965.6559316877642</v>
      </c>
      <c r="O5" s="17">
        <f>B38*B39*B40</f>
        <v>34.280825360888088</v>
      </c>
      <c r="P5" s="17">
        <f>B46*B47*B48/1000-B46*B47*B48/1000/B49</f>
        <v>105.07827661299004</v>
      </c>
      <c r="R5" s="32"/>
    </row>
    <row r="6" spans="1:18">
      <c r="A6" s="32" t="s">
        <v>53</v>
      </c>
      <c r="B6" s="37">
        <f>B26</f>
        <v>8067.4437101379099</v>
      </c>
      <c r="C6" s="33"/>
      <c r="D6" s="37">
        <f>IF(ISERROR(TER_kantoor_gas_kWh/1000),0,TER_kantoor_gas_kWh/1000)*0.903</f>
        <v>6954.1034946891741</v>
      </c>
      <c r="E6" s="33">
        <f>$C$26*'E Balans VL '!I12/100/3.6*1000000</f>
        <v>1.962059407999023</v>
      </c>
      <c r="F6" s="33">
        <f>$C$26*('E Balans VL '!L12+'E Balans VL '!N12)/100/3.6*1000000</f>
        <v>772.50881940773286</v>
      </c>
      <c r="G6" s="34"/>
      <c r="H6" s="33"/>
      <c r="I6" s="33"/>
      <c r="J6" s="33">
        <f>$C$26*('E Balans VL '!D12+'E Balans VL '!E12)/100/3.6*1000000</f>
        <v>0</v>
      </c>
      <c r="K6" s="33"/>
      <c r="L6" s="33"/>
      <c r="M6" s="33"/>
      <c r="N6" s="33">
        <f>$C$26*'E Balans VL '!Y12/100/3.6*1000000</f>
        <v>4.0956315383700739</v>
      </c>
      <c r="O6" s="33"/>
      <c r="P6" s="33"/>
      <c r="R6" s="32"/>
    </row>
    <row r="7" spans="1:18">
      <c r="A7" s="32" t="s">
        <v>52</v>
      </c>
      <c r="B7" s="37">
        <f t="shared" ref="B7:B12" si="0">B27</f>
        <v>3150.4469960611796</v>
      </c>
      <c r="C7" s="33"/>
      <c r="D7" s="37">
        <f>IF(ISERROR(TER_horeca_gas_kWh/1000),0,TER_horeca_gas_kWh/1000)*0.903</f>
        <v>7116.6597873830133</v>
      </c>
      <c r="E7" s="33">
        <f>$C$27*'E Balans VL '!I9/100/3.6*1000000</f>
        <v>0</v>
      </c>
      <c r="F7" s="33">
        <f>$C$27*('E Balans VL '!L9+'E Balans VL '!N9)/100/3.6*1000000</f>
        <v>258.39679270683786</v>
      </c>
      <c r="G7" s="34"/>
      <c r="H7" s="33"/>
      <c r="I7" s="33"/>
      <c r="J7" s="33">
        <f>$C$27*('E Balans VL '!D9+'E Balans VL '!E9)/100/3.6*1000000</f>
        <v>0</v>
      </c>
      <c r="K7" s="33"/>
      <c r="L7" s="33"/>
      <c r="M7" s="33"/>
      <c r="N7" s="33">
        <f>$C$27*'E Balans VL '!Y9/100/3.6*1000000</f>
        <v>20.691511620596856</v>
      </c>
      <c r="O7" s="33"/>
      <c r="P7" s="33"/>
      <c r="R7" s="32"/>
    </row>
    <row r="8" spans="1:18">
      <c r="A8" s="6" t="s">
        <v>51</v>
      </c>
      <c r="B8" s="37">
        <f t="shared" si="0"/>
        <v>14078.5545184167</v>
      </c>
      <c r="C8" s="33"/>
      <c r="D8" s="37">
        <f>IF(ISERROR(TER_handel_gas_kWh/1000),0,TER_handel_gas_kWh/1000)*0.903</f>
        <v>8907.6237955279357</v>
      </c>
      <c r="E8" s="33">
        <f>$C$28*'E Balans VL '!I13/100/3.6*1000000</f>
        <v>49.768419566142875</v>
      </c>
      <c r="F8" s="33">
        <f>$C$28*('E Balans VL '!L13+'E Balans VL '!N13)/100/3.6*1000000</f>
        <v>1296.3337091174287</v>
      </c>
      <c r="G8" s="34"/>
      <c r="H8" s="33"/>
      <c r="I8" s="33"/>
      <c r="J8" s="33">
        <f>$C$28*('E Balans VL '!D13+'E Balans VL '!E13)/100/3.6*1000000</f>
        <v>0</v>
      </c>
      <c r="K8" s="33"/>
      <c r="L8" s="33"/>
      <c r="M8" s="33"/>
      <c r="N8" s="33">
        <f>$C$28*'E Balans VL '!Y13/100/3.6*1000000</f>
        <v>5.0986463421152726</v>
      </c>
      <c r="O8" s="33"/>
      <c r="P8" s="33"/>
      <c r="R8" s="32"/>
    </row>
    <row r="9" spans="1:18">
      <c r="A9" s="32" t="s">
        <v>50</v>
      </c>
      <c r="B9" s="37">
        <f t="shared" si="0"/>
        <v>3138.2695868472601</v>
      </c>
      <c r="C9" s="33"/>
      <c r="D9" s="37">
        <f>IF(ISERROR(TER_gezond_gas_kWh/1000),0,TER_gezond_gas_kWh/1000)*0.903</f>
        <v>4543.2570166013238</v>
      </c>
      <c r="E9" s="33">
        <f>$C$29*'E Balans VL '!I10/100/3.6*1000000</f>
        <v>0</v>
      </c>
      <c r="F9" s="33">
        <f>$C$29*('E Balans VL '!L10+'E Balans VL '!N10)/100/3.6*1000000</f>
        <v>385.52360631780482</v>
      </c>
      <c r="G9" s="34"/>
      <c r="H9" s="33"/>
      <c r="I9" s="33"/>
      <c r="J9" s="33">
        <f>$C$29*('E Balans VL '!D10+'E Balans VL '!E10)/100/3.6*1000000</f>
        <v>0</v>
      </c>
      <c r="K9" s="33"/>
      <c r="L9" s="33"/>
      <c r="M9" s="33"/>
      <c r="N9" s="33">
        <f>$C$29*'E Balans VL '!Y10/100/3.6*1000000</f>
        <v>23.142551284662389</v>
      </c>
      <c r="O9" s="33"/>
      <c r="P9" s="33"/>
      <c r="R9" s="32"/>
    </row>
    <row r="10" spans="1:18">
      <c r="A10" s="32" t="s">
        <v>49</v>
      </c>
      <c r="B10" s="37">
        <f t="shared" si="0"/>
        <v>5670.2237454856695</v>
      </c>
      <c r="C10" s="33"/>
      <c r="D10" s="37">
        <f>IF(ISERROR(TER_ander_gas_kWh/1000),0,TER_ander_gas_kWh/1000)*0.903</f>
        <v>11747.428368771716</v>
      </c>
      <c r="E10" s="33">
        <f>$C$30*'E Balans VL '!I14/100/3.6*1000000</f>
        <v>81.375891463827458</v>
      </c>
      <c r="F10" s="33">
        <f>$C$30*('E Balans VL '!L14+'E Balans VL '!N14)/100/3.6*1000000</f>
        <v>5126.061788419328</v>
      </c>
      <c r="G10" s="34"/>
      <c r="H10" s="33"/>
      <c r="I10" s="33"/>
      <c r="J10" s="33">
        <f>$C$30*('E Balans VL '!D14+'E Balans VL '!E14)/100/3.6*1000000</f>
        <v>5.5998109677475962E-2</v>
      </c>
      <c r="K10" s="33"/>
      <c r="L10" s="33"/>
      <c r="M10" s="33"/>
      <c r="N10" s="33">
        <f>$C$30*'E Balans VL '!Y14/100/3.6*1000000</f>
        <v>1907.7195616137094</v>
      </c>
      <c r="O10" s="33"/>
      <c r="P10" s="33"/>
      <c r="R10" s="32"/>
    </row>
    <row r="11" spans="1:18">
      <c r="A11" s="32" t="s">
        <v>54</v>
      </c>
      <c r="B11" s="37">
        <f t="shared" si="0"/>
        <v>1742.9792033855701</v>
      </c>
      <c r="C11" s="33"/>
      <c r="D11" s="37">
        <f>IF(ISERROR(TER_onderwijs_gas_kWh/1000),0,TER_onderwijs_gas_kWh/1000)*0.903</f>
        <v>5827.4874758275637</v>
      </c>
      <c r="E11" s="33">
        <f>$C$31*'E Balans VL '!I11/100/3.6*1000000</f>
        <v>0</v>
      </c>
      <c r="F11" s="33">
        <f>$C$31*('E Balans VL '!L11+'E Balans VL '!N11)/100/3.6*1000000</f>
        <v>203.77502499160857</v>
      </c>
      <c r="G11" s="34"/>
      <c r="H11" s="33"/>
      <c r="I11" s="33"/>
      <c r="J11" s="33">
        <f>$C$31*('E Balans VL '!D11+'E Balans VL '!E11)/100/3.6*1000000</f>
        <v>0</v>
      </c>
      <c r="K11" s="33"/>
      <c r="L11" s="33"/>
      <c r="M11" s="33"/>
      <c r="N11" s="33">
        <f>$C$31*'E Balans VL '!Y11/100/3.6*1000000</f>
        <v>4.9080292883101295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35847.917760334291</v>
      </c>
      <c r="C16" s="21">
        <f t="shared" ca="1" si="1"/>
        <v>0</v>
      </c>
      <c r="D16" s="21">
        <f t="shared" ca="1" si="1"/>
        <v>45096.559938800725</v>
      </c>
      <c r="E16" s="21">
        <f t="shared" si="1"/>
        <v>133.10637043796936</v>
      </c>
      <c r="F16" s="21">
        <f t="shared" ca="1" si="1"/>
        <v>8042.5997409607417</v>
      </c>
      <c r="G16" s="21">
        <f t="shared" si="1"/>
        <v>0</v>
      </c>
      <c r="H16" s="21">
        <f t="shared" si="1"/>
        <v>0</v>
      </c>
      <c r="I16" s="21">
        <f t="shared" si="1"/>
        <v>0</v>
      </c>
      <c r="J16" s="21">
        <f t="shared" si="1"/>
        <v>5.5998109677475962E-2</v>
      </c>
      <c r="K16" s="21">
        <f t="shared" si="1"/>
        <v>0</v>
      </c>
      <c r="L16" s="21">
        <f t="shared" ca="1" si="1"/>
        <v>0</v>
      </c>
      <c r="M16" s="21">
        <f t="shared" si="1"/>
        <v>0</v>
      </c>
      <c r="N16" s="21">
        <f t="shared" ca="1" si="1"/>
        <v>1965.6559316877642</v>
      </c>
      <c r="O16" s="21">
        <f>O5</f>
        <v>34.280825360888088</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0.21002081885565016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7528.8090422954119</v>
      </c>
      <c r="C20" s="23">
        <f t="shared" ref="C20:P20" ca="1" si="2">C16*C18</f>
        <v>0</v>
      </c>
      <c r="D20" s="23">
        <f t="shared" ca="1" si="2"/>
        <v>9109.5051076377476</v>
      </c>
      <c r="E20" s="23">
        <f t="shared" si="2"/>
        <v>30.215146089419047</v>
      </c>
      <c r="F20" s="23">
        <f t="shared" ca="1" si="2"/>
        <v>2147.3741308365184</v>
      </c>
      <c r="G20" s="23">
        <f t="shared" si="2"/>
        <v>0</v>
      </c>
      <c r="H20" s="23">
        <f t="shared" si="2"/>
        <v>0</v>
      </c>
      <c r="I20" s="23">
        <f t="shared" si="2"/>
        <v>0</v>
      </c>
      <c r="J20" s="23">
        <f t="shared" si="2"/>
        <v>1.9823330825826491E-2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8067.4437101379099</v>
      </c>
      <c r="C26" s="39">
        <f>IF(ISERROR(B26*3.6/1000000/'E Balans VL '!Z12*100),0,B26*3.6/1000000/'E Balans VL '!Z12*100)</f>
        <v>0.22740042746853248</v>
      </c>
      <c r="D26" s="232" t="s">
        <v>660</v>
      </c>
      <c r="F26" s="6"/>
    </row>
    <row r="27" spans="1:18">
      <c r="A27" s="227" t="s">
        <v>52</v>
      </c>
      <c r="B27" s="33">
        <f>IF(ISERROR(TER_horeca_ele_kWh/1000),0,TER_horeca_ele_kWh/1000)</f>
        <v>3150.4469960611796</v>
      </c>
      <c r="C27" s="39">
        <f>IF(ISERROR(B27*3.6/1000000/'E Balans VL '!Z9*100),0,B27*3.6/1000000/'E Balans VL '!Z9*100)</f>
        <v>0.23356694253345864</v>
      </c>
      <c r="D27" s="232" t="s">
        <v>660</v>
      </c>
      <c r="F27" s="6"/>
    </row>
    <row r="28" spans="1:18">
      <c r="A28" s="167" t="s">
        <v>51</v>
      </c>
      <c r="B28" s="33">
        <f>IF(ISERROR(TER_handel_ele_kWh/1000),0,TER_handel_ele_kWh/1000)</f>
        <v>14078.5545184167</v>
      </c>
      <c r="C28" s="39">
        <f>IF(ISERROR(B28*3.6/1000000/'E Balans VL '!Z13*100),0,B28*3.6/1000000/'E Balans VL '!Z13*100)</f>
        <v>0.42176002035865506</v>
      </c>
      <c r="D28" s="232" t="s">
        <v>660</v>
      </c>
      <c r="F28" s="6"/>
    </row>
    <row r="29" spans="1:18">
      <c r="A29" s="227" t="s">
        <v>50</v>
      </c>
      <c r="B29" s="33">
        <f>IF(ISERROR(TER_gezond_ele_kWh/1000),0,TER_gezond_ele_kWh/1000)</f>
        <v>3138.2695868472601</v>
      </c>
      <c r="C29" s="39">
        <f>IF(ISERROR(B29*3.6/1000000/'E Balans VL '!Z10*100),0,B29*3.6/1000000/'E Balans VL '!Z10*100)</f>
        <v>0.31031332678629631</v>
      </c>
      <c r="D29" s="232" t="s">
        <v>660</v>
      </c>
      <c r="F29" s="6"/>
    </row>
    <row r="30" spans="1:18">
      <c r="A30" s="227" t="s">
        <v>49</v>
      </c>
      <c r="B30" s="33">
        <f>IF(ISERROR(TER_ander_ele_kWh/1000),0,TER_ander_ele_kWh/1000)</f>
        <v>5670.2237454856695</v>
      </c>
      <c r="C30" s="39">
        <f>IF(ISERROR(B30*3.6/1000000/'E Balans VL '!Z14*100),0,B30*3.6/1000000/'E Balans VL '!Z14*100)</f>
        <v>0.22934379390092546</v>
      </c>
      <c r="D30" s="232" t="s">
        <v>660</v>
      </c>
      <c r="F30" s="6"/>
    </row>
    <row r="31" spans="1:18">
      <c r="A31" s="227" t="s">
        <v>54</v>
      </c>
      <c r="B31" s="33">
        <f>IF(ISERROR(TER_onderwijs_ele_kWh/1000),0,TER_onderwijs_ele_kWh/1000)</f>
        <v>1742.9792033855701</v>
      </c>
      <c r="C31" s="39">
        <f>IF(ISERROR(B31*3.6/1000000/'E Balans VL '!Z11*100),0,B31*3.6/1000000/'E Balans VL '!Z11*100)</f>
        <v>0.47887261573109879</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7</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99357.054047133308</v>
      </c>
      <c r="C5" s="17">
        <f>IF(ISERROR('Eigen informatie GS &amp; warmtenet'!B61),0,'Eigen informatie GS &amp; warmtenet'!B61)</f>
        <v>0</v>
      </c>
      <c r="D5" s="30">
        <f>SUM(D6:D15)</f>
        <v>63147.77834168735</v>
      </c>
      <c r="E5" s="17">
        <f>SUM(E6:E15)</f>
        <v>6631.0130020332053</v>
      </c>
      <c r="F5" s="17">
        <f>SUM(F6:F15)</f>
        <v>35461.363434746694</v>
      </c>
      <c r="G5" s="18"/>
      <c r="H5" s="17"/>
      <c r="I5" s="17"/>
      <c r="J5" s="17">
        <f>SUM(J6:J15)</f>
        <v>4.6683026565731618</v>
      </c>
      <c r="K5" s="17"/>
      <c r="L5" s="17"/>
      <c r="M5" s="17"/>
      <c r="N5" s="17">
        <f>SUM(N6:N15)</f>
        <v>1978.2464436556468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3582.3119047969299</v>
      </c>
      <c r="C8" s="33"/>
      <c r="D8" s="37">
        <f>IF( ISERROR(IND_metaal_Gas_kWH/1000),0,IND_metaal_Gas_kWH/1000)*0.903</f>
        <v>1346.6012075170013</v>
      </c>
      <c r="E8" s="33">
        <f>C30*'E Balans VL '!I18/100/3.6*1000000</f>
        <v>19.578890563004467</v>
      </c>
      <c r="F8" s="33">
        <f>C30*'E Balans VL '!L18/100/3.6*1000000+C30*'E Balans VL '!N18/100/3.6*1000000</f>
        <v>245.20391512473347</v>
      </c>
      <c r="G8" s="34"/>
      <c r="H8" s="33"/>
      <c r="I8" s="33"/>
      <c r="J8" s="40">
        <f>C30*'E Balans VL '!D18/100/3.6*1000000+C30*'E Balans VL '!E18/100/3.6*1000000</f>
        <v>3.570015310937189</v>
      </c>
      <c r="K8" s="33"/>
      <c r="L8" s="33"/>
      <c r="M8" s="33"/>
      <c r="N8" s="33">
        <f>C30*'E Balans VL '!Y18/100/3.6*1000000</f>
        <v>52.984118067245369</v>
      </c>
      <c r="O8" s="33"/>
      <c r="P8" s="33"/>
      <c r="R8" s="32"/>
    </row>
    <row r="9" spans="1:18">
      <c r="A9" s="6" t="s">
        <v>32</v>
      </c>
      <c r="B9" s="37">
        <f t="shared" si="0"/>
        <v>53649.840722292</v>
      </c>
      <c r="C9" s="33"/>
      <c r="D9" s="37">
        <f>IF( ISERROR(IND_andere_gas_kWh/1000),0,IND_andere_gas_kWh/1000)*0.903</f>
        <v>8705.1412711729336</v>
      </c>
      <c r="E9" s="33">
        <f>C31*'E Balans VL '!I19/100/3.6*1000000</f>
        <v>201.89853798455877</v>
      </c>
      <c r="F9" s="33">
        <f>C31*'E Balans VL '!L19/100/3.6*1000000+C31*'E Balans VL '!N19/100/3.6*1000000</f>
        <v>34530.488313032925</v>
      </c>
      <c r="G9" s="34"/>
      <c r="H9" s="33"/>
      <c r="I9" s="33"/>
      <c r="J9" s="40">
        <f>C31*'E Balans VL '!D19/100/3.6*1000000+C31*'E Balans VL '!E19/100/3.6*1000000</f>
        <v>0</v>
      </c>
      <c r="K9" s="33"/>
      <c r="L9" s="33"/>
      <c r="M9" s="33"/>
      <c r="N9" s="33">
        <f>C31*'E Balans VL '!Y19/100/3.6*1000000</f>
        <v>1938.1363953320863</v>
      </c>
      <c r="O9" s="33"/>
      <c r="P9" s="33"/>
      <c r="R9" s="32"/>
    </row>
    <row r="10" spans="1:18">
      <c r="A10" s="6" t="s">
        <v>40</v>
      </c>
      <c r="B10" s="37">
        <f t="shared" si="0"/>
        <v>5076.5294962766893</v>
      </c>
      <c r="C10" s="33"/>
      <c r="D10" s="37">
        <f>IF( ISERROR(IND_voed_gas_kWh/1000),0,IND_voed_gas_kWh/1000)*0.903</f>
        <v>3893.8572696615261</v>
      </c>
      <c r="E10" s="33">
        <f>C32*'E Balans VL '!I20/100/3.6*1000000</f>
        <v>10.049370372095519</v>
      </c>
      <c r="F10" s="33">
        <f>C32*'E Balans VL '!L20/100/3.6*1000000+C32*'E Balans VL '!N20/100/3.6*1000000</f>
        <v>107.81926068886084</v>
      </c>
      <c r="G10" s="34"/>
      <c r="H10" s="33"/>
      <c r="I10" s="33"/>
      <c r="J10" s="40">
        <f>C32*'E Balans VL '!D20/100/3.6*1000000+C32*'E Balans VL '!E20/100/3.6*1000000</f>
        <v>0</v>
      </c>
      <c r="K10" s="33"/>
      <c r="L10" s="33"/>
      <c r="M10" s="33"/>
      <c r="N10" s="33">
        <f>C32*'E Balans VL '!Y20/100/3.6*1000000</f>
        <v>204.60342930969597</v>
      </c>
      <c r="O10" s="33"/>
      <c r="P10" s="33"/>
      <c r="R10" s="32"/>
    </row>
    <row r="11" spans="1:18">
      <c r="A11" s="6" t="s">
        <v>39</v>
      </c>
      <c r="B11" s="37">
        <f t="shared" si="0"/>
        <v>1323.79871381218</v>
      </c>
      <c r="C11" s="33"/>
      <c r="D11" s="37">
        <f>IF( ISERROR(IND_textiel_gas_kWh/1000),0,IND_textiel_gas_kWh/1000)*0.903</f>
        <v>1249.4071874671745</v>
      </c>
      <c r="E11" s="33">
        <f>C33*'E Balans VL '!I21/100/3.6*1000000</f>
        <v>2.5777455472950366</v>
      </c>
      <c r="F11" s="33">
        <f>C33*'E Balans VL '!L21/100/3.6*1000000+C33*'E Balans VL '!N21/100/3.6*1000000</f>
        <v>31.356665262807883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2513.6366242049098</v>
      </c>
      <c r="C13" s="33"/>
      <c r="D13" s="37">
        <f>IF( ISERROR(IND_papier_gas_kWh/1000),0,IND_papier_gas_kWh/1000)*0.903</f>
        <v>395.29187493124982</v>
      </c>
      <c r="E13" s="33">
        <f>C35*'E Balans VL '!I23/100/3.6*1000000</f>
        <v>0</v>
      </c>
      <c r="F13" s="33">
        <f>C35*'E Balans VL '!L23/100/3.6*1000000+C35*'E Balans VL '!N23/100/3.6*1000000</f>
        <v>0.30793635305031092</v>
      </c>
      <c r="G13" s="34"/>
      <c r="H13" s="33"/>
      <c r="I13" s="33"/>
      <c r="J13" s="40">
        <f>C35*'E Balans VL '!D23/100/3.6*1000000+C35*'E Balans VL '!E23/100/3.6*1000000</f>
        <v>0.19584959553571876</v>
      </c>
      <c r="K13" s="33"/>
      <c r="L13" s="33"/>
      <c r="M13" s="33"/>
      <c r="N13" s="33">
        <f>C35*'E Balans VL '!Y23/100/3.6*1000000</f>
        <v>-230.66636350290113</v>
      </c>
      <c r="O13" s="33"/>
      <c r="P13" s="33"/>
      <c r="R13" s="32"/>
    </row>
    <row r="14" spans="1:18">
      <c r="A14" s="6" t="s">
        <v>33</v>
      </c>
      <c r="B14" s="37">
        <f t="shared" si="0"/>
        <v>33005.272027243002</v>
      </c>
      <c r="C14" s="33"/>
      <c r="D14" s="37">
        <f>IF( ISERROR(IND_chemie_gas_kWh/1000),0,IND_chemie_gas_kWh/1000)*0.903</f>
        <v>47302.926548385403</v>
      </c>
      <c r="E14" s="33">
        <f>C36*'E Balans VL '!I24/100/3.6*1000000</f>
        <v>6385.773914776275</v>
      </c>
      <c r="F14" s="33">
        <f>C36*'E Balans VL '!L24/100/3.6*1000000+C36*'E Balans VL '!N24/100/3.6*1000000</f>
        <v>514.80004989917404</v>
      </c>
      <c r="G14" s="34"/>
      <c r="H14" s="33"/>
      <c r="I14" s="33"/>
      <c r="J14" s="40">
        <f>C36*'E Balans VL '!D24/100/3.6*1000000+C36*'E Balans VL '!E24/100/3.6*1000000</f>
        <v>0</v>
      </c>
      <c r="K14" s="33"/>
      <c r="L14" s="33"/>
      <c r="M14" s="33"/>
      <c r="N14" s="33">
        <f>C36*'E Balans VL '!Y24/100/3.6*1000000</f>
        <v>7.3589755864195698</v>
      </c>
      <c r="O14" s="33"/>
      <c r="P14" s="33"/>
      <c r="R14" s="32"/>
    </row>
    <row r="15" spans="1:18">
      <c r="A15" s="6" t="s">
        <v>259</v>
      </c>
      <c r="B15" s="37">
        <f t="shared" si="0"/>
        <v>205.66455850759002</v>
      </c>
      <c r="C15" s="33"/>
      <c r="D15" s="37">
        <f>IF( ISERROR(IND_rest_gas_kWh/1000),0,IND_rest_gas_kWh/1000)*0.903</f>
        <v>254.55298255205662</v>
      </c>
      <c r="E15" s="33">
        <f>C37*'E Balans VL '!I15/100/3.6*1000000</f>
        <v>11.13454278997694</v>
      </c>
      <c r="F15" s="33">
        <f>C37*'E Balans VL '!L15/100/3.6*1000000+C37*'E Balans VL '!N15/100/3.6*1000000</f>
        <v>31.38729438514752</v>
      </c>
      <c r="G15" s="34"/>
      <c r="H15" s="33"/>
      <c r="I15" s="33"/>
      <c r="J15" s="40">
        <f>C37*'E Balans VL '!D15/100/3.6*1000000+C37*'E Balans VL '!E15/100/3.6*1000000</f>
        <v>0.90243775010025395</v>
      </c>
      <c r="K15" s="33"/>
      <c r="L15" s="33"/>
      <c r="M15" s="33"/>
      <c r="N15" s="33">
        <f>C37*'E Balans VL '!Y15/100/3.6*1000000</f>
        <v>5.829888863100666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99357.054047133308</v>
      </c>
      <c r="C18" s="21">
        <f>C5+C16</f>
        <v>0</v>
      </c>
      <c r="D18" s="21">
        <f>MAX((D5+D16),0)</f>
        <v>63147.77834168735</v>
      </c>
      <c r="E18" s="21">
        <f>MAX((E5+E16),0)</f>
        <v>6631.0130020332053</v>
      </c>
      <c r="F18" s="21">
        <f>MAX((F5+F16),0)</f>
        <v>35461.363434746694</v>
      </c>
      <c r="G18" s="21"/>
      <c r="H18" s="21"/>
      <c r="I18" s="21"/>
      <c r="J18" s="21">
        <f>MAX((J5+J16),0)</f>
        <v>4.6683026565731618</v>
      </c>
      <c r="K18" s="21"/>
      <c r="L18" s="21">
        <f>MAX((L5+L16),0)</f>
        <v>0</v>
      </c>
      <c r="M18" s="21"/>
      <c r="N18" s="21">
        <f>MAX((N5+N16),0)</f>
        <v>1978.2464436556468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0.21002081885565016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20867.049850064028</v>
      </c>
      <c r="C22" s="23">
        <f ca="1">C18*C20</f>
        <v>0</v>
      </c>
      <c r="D22" s="23">
        <f>D18*D20</f>
        <v>12755.851225020846</v>
      </c>
      <c r="E22" s="23">
        <f>E18*E20</f>
        <v>1505.2399514615377</v>
      </c>
      <c r="F22" s="23">
        <f>F18*F20</f>
        <v>9468.184037077368</v>
      </c>
      <c r="G22" s="23"/>
      <c r="H22" s="23"/>
      <c r="I22" s="23"/>
      <c r="J22" s="23">
        <f>J18*J20</f>
        <v>1.6525791404268992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3582.3119047969299</v>
      </c>
      <c r="C30" s="39">
        <f>IF(ISERROR(B30*3.6/1000000/'E Balans VL '!Z18*100),0,B30*3.6/1000000/'E Balans VL '!Z18*100)</f>
        <v>0.19987644042572073</v>
      </c>
      <c r="D30" s="232" t="s">
        <v>660</v>
      </c>
    </row>
    <row r="31" spans="1:18">
      <c r="A31" s="6" t="s">
        <v>32</v>
      </c>
      <c r="B31" s="37">
        <f>IF( ISERROR(IND_ander_ele_kWh/1000),0,IND_ander_ele_kWh/1000)</f>
        <v>53649.840722292</v>
      </c>
      <c r="C31" s="39">
        <f>IF(ISERROR(B31*3.6/1000000/'E Balans VL '!Z19*100),0,B31*3.6/1000000/'E Balans VL '!Z19*100)</f>
        <v>2.1837140673811621</v>
      </c>
      <c r="D31" s="232" t="s">
        <v>660</v>
      </c>
    </row>
    <row r="32" spans="1:18">
      <c r="A32" s="167" t="s">
        <v>40</v>
      </c>
      <c r="B32" s="37">
        <f>IF( ISERROR(IND_voed_ele_kWh/1000),0,IND_voed_ele_kWh/1000)</f>
        <v>5076.5294962766893</v>
      </c>
      <c r="C32" s="39">
        <f>IF(ISERROR(B32*3.6/1000000/'E Balans VL '!Z20*100),0,B32*3.6/1000000/'E Balans VL '!Z20*100)</f>
        <v>0.14765005387010444</v>
      </c>
      <c r="D32" s="232" t="s">
        <v>660</v>
      </c>
    </row>
    <row r="33" spans="1:5">
      <c r="A33" s="167" t="s">
        <v>39</v>
      </c>
      <c r="B33" s="37">
        <f>IF( ISERROR(IND_textiel_ele_kWh/1000),0,IND_textiel_ele_kWh/1000)</f>
        <v>1323.79871381218</v>
      </c>
      <c r="C33" s="39">
        <f>IF(ISERROR(B33*3.6/1000000/'E Balans VL '!Z21*100),0,B33*3.6/1000000/'E Balans VL '!Z21*100)</f>
        <v>0.19499651124736567</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2513.6366242049098</v>
      </c>
      <c r="C35" s="39">
        <f>IF(ISERROR(B35*3.6/1000000/'E Balans VL '!Z22*100),0,B35*3.6/1000000/'E Balans VL '!Z22*100)</f>
        <v>1.008367387000132</v>
      </c>
      <c r="D35" s="232" t="s">
        <v>660</v>
      </c>
    </row>
    <row r="36" spans="1:5">
      <c r="A36" s="167" t="s">
        <v>33</v>
      </c>
      <c r="B36" s="37">
        <f>IF( ISERROR(IND_chemie_ele_kWh/1000),0,IND_chemie_ele_kWh/1000)</f>
        <v>33005.272027243002</v>
      </c>
      <c r="C36" s="39">
        <f>IF(ISERROR(B36*3.6/1000000/'E Balans VL '!Z24*100),0,B36*3.6/1000000/'E Balans VL '!Z24*100)</f>
        <v>0.99707610504743116</v>
      </c>
      <c r="D36" s="232" t="s">
        <v>660</v>
      </c>
    </row>
    <row r="37" spans="1:5">
      <c r="A37" s="167" t="s">
        <v>259</v>
      </c>
      <c r="B37" s="37">
        <f>IF( ISERROR(IND_rest_ele_kWh/1000),0,IND_rest_ele_kWh/1000)</f>
        <v>205.66455850759002</v>
      </c>
      <c r="C37" s="39">
        <f>IF(ISERROR(B37*3.6/1000000/'E Balans VL '!Z15*100),0,B37*3.6/1000000/'E Balans VL '!Z15*100)</f>
        <v>1.6565336414807131E-3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1302.8749969067101</v>
      </c>
      <c r="C5" s="17">
        <f>'Eigen informatie GS &amp; warmtenet'!B62</f>
        <v>0</v>
      </c>
      <c r="D5" s="30">
        <f>IF(ISERROR(SUM(LB_lb_gas_kWh,LB_rest_gas_kWh)/1000),0,SUM(LB_lb_gas_kWh,LB_rest_gas_kWh)/1000)*0.903</f>
        <v>477.95405323241084</v>
      </c>
      <c r="E5" s="17">
        <f>B17*'E Balans VL '!I25/3.6*1000000/100</f>
        <v>38.412438305590427</v>
      </c>
      <c r="F5" s="17">
        <f>B17*('E Balans VL '!L25/3.6*1000000+'E Balans VL '!N25/3.6*1000000)/100</f>
        <v>4140.9997678145146</v>
      </c>
      <c r="G5" s="18"/>
      <c r="H5" s="17"/>
      <c r="I5" s="17"/>
      <c r="J5" s="17">
        <f>('E Balans VL '!D25+'E Balans VL '!E25)/3.6*1000000*landbouw!B17/100</f>
        <v>328.57707359488404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1302.8749969067101</v>
      </c>
      <c r="C8" s="21">
        <f>C5+C6</f>
        <v>0</v>
      </c>
      <c r="D8" s="21">
        <f>MAX((D5+D6),0)</f>
        <v>477.95405323241084</v>
      </c>
      <c r="E8" s="21">
        <f>MAX((E5+E6),0)</f>
        <v>38.412438305590427</v>
      </c>
      <c r="F8" s="21">
        <f>MAX((F5+F6),0)</f>
        <v>4140.9997678145146</v>
      </c>
      <c r="G8" s="21"/>
      <c r="H8" s="21"/>
      <c r="I8" s="21"/>
      <c r="J8" s="21">
        <f>MAX((J5+J6),0)</f>
        <v>328.57707359488404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0.21002081885565016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273.63087371689994</v>
      </c>
      <c r="C12" s="23">
        <f ca="1">C8*C10</f>
        <v>0</v>
      </c>
      <c r="D12" s="23">
        <f>D8*D10</f>
        <v>96.546718752947001</v>
      </c>
      <c r="E12" s="23">
        <f>E8*E10</f>
        <v>8.7196234953690279</v>
      </c>
      <c r="F12" s="23">
        <f>F8*F10</f>
        <v>1105.6469380064755</v>
      </c>
      <c r="G12" s="23"/>
      <c r="H12" s="23"/>
      <c r="I12" s="23"/>
      <c r="J12" s="23">
        <f>J8*J10</f>
        <v>116.31628405258894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0.1789464809489191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189.25850713091427</v>
      </c>
      <c r="C26" s="242">
        <f>B26*'GWP N2O_CH4'!B5</f>
        <v>3974.4286497491994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31.581649382529136</v>
      </c>
      <c r="C27" s="242">
        <f>B27*'GWP N2O_CH4'!B5</f>
        <v>663.2146370331119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2.7904168665099101</v>
      </c>
      <c r="C28" s="242">
        <f>B28*'GWP N2O_CH4'!B4</f>
        <v>865.02922861807212</v>
      </c>
      <c r="D28" s="50"/>
    </row>
    <row r="29" spans="1:4">
      <c r="A29" s="41" t="s">
        <v>266</v>
      </c>
      <c r="B29" s="242">
        <f>B34*'ha_N2O bodem landbouw'!B4</f>
        <v>11.216990895175778</v>
      </c>
      <c r="C29" s="242">
        <f>B29*'GWP N2O_CH4'!B4</f>
        <v>3477.267177504491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2.556384258626373E-3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1.3909705489271406E-3</v>
      </c>
      <c r="C5" s="430" t="s">
        <v>204</v>
      </c>
      <c r="D5" s="415">
        <f>SUM(D6:D11)</f>
        <v>2.2184020654909737E-3</v>
      </c>
      <c r="E5" s="415">
        <f>SUM(E6:E11)</f>
        <v>1.3619978688051352E-3</v>
      </c>
      <c r="F5" s="428" t="s">
        <v>204</v>
      </c>
      <c r="G5" s="415">
        <f>SUM(G6:G11)</f>
        <v>0.61839239758249209</v>
      </c>
      <c r="H5" s="415">
        <f>SUM(H6:H11)</f>
        <v>0.15016801660273885</v>
      </c>
      <c r="I5" s="430" t="s">
        <v>204</v>
      </c>
      <c r="J5" s="430" t="s">
        <v>204</v>
      </c>
      <c r="K5" s="430" t="s">
        <v>204</v>
      </c>
      <c r="L5" s="430" t="s">
        <v>204</v>
      </c>
      <c r="M5" s="415">
        <f>SUM(M6:M11)</f>
        <v>4.5255495803751877E-2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4.0310747170818292E-4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7.0348152599741646E-4</v>
      </c>
      <c r="E6" s="844">
        <f>vkm_GW_PW*SUMIFS(TableVerdeelsleutelVkm[LPG],TableVerdeelsleutelVkm[Voertuigtype],"Lichte voertuigen")*SUMIFS(TableECFTransport[EnergieConsumptieFactor (PJ per km)],TableECFTransport[Index],CONCATENATE($A6,"_LPG_LPG"))</f>
        <v>3.8679568849843079E-4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0.11904578019746495</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4.6446762868229262E-2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9.9312961099419211E-3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1.3917801538124893E-6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5.7602224973829289E-2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6.3129177401286083E-7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3.2430972203903673E-3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1.4873460543012815E-4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3.3274622554948754E-4</v>
      </c>
      <c r="E8" s="418">
        <f>vkm_NGW_PW*SUMIFS(TableVerdeelsleutelVkm[LPG],TableVerdeelsleutelVkm[Voertuigtype],"Lichte voertuigen")*SUMIFS(TableECFTransport[EnergieConsumptieFactor (PJ per km)],TableECFTransport[Index],CONCATENATE($A8,"_LPG_LPG"))</f>
        <v>1.7474149746823589E-4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4.9699085652902743E-2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2.1626483094329036E-2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4.3015453438387096E-3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3.0154813751088619E-7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1.6071728024672296E-2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1.6509449328576652E-7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9.0486317644431944E-4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8.3347859386383757E-4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1.1821743139440698E-3</v>
      </c>
      <c r="E10" s="418">
        <f>vkm_SW_PW*SUMIFS(TableVerdeelsleutelVkm[LPG],TableVerdeelsleutelVkm[Voertuigtype],"Lichte voertuigen")*SUMIFS(TableECFTransport[EnergieConsumptieFactor (PJ per km)],TableECFTransport[Index],CONCATENATE($A10,"_LPG_LPG"))</f>
        <v>8.0046068283846862E-4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0.22127410967280922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8.2092127085265976E-2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1.8164856338968256E-2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3.9565496336685768E-6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0.15469946906081361</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1.8471686472840211E-6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8.7098376141682941E-3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386.38070803531684</v>
      </c>
      <c r="C14" s="21"/>
      <c r="D14" s="21">
        <f t="shared" ref="D14:M14" si="0">((D5)*10^9/3600)+D12</f>
        <v>616.22279596971487</v>
      </c>
      <c r="E14" s="21">
        <f t="shared" si="0"/>
        <v>378.33274133475976</v>
      </c>
      <c r="F14" s="21"/>
      <c r="G14" s="21">
        <f t="shared" si="0"/>
        <v>171775.66599513669</v>
      </c>
      <c r="H14" s="21">
        <f t="shared" si="0"/>
        <v>41713.33794520524</v>
      </c>
      <c r="I14" s="21"/>
      <c r="J14" s="21"/>
      <c r="K14" s="21"/>
      <c r="L14" s="21"/>
      <c r="M14" s="21">
        <f t="shared" si="0"/>
        <v>12570.971056597744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0.21002081885565016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81.147992691603136</v>
      </c>
      <c r="C18" s="23"/>
      <c r="D18" s="23">
        <f t="shared" ref="D18:M18" si="1">D14*D16</f>
        <v>124.47700478588241</v>
      </c>
      <c r="E18" s="23">
        <f t="shared" si="1"/>
        <v>85.881532282990463</v>
      </c>
      <c r="F18" s="23"/>
      <c r="G18" s="23">
        <f t="shared" si="1"/>
        <v>45864.102820701497</v>
      </c>
      <c r="H18" s="23">
        <f t="shared" si="1"/>
        <v>10386.621148356104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7.1622109528065558E-5</v>
      </c>
      <c r="C50" s="313">
        <f t="shared" ref="C50:P50" si="2">SUM(C51:C52)</f>
        <v>0</v>
      </c>
      <c r="D50" s="313">
        <f t="shared" si="2"/>
        <v>0</v>
      </c>
      <c r="E50" s="313">
        <f t="shared" si="2"/>
        <v>0</v>
      </c>
      <c r="F50" s="313">
        <f t="shared" si="2"/>
        <v>0</v>
      </c>
      <c r="G50" s="313">
        <f t="shared" si="2"/>
        <v>5.1122571394290849E-3</v>
      </c>
      <c r="H50" s="313">
        <f t="shared" si="2"/>
        <v>0</v>
      </c>
      <c r="I50" s="313">
        <f t="shared" si="2"/>
        <v>0</v>
      </c>
      <c r="J50" s="313">
        <f t="shared" si="2"/>
        <v>0</v>
      </c>
      <c r="K50" s="313">
        <f t="shared" si="2"/>
        <v>0</v>
      </c>
      <c r="L50" s="313">
        <f t="shared" si="2"/>
        <v>0</v>
      </c>
      <c r="M50" s="313">
        <f t="shared" si="2"/>
        <v>2.8229165079837976E-4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7.1622109528065558E-5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5.1122571394290849E-3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2.8229165079837976E-4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19.895030424462654</v>
      </c>
      <c r="C54" s="21">
        <f t="shared" ref="C54:P54" si="3">(C50)*10^9/3600</f>
        <v>0</v>
      </c>
      <c r="D54" s="21">
        <f t="shared" si="3"/>
        <v>0</v>
      </c>
      <c r="E54" s="21">
        <f t="shared" si="3"/>
        <v>0</v>
      </c>
      <c r="F54" s="21">
        <f t="shared" si="3"/>
        <v>0</v>
      </c>
      <c r="G54" s="21">
        <f t="shared" si="3"/>
        <v>1420.0714276191902</v>
      </c>
      <c r="H54" s="21">
        <f t="shared" si="3"/>
        <v>0</v>
      </c>
      <c r="I54" s="21">
        <f t="shared" si="3"/>
        <v>0</v>
      </c>
      <c r="J54" s="21">
        <f t="shared" si="3"/>
        <v>0</v>
      </c>
      <c r="K54" s="21">
        <f t="shared" si="3"/>
        <v>0</v>
      </c>
      <c r="L54" s="21">
        <f t="shared" si="3"/>
        <v>0</v>
      </c>
      <c r="M54" s="21">
        <f t="shared" si="3"/>
        <v>78.414347443994373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0.21002081885565016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4.1783705809037199</v>
      </c>
      <c r="C58" s="23">
        <f t="shared" ref="C58:P58" ca="1" si="4">C54*C56</f>
        <v>0</v>
      </c>
      <c r="D58" s="23">
        <f t="shared" si="4"/>
        <v>0</v>
      </c>
      <c r="E58" s="23">
        <f t="shared" si="4"/>
        <v>0</v>
      </c>
      <c r="F58" s="23">
        <f t="shared" si="4"/>
        <v>0</v>
      </c>
      <c r="G58" s="23">
        <f t="shared" si="4"/>
        <v>379.1590711743238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9277.933188364148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9277.933188364148</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37668.443760334289</v>
      </c>
      <c r="D10" s="642">
        <f ca="1">tertiair!C16</f>
        <v>0</v>
      </c>
      <c r="E10" s="642">
        <f ca="1">tertiair!D16</f>
        <v>45096.559938800725</v>
      </c>
      <c r="F10" s="642">
        <f>tertiair!E16</f>
        <v>133.10637043796936</v>
      </c>
      <c r="G10" s="642">
        <f ca="1">tertiair!F16</f>
        <v>8042.5997409607417</v>
      </c>
      <c r="H10" s="642">
        <f>tertiair!G16</f>
        <v>0</v>
      </c>
      <c r="I10" s="642">
        <f>tertiair!H16</f>
        <v>0</v>
      </c>
      <c r="J10" s="642">
        <f>tertiair!I16</f>
        <v>0</v>
      </c>
      <c r="K10" s="642">
        <f>tertiair!J16</f>
        <v>5.5998109677475962E-2</v>
      </c>
      <c r="L10" s="642">
        <f>tertiair!K16</f>
        <v>0</v>
      </c>
      <c r="M10" s="642">
        <f ca="1">tertiair!L16</f>
        <v>0</v>
      </c>
      <c r="N10" s="642">
        <f>tertiair!M16</f>
        <v>0</v>
      </c>
      <c r="O10" s="642">
        <f ca="1">tertiair!N16</f>
        <v>1965.6559316877642</v>
      </c>
      <c r="P10" s="642">
        <f>tertiair!O16</f>
        <v>34.280825360888088</v>
      </c>
      <c r="Q10" s="643">
        <f>tertiair!P16</f>
        <v>105.07827661299004</v>
      </c>
      <c r="R10" s="645">
        <f ca="1">SUM(C10:Q10)</f>
        <v>93045.780842305016</v>
      </c>
      <c r="S10" s="67"/>
    </row>
    <row r="11" spans="1:19" s="441" customFormat="1">
      <c r="A11" s="762" t="s">
        <v>214</v>
      </c>
      <c r="B11" s="767"/>
      <c r="C11" s="642">
        <f>huishoudens!B8</f>
        <v>46636.339202723073</v>
      </c>
      <c r="D11" s="642">
        <f>huishoudens!C8</f>
        <v>0</v>
      </c>
      <c r="E11" s="642">
        <f>huishoudens!D8</f>
        <v>98694.371641132617</v>
      </c>
      <c r="F11" s="642">
        <f>huishoudens!E8</f>
        <v>2896.8821027454924</v>
      </c>
      <c r="G11" s="642">
        <f>huishoudens!F8</f>
        <v>47473.182463348487</v>
      </c>
      <c r="H11" s="642">
        <f>huishoudens!G8</f>
        <v>0</v>
      </c>
      <c r="I11" s="642">
        <f>huishoudens!H8</f>
        <v>0</v>
      </c>
      <c r="J11" s="642">
        <f>huishoudens!I8</f>
        <v>0</v>
      </c>
      <c r="K11" s="642">
        <f>huishoudens!J8</f>
        <v>262.02817454311901</v>
      </c>
      <c r="L11" s="642">
        <f>huishoudens!K8</f>
        <v>0</v>
      </c>
      <c r="M11" s="642">
        <f>huishoudens!L8</f>
        <v>0</v>
      </c>
      <c r="N11" s="642">
        <f>huishoudens!M8</f>
        <v>0</v>
      </c>
      <c r="O11" s="642">
        <f>huishoudens!N8</f>
        <v>14460.757816020072</v>
      </c>
      <c r="P11" s="642">
        <f>huishoudens!O8</f>
        <v>517.8130952600153</v>
      </c>
      <c r="Q11" s="643">
        <f>huishoudens!P8</f>
        <v>674.17339569184151</v>
      </c>
      <c r="R11" s="645">
        <f>SUM(C11:Q11)</f>
        <v>211615.54789146472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99357.054047133308</v>
      </c>
      <c r="D13" s="642">
        <f>industrie!C18</f>
        <v>0</v>
      </c>
      <c r="E13" s="642">
        <f>industrie!D18</f>
        <v>63147.77834168735</v>
      </c>
      <c r="F13" s="642">
        <f>industrie!E18</f>
        <v>6631.0130020332053</v>
      </c>
      <c r="G13" s="642">
        <f>industrie!F18</f>
        <v>35461.363434746694</v>
      </c>
      <c r="H13" s="642">
        <f>industrie!G18</f>
        <v>0</v>
      </c>
      <c r="I13" s="642">
        <f>industrie!H18</f>
        <v>0</v>
      </c>
      <c r="J13" s="642">
        <f>industrie!I18</f>
        <v>0</v>
      </c>
      <c r="K13" s="642">
        <f>industrie!J18</f>
        <v>4.6683026565731618</v>
      </c>
      <c r="L13" s="642">
        <f>industrie!K18</f>
        <v>0</v>
      </c>
      <c r="M13" s="642">
        <f>industrie!L18</f>
        <v>0</v>
      </c>
      <c r="N13" s="642">
        <f>industrie!M18</f>
        <v>0</v>
      </c>
      <c r="O13" s="642">
        <f>industrie!N18</f>
        <v>1978.2464436556468</v>
      </c>
      <c r="P13" s="642">
        <f>industrie!O18</f>
        <v>0</v>
      </c>
      <c r="Q13" s="643">
        <f>industrie!P18</f>
        <v>0</v>
      </c>
      <c r="R13" s="645">
        <f>SUM(C13:Q13)</f>
        <v>206580.12357191273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183661.83701019068</v>
      </c>
      <c r="D16" s="678">
        <f t="shared" ref="D16:R16" ca="1" si="0">SUM(D9:D15)</f>
        <v>0</v>
      </c>
      <c r="E16" s="678">
        <f t="shared" ca="1" si="0"/>
        <v>206938.70992162067</v>
      </c>
      <c r="F16" s="678">
        <f t="shared" si="0"/>
        <v>9661.001475216668</v>
      </c>
      <c r="G16" s="678">
        <f t="shared" ca="1" si="0"/>
        <v>90977.145639055932</v>
      </c>
      <c r="H16" s="678">
        <f t="shared" si="0"/>
        <v>0</v>
      </c>
      <c r="I16" s="678">
        <f t="shared" si="0"/>
        <v>0</v>
      </c>
      <c r="J16" s="678">
        <f t="shared" si="0"/>
        <v>0</v>
      </c>
      <c r="K16" s="678">
        <f t="shared" si="0"/>
        <v>266.75247530936969</v>
      </c>
      <c r="L16" s="678">
        <f t="shared" si="0"/>
        <v>0</v>
      </c>
      <c r="M16" s="678">
        <f t="shared" ca="1" si="0"/>
        <v>0</v>
      </c>
      <c r="N16" s="678">
        <f t="shared" si="0"/>
        <v>0</v>
      </c>
      <c r="O16" s="678">
        <f t="shared" ca="1" si="0"/>
        <v>18404.660191363484</v>
      </c>
      <c r="P16" s="678">
        <f t="shared" si="0"/>
        <v>552.09392062090342</v>
      </c>
      <c r="Q16" s="678">
        <f t="shared" si="0"/>
        <v>779.25167230483157</v>
      </c>
      <c r="R16" s="678">
        <f t="shared" ca="1" si="0"/>
        <v>511241.45230568247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19.895030424462654</v>
      </c>
      <c r="D19" s="642">
        <f>transport!C54</f>
        <v>0</v>
      </c>
      <c r="E19" s="642">
        <f>transport!D54</f>
        <v>0</v>
      </c>
      <c r="F19" s="642">
        <f>transport!E54</f>
        <v>0</v>
      </c>
      <c r="G19" s="642">
        <f>transport!F54</f>
        <v>0</v>
      </c>
      <c r="H19" s="642">
        <f>transport!G54</f>
        <v>1420.0714276191902</v>
      </c>
      <c r="I19" s="642">
        <f>transport!H54</f>
        <v>0</v>
      </c>
      <c r="J19" s="642">
        <f>transport!I54</f>
        <v>0</v>
      </c>
      <c r="K19" s="642">
        <f>transport!J54</f>
        <v>0</v>
      </c>
      <c r="L19" s="642">
        <f>transport!K54</f>
        <v>0</v>
      </c>
      <c r="M19" s="642">
        <f>transport!L54</f>
        <v>0</v>
      </c>
      <c r="N19" s="642">
        <f>transport!M54</f>
        <v>78.414347443994373</v>
      </c>
      <c r="O19" s="642">
        <f>transport!N54</f>
        <v>0</v>
      </c>
      <c r="P19" s="642">
        <f>transport!O54</f>
        <v>0</v>
      </c>
      <c r="Q19" s="643">
        <f>transport!P54</f>
        <v>0</v>
      </c>
      <c r="R19" s="645">
        <f>SUM(C19:Q19)</f>
        <v>1518.3808054876472</v>
      </c>
      <c r="S19" s="67"/>
    </row>
    <row r="20" spans="1:19" s="441" customFormat="1">
      <c r="A20" s="762" t="s">
        <v>296</v>
      </c>
      <c r="B20" s="767"/>
      <c r="C20" s="642">
        <f>transport!B14</f>
        <v>386.38070803531684</v>
      </c>
      <c r="D20" s="642">
        <f>transport!C14</f>
        <v>0</v>
      </c>
      <c r="E20" s="642">
        <f>transport!D14</f>
        <v>616.22279596971487</v>
      </c>
      <c r="F20" s="642">
        <f>transport!E14</f>
        <v>378.33274133475976</v>
      </c>
      <c r="G20" s="642">
        <f>transport!F14</f>
        <v>0</v>
      </c>
      <c r="H20" s="642">
        <f>transport!G14</f>
        <v>171775.66599513669</v>
      </c>
      <c r="I20" s="642">
        <f>transport!H14</f>
        <v>41713.33794520524</v>
      </c>
      <c r="J20" s="642">
        <f>transport!I14</f>
        <v>0</v>
      </c>
      <c r="K20" s="642">
        <f>transport!J14</f>
        <v>0</v>
      </c>
      <c r="L20" s="642">
        <f>transport!K14</f>
        <v>0</v>
      </c>
      <c r="M20" s="642">
        <f>transport!L14</f>
        <v>0</v>
      </c>
      <c r="N20" s="642">
        <f>transport!M14</f>
        <v>12570.971056597744</v>
      </c>
      <c r="O20" s="642">
        <f>transport!N14</f>
        <v>0</v>
      </c>
      <c r="P20" s="642">
        <f>transport!O14</f>
        <v>0</v>
      </c>
      <c r="Q20" s="643">
        <f>transport!P14</f>
        <v>0</v>
      </c>
      <c r="R20" s="645">
        <f>SUM(C20:Q20)</f>
        <v>227440.91124227946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406.27573845977952</v>
      </c>
      <c r="D22" s="765">
        <f t="shared" ref="D22:R22" si="1">SUM(D18:D21)</f>
        <v>0</v>
      </c>
      <c r="E22" s="765">
        <f t="shared" si="1"/>
        <v>616.22279596971487</v>
      </c>
      <c r="F22" s="765">
        <f t="shared" si="1"/>
        <v>378.33274133475976</v>
      </c>
      <c r="G22" s="765">
        <f t="shared" si="1"/>
        <v>0</v>
      </c>
      <c r="H22" s="765">
        <f t="shared" si="1"/>
        <v>173195.73742275589</v>
      </c>
      <c r="I22" s="765">
        <f t="shared" si="1"/>
        <v>41713.33794520524</v>
      </c>
      <c r="J22" s="765">
        <f t="shared" si="1"/>
        <v>0</v>
      </c>
      <c r="K22" s="765">
        <f t="shared" si="1"/>
        <v>0</v>
      </c>
      <c r="L22" s="765">
        <f t="shared" si="1"/>
        <v>0</v>
      </c>
      <c r="M22" s="765">
        <f t="shared" si="1"/>
        <v>0</v>
      </c>
      <c r="N22" s="765">
        <f t="shared" si="1"/>
        <v>12649.385404041739</v>
      </c>
      <c r="O22" s="765">
        <f t="shared" si="1"/>
        <v>0</v>
      </c>
      <c r="P22" s="765">
        <f t="shared" si="1"/>
        <v>0</v>
      </c>
      <c r="Q22" s="765">
        <f t="shared" si="1"/>
        <v>0</v>
      </c>
      <c r="R22" s="765">
        <f t="shared" si="1"/>
        <v>228959.29204776711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1302.8749969067101</v>
      </c>
      <c r="D24" s="642">
        <f>+landbouw!C8</f>
        <v>0</v>
      </c>
      <c r="E24" s="642">
        <f>+landbouw!D8</f>
        <v>477.95405323241084</v>
      </c>
      <c r="F24" s="642">
        <f>+landbouw!E8</f>
        <v>38.412438305590427</v>
      </c>
      <c r="G24" s="642">
        <f>+landbouw!F8</f>
        <v>4140.9997678145146</v>
      </c>
      <c r="H24" s="642">
        <f>+landbouw!G8</f>
        <v>0</v>
      </c>
      <c r="I24" s="642">
        <f>+landbouw!H8</f>
        <v>0</v>
      </c>
      <c r="J24" s="642">
        <f>+landbouw!I8</f>
        <v>0</v>
      </c>
      <c r="K24" s="642">
        <f>+landbouw!J8</f>
        <v>328.57707359488404</v>
      </c>
      <c r="L24" s="642">
        <f>+landbouw!K8</f>
        <v>0</v>
      </c>
      <c r="M24" s="642">
        <f>+landbouw!L8</f>
        <v>0</v>
      </c>
      <c r="N24" s="642">
        <f>+landbouw!M8</f>
        <v>0</v>
      </c>
      <c r="O24" s="642">
        <f>+landbouw!N8</f>
        <v>0</v>
      </c>
      <c r="P24" s="642">
        <f>+landbouw!O8</f>
        <v>0</v>
      </c>
      <c r="Q24" s="643">
        <f>+landbouw!P8</f>
        <v>0</v>
      </c>
      <c r="R24" s="645">
        <f>SUM(C24:Q24)</f>
        <v>6288.8183298541098</v>
      </c>
      <c r="S24" s="67"/>
    </row>
    <row r="25" spans="1:19" s="441" customFormat="1" ht="15" thickBot="1">
      <c r="A25" s="784" t="s">
        <v>672</v>
      </c>
      <c r="B25" s="895"/>
      <c r="C25" s="896">
        <f>IF(Onbekend_ele_kWh="---",0,Onbekend_ele_kWh)/1000+IF(REST_rest_ele_kWh="---",0,REST_rest_ele_kWh)/1000</f>
        <v>1384.5824258736</v>
      </c>
      <c r="D25" s="896"/>
      <c r="E25" s="896">
        <f>IF(onbekend_gas_kWh="---",0,onbekend_gas_kWh)/1000+IF(REST_rest_gas_kWh="---",0,REST_rest_gas_kWh)/1000</f>
        <v>4487.3914113315295</v>
      </c>
      <c r="F25" s="896"/>
      <c r="G25" s="896"/>
      <c r="H25" s="896"/>
      <c r="I25" s="896"/>
      <c r="J25" s="896"/>
      <c r="K25" s="896"/>
      <c r="L25" s="896"/>
      <c r="M25" s="896"/>
      <c r="N25" s="896"/>
      <c r="O25" s="896"/>
      <c r="P25" s="896"/>
      <c r="Q25" s="897"/>
      <c r="R25" s="645">
        <f>SUM(C25:Q25)</f>
        <v>5871.9738372051297</v>
      </c>
      <c r="S25" s="67"/>
    </row>
    <row r="26" spans="1:19" s="441" customFormat="1" ht="15.75" thickBot="1">
      <c r="A26" s="650" t="s">
        <v>673</v>
      </c>
      <c r="B26" s="770"/>
      <c r="C26" s="765">
        <f>SUM(C24:C25)</f>
        <v>2687.45742278031</v>
      </c>
      <c r="D26" s="765">
        <f t="shared" ref="D26:R26" si="2">SUM(D24:D25)</f>
        <v>0</v>
      </c>
      <c r="E26" s="765">
        <f t="shared" si="2"/>
        <v>4965.3454645639404</v>
      </c>
      <c r="F26" s="765">
        <f t="shared" si="2"/>
        <v>38.412438305590427</v>
      </c>
      <c r="G26" s="765">
        <f t="shared" si="2"/>
        <v>4140.9997678145146</v>
      </c>
      <c r="H26" s="765">
        <f t="shared" si="2"/>
        <v>0</v>
      </c>
      <c r="I26" s="765">
        <f t="shared" si="2"/>
        <v>0</v>
      </c>
      <c r="J26" s="765">
        <f t="shared" si="2"/>
        <v>0</v>
      </c>
      <c r="K26" s="765">
        <f t="shared" si="2"/>
        <v>328.57707359488404</v>
      </c>
      <c r="L26" s="765">
        <f t="shared" si="2"/>
        <v>0</v>
      </c>
      <c r="M26" s="765">
        <f t="shared" si="2"/>
        <v>0</v>
      </c>
      <c r="N26" s="765">
        <f t="shared" si="2"/>
        <v>0</v>
      </c>
      <c r="O26" s="765">
        <f t="shared" si="2"/>
        <v>0</v>
      </c>
      <c r="P26" s="765">
        <f t="shared" si="2"/>
        <v>0</v>
      </c>
      <c r="Q26" s="765">
        <f t="shared" si="2"/>
        <v>0</v>
      </c>
      <c r="R26" s="765">
        <f t="shared" si="2"/>
        <v>12160.79216705924</v>
      </c>
      <c r="S26" s="67"/>
    </row>
    <row r="27" spans="1:19" s="441" customFormat="1" ht="17.25" thickTop="1" thickBot="1">
      <c r="A27" s="651" t="s">
        <v>109</v>
      </c>
      <c r="B27" s="757"/>
      <c r="C27" s="652">
        <f ca="1">C22+C16+C26</f>
        <v>186755.57017143077</v>
      </c>
      <c r="D27" s="652">
        <f t="shared" ref="D27:R27" ca="1" si="3">D22+D16+D26</f>
        <v>0</v>
      </c>
      <c r="E27" s="652">
        <f t="shared" ca="1" si="3"/>
        <v>212520.27818215432</v>
      </c>
      <c r="F27" s="652">
        <f t="shared" si="3"/>
        <v>10077.746654857017</v>
      </c>
      <c r="G27" s="652">
        <f t="shared" ca="1" si="3"/>
        <v>95118.145406870448</v>
      </c>
      <c r="H27" s="652">
        <f t="shared" si="3"/>
        <v>173195.73742275589</v>
      </c>
      <c r="I27" s="652">
        <f t="shared" si="3"/>
        <v>41713.33794520524</v>
      </c>
      <c r="J27" s="652">
        <f t="shared" si="3"/>
        <v>0</v>
      </c>
      <c r="K27" s="652">
        <f t="shared" si="3"/>
        <v>595.32954890425367</v>
      </c>
      <c r="L27" s="652">
        <f t="shared" si="3"/>
        <v>0</v>
      </c>
      <c r="M27" s="652">
        <f t="shared" ca="1" si="3"/>
        <v>0</v>
      </c>
      <c r="N27" s="652">
        <f t="shared" si="3"/>
        <v>12649.385404041739</v>
      </c>
      <c r="O27" s="652">
        <f t="shared" ca="1" si="3"/>
        <v>18404.660191363484</v>
      </c>
      <c r="P27" s="652">
        <f t="shared" si="3"/>
        <v>552.09392062090342</v>
      </c>
      <c r="Q27" s="652">
        <f t="shared" si="3"/>
        <v>779.25167230483157</v>
      </c>
      <c r="R27" s="652">
        <f t="shared" ca="1" si="3"/>
        <v>752361.53652050882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7911.157403563413</v>
      </c>
      <c r="D40" s="642">
        <f ca="1">tertiair!C20</f>
        <v>0</v>
      </c>
      <c r="E40" s="642">
        <f ca="1">tertiair!D20</f>
        <v>9109.5051076377476</v>
      </c>
      <c r="F40" s="642">
        <f>tertiair!E20</f>
        <v>30.215146089419047</v>
      </c>
      <c r="G40" s="642">
        <f ca="1">tertiair!F20</f>
        <v>2147.3741308365184</v>
      </c>
      <c r="H40" s="642">
        <f>tertiair!G20</f>
        <v>0</v>
      </c>
      <c r="I40" s="642">
        <f>tertiair!H20</f>
        <v>0</v>
      </c>
      <c r="J40" s="642">
        <f>tertiair!I20</f>
        <v>0</v>
      </c>
      <c r="K40" s="642">
        <f>tertiair!J20</f>
        <v>1.9823330825826491E-2</v>
      </c>
      <c r="L40" s="642">
        <f>tertiair!K20</f>
        <v>0</v>
      </c>
      <c r="M40" s="642">
        <f ca="1">tertiair!L20</f>
        <v>0</v>
      </c>
      <c r="N40" s="642">
        <f>tertiair!M20</f>
        <v>0</v>
      </c>
      <c r="O40" s="642">
        <f ca="1">tertiair!N20</f>
        <v>0</v>
      </c>
      <c r="P40" s="642">
        <f>tertiair!O20</f>
        <v>0</v>
      </c>
      <c r="Q40" s="725">
        <f>tertiair!P20</f>
        <v>0</v>
      </c>
      <c r="R40" s="803">
        <f t="shared" ca="1" si="4"/>
        <v>19198.271611457923</v>
      </c>
    </row>
    <row r="41" spans="1:18">
      <c r="A41" s="775" t="s">
        <v>214</v>
      </c>
      <c r="B41" s="782"/>
      <c r="C41" s="642">
        <f ca="1">huishoudens!B12</f>
        <v>9794.6021477857594</v>
      </c>
      <c r="D41" s="642">
        <f ca="1">huishoudens!C12</f>
        <v>0</v>
      </c>
      <c r="E41" s="642">
        <f>huishoudens!D12</f>
        <v>19936.263071508791</v>
      </c>
      <c r="F41" s="642">
        <f>huishoudens!E12</f>
        <v>657.59223732322675</v>
      </c>
      <c r="G41" s="642">
        <f>huishoudens!F12</f>
        <v>12675.339717714047</v>
      </c>
      <c r="H41" s="642">
        <f>huishoudens!G12</f>
        <v>0</v>
      </c>
      <c r="I41" s="642">
        <f>huishoudens!H12</f>
        <v>0</v>
      </c>
      <c r="J41" s="642">
        <f>huishoudens!I12</f>
        <v>0</v>
      </c>
      <c r="K41" s="642">
        <f>huishoudens!J12</f>
        <v>92.757973788264124</v>
      </c>
      <c r="L41" s="642">
        <f>huishoudens!K12</f>
        <v>0</v>
      </c>
      <c r="M41" s="642">
        <f>huishoudens!L12</f>
        <v>0</v>
      </c>
      <c r="N41" s="642">
        <f>huishoudens!M12</f>
        <v>0</v>
      </c>
      <c r="O41" s="642">
        <f>huishoudens!N12</f>
        <v>0</v>
      </c>
      <c r="P41" s="642">
        <f>huishoudens!O12</f>
        <v>0</v>
      </c>
      <c r="Q41" s="725">
        <f>huishoudens!P12</f>
        <v>0</v>
      </c>
      <c r="R41" s="803">
        <f t="shared" ca="1" si="4"/>
        <v>43156.555148120089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20867.049850064028</v>
      </c>
      <c r="D43" s="642">
        <f ca="1">industrie!C22</f>
        <v>0</v>
      </c>
      <c r="E43" s="642">
        <f>industrie!D22</f>
        <v>12755.851225020846</v>
      </c>
      <c r="F43" s="642">
        <f>industrie!E22</f>
        <v>1505.2399514615377</v>
      </c>
      <c r="G43" s="642">
        <f>industrie!F22</f>
        <v>9468.184037077368</v>
      </c>
      <c r="H43" s="642">
        <f>industrie!G22</f>
        <v>0</v>
      </c>
      <c r="I43" s="642">
        <f>industrie!H22</f>
        <v>0</v>
      </c>
      <c r="J43" s="642">
        <f>industrie!I22</f>
        <v>0</v>
      </c>
      <c r="K43" s="642">
        <f>industrie!J22</f>
        <v>1.6525791404268992</v>
      </c>
      <c r="L43" s="642">
        <f>industrie!K22</f>
        <v>0</v>
      </c>
      <c r="M43" s="642">
        <f>industrie!L22</f>
        <v>0</v>
      </c>
      <c r="N43" s="642">
        <f>industrie!M22</f>
        <v>0</v>
      </c>
      <c r="O43" s="642">
        <f>industrie!N22</f>
        <v>0</v>
      </c>
      <c r="P43" s="642">
        <f>industrie!O22</f>
        <v>0</v>
      </c>
      <c r="Q43" s="725">
        <f>industrie!P22</f>
        <v>0</v>
      </c>
      <c r="R43" s="802">
        <f t="shared" ca="1" si="4"/>
        <v>44597.977642764206</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38572.8094014132</v>
      </c>
      <c r="D46" s="678">
        <f t="shared" ref="D46:Q46" ca="1" si="5">SUM(D39:D45)</f>
        <v>0</v>
      </c>
      <c r="E46" s="678">
        <f t="shared" ca="1" si="5"/>
        <v>41801.619404167381</v>
      </c>
      <c r="F46" s="678">
        <f t="shared" si="5"/>
        <v>2193.0473348741834</v>
      </c>
      <c r="G46" s="678">
        <f t="shared" ca="1" si="5"/>
        <v>24290.897885627935</v>
      </c>
      <c r="H46" s="678">
        <f t="shared" si="5"/>
        <v>0</v>
      </c>
      <c r="I46" s="678">
        <f t="shared" si="5"/>
        <v>0</v>
      </c>
      <c r="J46" s="678">
        <f t="shared" si="5"/>
        <v>0</v>
      </c>
      <c r="K46" s="678">
        <f t="shared" si="5"/>
        <v>94.430376259516848</v>
      </c>
      <c r="L46" s="678">
        <f t="shared" si="5"/>
        <v>0</v>
      </c>
      <c r="M46" s="678">
        <f t="shared" ca="1" si="5"/>
        <v>0</v>
      </c>
      <c r="N46" s="678">
        <f t="shared" si="5"/>
        <v>0</v>
      </c>
      <c r="O46" s="678">
        <f t="shared" ca="1" si="5"/>
        <v>0</v>
      </c>
      <c r="P46" s="678">
        <f t="shared" si="5"/>
        <v>0</v>
      </c>
      <c r="Q46" s="678">
        <f t="shared" si="5"/>
        <v>0</v>
      </c>
      <c r="R46" s="678">
        <f ca="1">SUM(R39:R45)</f>
        <v>106952.80440234221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4.1783705809037199</v>
      </c>
      <c r="D49" s="642">
        <f ca="1">transport!C58</f>
        <v>0</v>
      </c>
      <c r="E49" s="642">
        <f>transport!D58</f>
        <v>0</v>
      </c>
      <c r="F49" s="642">
        <f>transport!E58</f>
        <v>0</v>
      </c>
      <c r="G49" s="642">
        <f>transport!F58</f>
        <v>0</v>
      </c>
      <c r="H49" s="642">
        <f>transport!G58</f>
        <v>379.1590711743238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383.33744175522753</v>
      </c>
    </row>
    <row r="50" spans="1:18">
      <c r="A50" s="778" t="s">
        <v>296</v>
      </c>
      <c r="B50" s="788"/>
      <c r="C50" s="648">
        <f ca="1">transport!B18</f>
        <v>81.147992691603136</v>
      </c>
      <c r="D50" s="648">
        <f>transport!C18</f>
        <v>0</v>
      </c>
      <c r="E50" s="648">
        <f>transport!D18</f>
        <v>124.47700478588241</v>
      </c>
      <c r="F50" s="648">
        <f>transport!E18</f>
        <v>85.881532282990463</v>
      </c>
      <c r="G50" s="648">
        <f>transport!F18</f>
        <v>0</v>
      </c>
      <c r="H50" s="648">
        <f>transport!G18</f>
        <v>45864.102820701497</v>
      </c>
      <c r="I50" s="648">
        <f>transport!H18</f>
        <v>10386.621148356104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56542.230498818077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85.326363272506853</v>
      </c>
      <c r="D52" s="678">
        <f t="shared" ref="D52:Q52" ca="1" si="6">SUM(D48:D51)</f>
        <v>0</v>
      </c>
      <c r="E52" s="678">
        <f t="shared" si="6"/>
        <v>124.47700478588241</v>
      </c>
      <c r="F52" s="678">
        <f t="shared" si="6"/>
        <v>85.881532282990463</v>
      </c>
      <c r="G52" s="678">
        <f t="shared" si="6"/>
        <v>0</v>
      </c>
      <c r="H52" s="678">
        <f t="shared" si="6"/>
        <v>46243.261891875823</v>
      </c>
      <c r="I52" s="678">
        <f t="shared" si="6"/>
        <v>10386.621148356104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56925.567940573303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273.63087371689994</v>
      </c>
      <c r="D54" s="648">
        <f ca="1">+landbouw!C12</f>
        <v>0</v>
      </c>
      <c r="E54" s="648">
        <f>+landbouw!D12</f>
        <v>96.546718752947001</v>
      </c>
      <c r="F54" s="648">
        <f>+landbouw!E12</f>
        <v>8.7196234953690279</v>
      </c>
      <c r="G54" s="648">
        <f>+landbouw!F12</f>
        <v>1105.6469380064755</v>
      </c>
      <c r="H54" s="648">
        <f>+landbouw!G12</f>
        <v>0</v>
      </c>
      <c r="I54" s="648">
        <f>+landbouw!H12</f>
        <v>0</v>
      </c>
      <c r="J54" s="648">
        <f>+landbouw!I12</f>
        <v>0</v>
      </c>
      <c r="K54" s="648">
        <f>+landbouw!J12</f>
        <v>116.31628405258894</v>
      </c>
      <c r="L54" s="648">
        <f>+landbouw!K12</f>
        <v>0</v>
      </c>
      <c r="M54" s="648">
        <f>+landbouw!L12</f>
        <v>0</v>
      </c>
      <c r="N54" s="648">
        <f>+landbouw!M12</f>
        <v>0</v>
      </c>
      <c r="O54" s="648">
        <f>+landbouw!N12</f>
        <v>0</v>
      </c>
      <c r="P54" s="648">
        <f>+landbouw!O12</f>
        <v>0</v>
      </c>
      <c r="Q54" s="649">
        <f>+landbouw!P12</f>
        <v>0</v>
      </c>
      <c r="R54" s="677">
        <f ca="1">SUM(C54:Q54)</f>
        <v>1600.8604380242805</v>
      </c>
    </row>
    <row r="55" spans="1:18" ht="15" thickBot="1">
      <c r="A55" s="778" t="s">
        <v>672</v>
      </c>
      <c r="B55" s="788"/>
      <c r="C55" s="648">
        <f ca="1">C25*'EF ele_warmte'!B12</f>
        <v>290.79113485511601</v>
      </c>
      <c r="D55" s="648"/>
      <c r="E55" s="648">
        <f>E25*EF_CO2_aardgas</f>
        <v>906.45306508896897</v>
      </c>
      <c r="F55" s="648"/>
      <c r="G55" s="648"/>
      <c r="H55" s="648"/>
      <c r="I55" s="648"/>
      <c r="J55" s="648"/>
      <c r="K55" s="648"/>
      <c r="L55" s="648"/>
      <c r="M55" s="648"/>
      <c r="N55" s="648"/>
      <c r="O55" s="648"/>
      <c r="P55" s="648"/>
      <c r="Q55" s="649"/>
      <c r="R55" s="677">
        <f ca="1">SUM(C55:Q55)</f>
        <v>1197.244199944085</v>
      </c>
    </row>
    <row r="56" spans="1:18" ht="15.75" thickBot="1">
      <c r="A56" s="776" t="s">
        <v>673</v>
      </c>
      <c r="B56" s="789"/>
      <c r="C56" s="678">
        <f ca="1">SUM(C54:C55)</f>
        <v>564.42200857201601</v>
      </c>
      <c r="D56" s="678">
        <f t="shared" ref="D56:Q56" ca="1" si="7">SUM(D54:D55)</f>
        <v>0</v>
      </c>
      <c r="E56" s="678">
        <f t="shared" si="7"/>
        <v>1002.9997838419159</v>
      </c>
      <c r="F56" s="678">
        <f t="shared" si="7"/>
        <v>8.7196234953690279</v>
      </c>
      <c r="G56" s="678">
        <f t="shared" si="7"/>
        <v>1105.6469380064755</v>
      </c>
      <c r="H56" s="678">
        <f t="shared" si="7"/>
        <v>0</v>
      </c>
      <c r="I56" s="678">
        <f t="shared" si="7"/>
        <v>0</v>
      </c>
      <c r="J56" s="678">
        <f t="shared" si="7"/>
        <v>0</v>
      </c>
      <c r="K56" s="678">
        <f t="shared" si="7"/>
        <v>116.31628405258894</v>
      </c>
      <c r="L56" s="678">
        <f t="shared" si="7"/>
        <v>0</v>
      </c>
      <c r="M56" s="678">
        <f t="shared" si="7"/>
        <v>0</v>
      </c>
      <c r="N56" s="678">
        <f t="shared" si="7"/>
        <v>0</v>
      </c>
      <c r="O56" s="678">
        <f t="shared" si="7"/>
        <v>0</v>
      </c>
      <c r="P56" s="678">
        <f t="shared" si="7"/>
        <v>0</v>
      </c>
      <c r="Q56" s="679">
        <f t="shared" si="7"/>
        <v>0</v>
      </c>
      <c r="R56" s="680">
        <f ca="1">SUM(R54:R55)</f>
        <v>2798.1046379683658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39222.557773257722</v>
      </c>
      <c r="D61" s="686">
        <f t="shared" ref="D61:Q61" ca="1" si="8">D46+D52+D56</f>
        <v>0</v>
      </c>
      <c r="E61" s="686">
        <f t="shared" ca="1" si="8"/>
        <v>42929.096192795179</v>
      </c>
      <c r="F61" s="686">
        <f t="shared" si="8"/>
        <v>2287.6484906525429</v>
      </c>
      <c r="G61" s="686">
        <f t="shared" ca="1" si="8"/>
        <v>25396.544823634409</v>
      </c>
      <c r="H61" s="686">
        <f t="shared" si="8"/>
        <v>46243.261891875823</v>
      </c>
      <c r="I61" s="686">
        <f t="shared" si="8"/>
        <v>10386.621148356104</v>
      </c>
      <c r="J61" s="686">
        <f t="shared" si="8"/>
        <v>0</v>
      </c>
      <c r="K61" s="686">
        <f t="shared" si="8"/>
        <v>210.7466603121058</v>
      </c>
      <c r="L61" s="686">
        <f t="shared" si="8"/>
        <v>0</v>
      </c>
      <c r="M61" s="686">
        <f t="shared" ca="1" si="8"/>
        <v>0</v>
      </c>
      <c r="N61" s="686">
        <f t="shared" si="8"/>
        <v>0</v>
      </c>
      <c r="O61" s="686">
        <f t="shared" ca="1" si="8"/>
        <v>0</v>
      </c>
      <c r="P61" s="686">
        <f t="shared" si="8"/>
        <v>0</v>
      </c>
      <c r="Q61" s="686">
        <f t="shared" si="8"/>
        <v>0</v>
      </c>
      <c r="R61" s="686">
        <f ca="1">R46+R52+R56</f>
        <v>166676.47698088386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0.21002081885565016</v>
      </c>
      <c r="D63" s="732">
        <f t="shared" ca="1" si="9"/>
        <v>0</v>
      </c>
      <c r="E63" s="921">
        <f t="shared" ca="1" si="9"/>
        <v>0.20200000000000004</v>
      </c>
      <c r="F63" s="732">
        <f t="shared" si="9"/>
        <v>0.22700000000000001</v>
      </c>
      <c r="G63" s="732">
        <f t="shared" ca="1" si="9"/>
        <v>0.26700000000000002</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9277.933188364148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9277.933188364148</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46636.339202723073</v>
      </c>
      <c r="C4" s="445">
        <f>huishoudens!C8</f>
        <v>0</v>
      </c>
      <c r="D4" s="445">
        <f>huishoudens!D8</f>
        <v>98694.371641132617</v>
      </c>
      <c r="E4" s="445">
        <f>huishoudens!E8</f>
        <v>2896.8821027454924</v>
      </c>
      <c r="F4" s="445">
        <f>huishoudens!F8</f>
        <v>47473.182463348487</v>
      </c>
      <c r="G4" s="445">
        <f>huishoudens!G8</f>
        <v>0</v>
      </c>
      <c r="H4" s="445">
        <f>huishoudens!H8</f>
        <v>0</v>
      </c>
      <c r="I4" s="445">
        <f>huishoudens!I8</f>
        <v>0</v>
      </c>
      <c r="J4" s="445">
        <f>huishoudens!J8</f>
        <v>262.02817454311901</v>
      </c>
      <c r="K4" s="445">
        <f>huishoudens!K8</f>
        <v>0</v>
      </c>
      <c r="L4" s="445">
        <f>huishoudens!L8</f>
        <v>0</v>
      </c>
      <c r="M4" s="445">
        <f>huishoudens!M8</f>
        <v>0</v>
      </c>
      <c r="N4" s="445">
        <f>huishoudens!N8</f>
        <v>14460.757816020072</v>
      </c>
      <c r="O4" s="445">
        <f>huishoudens!O8</f>
        <v>517.8130952600153</v>
      </c>
      <c r="P4" s="446">
        <f>huishoudens!P8</f>
        <v>674.17339569184151</v>
      </c>
      <c r="Q4" s="447">
        <f>SUM(B4:P4)</f>
        <v>211615.54789146472</v>
      </c>
    </row>
    <row r="5" spans="1:17">
      <c r="A5" s="444" t="s">
        <v>149</v>
      </c>
      <c r="B5" s="445">
        <f ca="1">tertiair!B16</f>
        <v>35847.917760334291</v>
      </c>
      <c r="C5" s="445">
        <f ca="1">tertiair!C16</f>
        <v>0</v>
      </c>
      <c r="D5" s="445">
        <f ca="1">tertiair!D16</f>
        <v>45096.559938800725</v>
      </c>
      <c r="E5" s="445">
        <f>tertiair!E16</f>
        <v>133.10637043796936</v>
      </c>
      <c r="F5" s="445">
        <f ca="1">tertiair!F16</f>
        <v>8042.5997409607417</v>
      </c>
      <c r="G5" s="445">
        <f>tertiair!G16</f>
        <v>0</v>
      </c>
      <c r="H5" s="445">
        <f>tertiair!H16</f>
        <v>0</v>
      </c>
      <c r="I5" s="445">
        <f>tertiair!I16</f>
        <v>0</v>
      </c>
      <c r="J5" s="445">
        <f>tertiair!J16</f>
        <v>5.5998109677475962E-2</v>
      </c>
      <c r="K5" s="445">
        <f>tertiair!K16</f>
        <v>0</v>
      </c>
      <c r="L5" s="445">
        <f ca="1">tertiair!L16</f>
        <v>0</v>
      </c>
      <c r="M5" s="445">
        <f>tertiair!M16</f>
        <v>0</v>
      </c>
      <c r="N5" s="445">
        <f ca="1">tertiair!N16</f>
        <v>1965.6559316877642</v>
      </c>
      <c r="O5" s="445">
        <f>tertiair!O16</f>
        <v>34.280825360888088</v>
      </c>
      <c r="P5" s="446">
        <f>tertiair!P16</f>
        <v>105.07827661299004</v>
      </c>
      <c r="Q5" s="444">
        <f t="shared" ref="Q5:Q14" ca="1" si="0">SUM(B5:P5)</f>
        <v>91225.254842305032</v>
      </c>
    </row>
    <row r="6" spans="1:17">
      <c r="A6" s="444" t="s">
        <v>187</v>
      </c>
      <c r="B6" s="445">
        <f>'openbare verlichting'!B8</f>
        <v>1820.5260000000001</v>
      </c>
      <c r="C6" s="445"/>
      <c r="D6" s="445"/>
      <c r="E6" s="445"/>
      <c r="F6" s="445"/>
      <c r="G6" s="445"/>
      <c r="H6" s="445"/>
      <c r="I6" s="445"/>
      <c r="J6" s="445"/>
      <c r="K6" s="445"/>
      <c r="L6" s="445"/>
      <c r="M6" s="445"/>
      <c r="N6" s="445"/>
      <c r="O6" s="445"/>
      <c r="P6" s="446"/>
      <c r="Q6" s="444">
        <f t="shared" si="0"/>
        <v>1820.5260000000001</v>
      </c>
    </row>
    <row r="7" spans="1:17">
      <c r="A7" s="444" t="s">
        <v>105</v>
      </c>
      <c r="B7" s="445">
        <f>landbouw!B8</f>
        <v>1302.8749969067101</v>
      </c>
      <c r="C7" s="445">
        <f>landbouw!C8</f>
        <v>0</v>
      </c>
      <c r="D7" s="445">
        <f>landbouw!D8</f>
        <v>477.95405323241084</v>
      </c>
      <c r="E7" s="445">
        <f>landbouw!E8</f>
        <v>38.412438305590427</v>
      </c>
      <c r="F7" s="445">
        <f>landbouw!F8</f>
        <v>4140.9997678145146</v>
      </c>
      <c r="G7" s="445">
        <f>landbouw!G8</f>
        <v>0</v>
      </c>
      <c r="H7" s="445">
        <f>landbouw!H8</f>
        <v>0</v>
      </c>
      <c r="I7" s="445">
        <f>landbouw!I8</f>
        <v>0</v>
      </c>
      <c r="J7" s="445">
        <f>landbouw!J8</f>
        <v>328.57707359488404</v>
      </c>
      <c r="K7" s="445">
        <f>landbouw!K8</f>
        <v>0</v>
      </c>
      <c r="L7" s="445">
        <f>landbouw!L8</f>
        <v>0</v>
      </c>
      <c r="M7" s="445">
        <f>landbouw!M8</f>
        <v>0</v>
      </c>
      <c r="N7" s="445">
        <f>landbouw!N8</f>
        <v>0</v>
      </c>
      <c r="O7" s="445">
        <f>landbouw!O8</f>
        <v>0</v>
      </c>
      <c r="P7" s="446">
        <f>landbouw!P8</f>
        <v>0</v>
      </c>
      <c r="Q7" s="444">
        <f t="shared" si="0"/>
        <v>6288.8183298541098</v>
      </c>
    </row>
    <row r="8" spans="1:17">
      <c r="A8" s="444" t="s">
        <v>587</v>
      </c>
      <c r="B8" s="445">
        <f>industrie!B18</f>
        <v>99357.054047133308</v>
      </c>
      <c r="C8" s="445">
        <f>industrie!C18</f>
        <v>0</v>
      </c>
      <c r="D8" s="445">
        <f>industrie!D18</f>
        <v>63147.77834168735</v>
      </c>
      <c r="E8" s="445">
        <f>industrie!E18</f>
        <v>6631.0130020332053</v>
      </c>
      <c r="F8" s="445">
        <f>industrie!F18</f>
        <v>35461.363434746694</v>
      </c>
      <c r="G8" s="445">
        <f>industrie!G18</f>
        <v>0</v>
      </c>
      <c r="H8" s="445">
        <f>industrie!H18</f>
        <v>0</v>
      </c>
      <c r="I8" s="445">
        <f>industrie!I18</f>
        <v>0</v>
      </c>
      <c r="J8" s="445">
        <f>industrie!J18</f>
        <v>4.6683026565731618</v>
      </c>
      <c r="K8" s="445">
        <f>industrie!K18</f>
        <v>0</v>
      </c>
      <c r="L8" s="445">
        <f>industrie!L18</f>
        <v>0</v>
      </c>
      <c r="M8" s="445">
        <f>industrie!M18</f>
        <v>0</v>
      </c>
      <c r="N8" s="445">
        <f>industrie!N18</f>
        <v>1978.2464436556468</v>
      </c>
      <c r="O8" s="445">
        <f>industrie!O18</f>
        <v>0</v>
      </c>
      <c r="P8" s="446">
        <f>industrie!P18</f>
        <v>0</v>
      </c>
      <c r="Q8" s="444">
        <f t="shared" si="0"/>
        <v>206580.12357191273</v>
      </c>
    </row>
    <row r="9" spans="1:17" s="450" customFormat="1">
      <c r="A9" s="448" t="s">
        <v>536</v>
      </c>
      <c r="B9" s="449">
        <f>transport!B14</f>
        <v>386.38070803531684</v>
      </c>
      <c r="C9" s="449">
        <f>transport!C14</f>
        <v>0</v>
      </c>
      <c r="D9" s="449">
        <f>transport!D14</f>
        <v>616.22279596971487</v>
      </c>
      <c r="E9" s="449">
        <f>transport!E14</f>
        <v>378.33274133475976</v>
      </c>
      <c r="F9" s="449">
        <f>transport!F14</f>
        <v>0</v>
      </c>
      <c r="G9" s="449">
        <f>transport!G14</f>
        <v>171775.66599513669</v>
      </c>
      <c r="H9" s="449">
        <f>transport!H14</f>
        <v>41713.33794520524</v>
      </c>
      <c r="I9" s="449">
        <f>transport!I14</f>
        <v>0</v>
      </c>
      <c r="J9" s="449">
        <f>transport!J14</f>
        <v>0</v>
      </c>
      <c r="K9" s="449">
        <f>transport!K14</f>
        <v>0</v>
      </c>
      <c r="L9" s="449">
        <f>transport!L14</f>
        <v>0</v>
      </c>
      <c r="M9" s="449">
        <f>transport!M14</f>
        <v>12570.971056597744</v>
      </c>
      <c r="N9" s="449">
        <f>transport!N14</f>
        <v>0</v>
      </c>
      <c r="O9" s="449">
        <f>transport!O14</f>
        <v>0</v>
      </c>
      <c r="P9" s="449">
        <f>transport!P14</f>
        <v>0</v>
      </c>
      <c r="Q9" s="448">
        <f>SUM(B9:P9)</f>
        <v>227440.91124227946</v>
      </c>
    </row>
    <row r="10" spans="1:17">
      <c r="A10" s="444" t="s">
        <v>526</v>
      </c>
      <c r="B10" s="445">
        <f>transport!B54</f>
        <v>19.895030424462654</v>
      </c>
      <c r="C10" s="445">
        <f>transport!C54</f>
        <v>0</v>
      </c>
      <c r="D10" s="445">
        <f>transport!D54</f>
        <v>0</v>
      </c>
      <c r="E10" s="445">
        <f>transport!E54</f>
        <v>0</v>
      </c>
      <c r="F10" s="445">
        <f>transport!F54</f>
        <v>0</v>
      </c>
      <c r="G10" s="445">
        <f>transport!G54</f>
        <v>1420.0714276191902</v>
      </c>
      <c r="H10" s="445">
        <f>transport!H54</f>
        <v>0</v>
      </c>
      <c r="I10" s="445">
        <f>transport!I54</f>
        <v>0</v>
      </c>
      <c r="J10" s="445">
        <f>transport!J54</f>
        <v>0</v>
      </c>
      <c r="K10" s="445">
        <f>transport!K54</f>
        <v>0</v>
      </c>
      <c r="L10" s="445">
        <f>transport!L54</f>
        <v>0</v>
      </c>
      <c r="M10" s="445">
        <f>transport!M54</f>
        <v>78.414347443994373</v>
      </c>
      <c r="N10" s="445">
        <f>transport!N54</f>
        <v>0</v>
      </c>
      <c r="O10" s="445">
        <f>transport!O54</f>
        <v>0</v>
      </c>
      <c r="P10" s="446">
        <f>transport!P54</f>
        <v>0</v>
      </c>
      <c r="Q10" s="444">
        <f t="shared" si="0"/>
        <v>1518.3808054876472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1384.5824258736</v>
      </c>
      <c r="C14" s="452"/>
      <c r="D14" s="452">
        <f>'SEAP template'!E25</f>
        <v>4487.3914113315295</v>
      </c>
      <c r="E14" s="452"/>
      <c r="F14" s="452"/>
      <c r="G14" s="452"/>
      <c r="H14" s="452"/>
      <c r="I14" s="452"/>
      <c r="J14" s="452"/>
      <c r="K14" s="452"/>
      <c r="L14" s="452"/>
      <c r="M14" s="452"/>
      <c r="N14" s="452"/>
      <c r="O14" s="452"/>
      <c r="P14" s="453"/>
      <c r="Q14" s="444">
        <f t="shared" si="0"/>
        <v>5871.9738372051297</v>
      </c>
    </row>
    <row r="15" spans="1:17" s="456" customFormat="1">
      <c r="A15" s="454" t="s">
        <v>530</v>
      </c>
      <c r="B15" s="455">
        <f ca="1">SUM(B4:B14)</f>
        <v>186755.57017143077</v>
      </c>
      <c r="C15" s="455">
        <f t="shared" ref="C15:Q15" ca="1" si="1">SUM(C4:C14)</f>
        <v>0</v>
      </c>
      <c r="D15" s="455">
        <f t="shared" ca="1" si="1"/>
        <v>212520.27818215435</v>
      </c>
      <c r="E15" s="455">
        <f t="shared" si="1"/>
        <v>10077.746654857017</v>
      </c>
      <c r="F15" s="455">
        <f t="shared" ca="1" si="1"/>
        <v>95118.145406870433</v>
      </c>
      <c r="G15" s="455">
        <f t="shared" si="1"/>
        <v>173195.73742275589</v>
      </c>
      <c r="H15" s="455">
        <f t="shared" si="1"/>
        <v>41713.33794520524</v>
      </c>
      <c r="I15" s="455">
        <f t="shared" si="1"/>
        <v>0</v>
      </c>
      <c r="J15" s="455">
        <f t="shared" si="1"/>
        <v>595.32954890425367</v>
      </c>
      <c r="K15" s="455">
        <f t="shared" si="1"/>
        <v>0</v>
      </c>
      <c r="L15" s="455">
        <f t="shared" ca="1" si="1"/>
        <v>0</v>
      </c>
      <c r="M15" s="455">
        <f t="shared" si="1"/>
        <v>12649.385404041739</v>
      </c>
      <c r="N15" s="455">
        <f t="shared" ca="1" si="1"/>
        <v>18404.660191363484</v>
      </c>
      <c r="O15" s="455">
        <f t="shared" si="1"/>
        <v>552.09392062090342</v>
      </c>
      <c r="P15" s="455">
        <f t="shared" si="1"/>
        <v>779.25167230483157</v>
      </c>
      <c r="Q15" s="455">
        <f t="shared" ca="1" si="1"/>
        <v>752361.53652050882</v>
      </c>
    </row>
    <row r="17" spans="1:17">
      <c r="A17" s="457" t="s">
        <v>531</v>
      </c>
      <c r="B17" s="737">
        <f ca="1">huishoudens!B10</f>
        <v>0.21002081885565016</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9794.6021477857594</v>
      </c>
      <c r="C22" s="445">
        <f t="shared" ref="C22:C32" ca="1" si="3">C4*$C$17</f>
        <v>0</v>
      </c>
      <c r="D22" s="445">
        <f t="shared" ref="D22:D32" si="4">D4*$D$17</f>
        <v>19936.263071508791</v>
      </c>
      <c r="E22" s="445">
        <f t="shared" ref="E22:E32" si="5">E4*$E$17</f>
        <v>657.59223732322675</v>
      </c>
      <c r="F22" s="445">
        <f t="shared" ref="F22:F32" si="6">F4*$F$17</f>
        <v>12675.339717714047</v>
      </c>
      <c r="G22" s="445">
        <f t="shared" ref="G22:G32" si="7">G4*$G$17</f>
        <v>0</v>
      </c>
      <c r="H22" s="445">
        <f t="shared" ref="H22:H32" si="8">H4*$H$17</f>
        <v>0</v>
      </c>
      <c r="I22" s="445">
        <f t="shared" ref="I22:I32" si="9">I4*$I$17</f>
        <v>0</v>
      </c>
      <c r="J22" s="445">
        <f t="shared" ref="J22:J32" si="10">J4*$J$17</f>
        <v>92.757973788264124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43156.555148120089</v>
      </c>
    </row>
    <row r="23" spans="1:17">
      <c r="A23" s="444" t="s">
        <v>149</v>
      </c>
      <c r="B23" s="445">
        <f t="shared" ca="1" si="2"/>
        <v>7528.8090422954119</v>
      </c>
      <c r="C23" s="445">
        <f t="shared" ca="1" si="3"/>
        <v>0</v>
      </c>
      <c r="D23" s="445">
        <f t="shared" ca="1" si="4"/>
        <v>9109.5051076377476</v>
      </c>
      <c r="E23" s="445">
        <f t="shared" si="5"/>
        <v>30.215146089419047</v>
      </c>
      <c r="F23" s="445">
        <f t="shared" ca="1" si="6"/>
        <v>2147.3741308365184</v>
      </c>
      <c r="G23" s="445">
        <f t="shared" si="7"/>
        <v>0</v>
      </c>
      <c r="H23" s="445">
        <f t="shared" si="8"/>
        <v>0</v>
      </c>
      <c r="I23" s="445">
        <f t="shared" si="9"/>
        <v>0</v>
      </c>
      <c r="J23" s="445">
        <f t="shared" si="10"/>
        <v>1.9823330825826491E-2</v>
      </c>
      <c r="K23" s="445">
        <f t="shared" si="11"/>
        <v>0</v>
      </c>
      <c r="L23" s="445">
        <f t="shared" ca="1" si="12"/>
        <v>0</v>
      </c>
      <c r="M23" s="445">
        <f t="shared" si="13"/>
        <v>0</v>
      </c>
      <c r="N23" s="445">
        <f t="shared" ca="1" si="14"/>
        <v>0</v>
      </c>
      <c r="O23" s="445">
        <f t="shared" si="15"/>
        <v>0</v>
      </c>
      <c r="P23" s="446">
        <f t="shared" si="16"/>
        <v>0</v>
      </c>
      <c r="Q23" s="444">
        <f t="shared" ref="Q23:Q31" ca="1" si="17">SUM(B23:P23)</f>
        <v>18815.923250189924</v>
      </c>
    </row>
    <row r="24" spans="1:17">
      <c r="A24" s="444" t="s">
        <v>187</v>
      </c>
      <c r="B24" s="445">
        <f t="shared" ca="1" si="2"/>
        <v>382.34836126800138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382.34836126800138</v>
      </c>
    </row>
    <row r="25" spans="1:17">
      <c r="A25" s="444" t="s">
        <v>105</v>
      </c>
      <c r="B25" s="445">
        <f t="shared" ca="1" si="2"/>
        <v>273.63087371689994</v>
      </c>
      <c r="C25" s="445">
        <f t="shared" ca="1" si="3"/>
        <v>0</v>
      </c>
      <c r="D25" s="445">
        <f t="shared" si="4"/>
        <v>96.546718752947001</v>
      </c>
      <c r="E25" s="445">
        <f t="shared" si="5"/>
        <v>8.7196234953690279</v>
      </c>
      <c r="F25" s="445">
        <f t="shared" si="6"/>
        <v>1105.6469380064755</v>
      </c>
      <c r="G25" s="445">
        <f t="shared" si="7"/>
        <v>0</v>
      </c>
      <c r="H25" s="445">
        <f t="shared" si="8"/>
        <v>0</v>
      </c>
      <c r="I25" s="445">
        <f t="shared" si="9"/>
        <v>0</v>
      </c>
      <c r="J25" s="445">
        <f t="shared" si="10"/>
        <v>116.31628405258894</v>
      </c>
      <c r="K25" s="445">
        <f t="shared" si="11"/>
        <v>0</v>
      </c>
      <c r="L25" s="445">
        <f t="shared" si="12"/>
        <v>0</v>
      </c>
      <c r="M25" s="445">
        <f t="shared" si="13"/>
        <v>0</v>
      </c>
      <c r="N25" s="445">
        <f t="shared" si="14"/>
        <v>0</v>
      </c>
      <c r="O25" s="445">
        <f t="shared" si="15"/>
        <v>0</v>
      </c>
      <c r="P25" s="446">
        <f t="shared" si="16"/>
        <v>0</v>
      </c>
      <c r="Q25" s="444">
        <f t="shared" ca="1" si="17"/>
        <v>1600.8604380242805</v>
      </c>
    </row>
    <row r="26" spans="1:17">
      <c r="A26" s="444" t="s">
        <v>587</v>
      </c>
      <c r="B26" s="445">
        <f t="shared" ca="1" si="2"/>
        <v>20867.049850064028</v>
      </c>
      <c r="C26" s="445">
        <f t="shared" ca="1" si="3"/>
        <v>0</v>
      </c>
      <c r="D26" s="445">
        <f t="shared" si="4"/>
        <v>12755.851225020846</v>
      </c>
      <c r="E26" s="445">
        <f t="shared" si="5"/>
        <v>1505.2399514615377</v>
      </c>
      <c r="F26" s="445">
        <f t="shared" si="6"/>
        <v>9468.184037077368</v>
      </c>
      <c r="G26" s="445">
        <f t="shared" si="7"/>
        <v>0</v>
      </c>
      <c r="H26" s="445">
        <f t="shared" si="8"/>
        <v>0</v>
      </c>
      <c r="I26" s="445">
        <f t="shared" si="9"/>
        <v>0</v>
      </c>
      <c r="J26" s="445">
        <f t="shared" si="10"/>
        <v>1.6525791404268992</v>
      </c>
      <c r="K26" s="445">
        <f t="shared" si="11"/>
        <v>0</v>
      </c>
      <c r="L26" s="445">
        <f t="shared" si="12"/>
        <v>0</v>
      </c>
      <c r="M26" s="445">
        <f t="shared" si="13"/>
        <v>0</v>
      </c>
      <c r="N26" s="445">
        <f t="shared" si="14"/>
        <v>0</v>
      </c>
      <c r="O26" s="445">
        <f t="shared" si="15"/>
        <v>0</v>
      </c>
      <c r="P26" s="446">
        <f t="shared" si="16"/>
        <v>0</v>
      </c>
      <c r="Q26" s="444">
        <f t="shared" ca="1" si="17"/>
        <v>44597.977642764206</v>
      </c>
    </row>
    <row r="27" spans="1:17" s="450" customFormat="1">
      <c r="A27" s="448" t="s">
        <v>536</v>
      </c>
      <c r="B27" s="731">
        <f t="shared" ca="1" si="2"/>
        <v>81.147992691603136</v>
      </c>
      <c r="C27" s="449">
        <f t="shared" ca="1" si="3"/>
        <v>0</v>
      </c>
      <c r="D27" s="449">
        <f t="shared" si="4"/>
        <v>124.47700478588241</v>
      </c>
      <c r="E27" s="449">
        <f t="shared" si="5"/>
        <v>85.881532282990463</v>
      </c>
      <c r="F27" s="449">
        <f t="shared" si="6"/>
        <v>0</v>
      </c>
      <c r="G27" s="449">
        <f t="shared" si="7"/>
        <v>45864.102820701497</v>
      </c>
      <c r="H27" s="449">
        <f t="shared" si="8"/>
        <v>10386.621148356104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56542.230498818077</v>
      </c>
    </row>
    <row r="28" spans="1:17" ht="16.5" customHeight="1">
      <c r="A28" s="444" t="s">
        <v>526</v>
      </c>
      <c r="B28" s="445">
        <f t="shared" ca="1" si="2"/>
        <v>4.1783705809037199</v>
      </c>
      <c r="C28" s="445">
        <f t="shared" ca="1" si="3"/>
        <v>0</v>
      </c>
      <c r="D28" s="445">
        <f t="shared" si="4"/>
        <v>0</v>
      </c>
      <c r="E28" s="445">
        <f t="shared" si="5"/>
        <v>0</v>
      </c>
      <c r="F28" s="445">
        <f t="shared" si="6"/>
        <v>0</v>
      </c>
      <c r="G28" s="445">
        <f t="shared" si="7"/>
        <v>379.1590711743238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383.33744175522753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290.79113485511601</v>
      </c>
      <c r="C32" s="445">
        <f t="shared" ca="1" si="3"/>
        <v>0</v>
      </c>
      <c r="D32" s="445">
        <f t="shared" si="4"/>
        <v>906.45306508896897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1197.244199944085</v>
      </c>
    </row>
    <row r="33" spans="1:17" s="456" customFormat="1">
      <c r="A33" s="454" t="s">
        <v>530</v>
      </c>
      <c r="B33" s="455">
        <f ca="1">SUM(B22:B32)</f>
        <v>39222.557773257715</v>
      </c>
      <c r="C33" s="455">
        <f t="shared" ref="C33:Q33" ca="1" si="19">SUM(C22:C32)</f>
        <v>0</v>
      </c>
      <c r="D33" s="455">
        <f t="shared" ca="1" si="19"/>
        <v>42929.096192795187</v>
      </c>
      <c r="E33" s="455">
        <f t="shared" si="19"/>
        <v>2287.6484906525429</v>
      </c>
      <c r="F33" s="455">
        <f t="shared" ca="1" si="19"/>
        <v>25396.544823634409</v>
      </c>
      <c r="G33" s="455">
        <f t="shared" si="19"/>
        <v>46243.261891875823</v>
      </c>
      <c r="H33" s="455">
        <f t="shared" si="19"/>
        <v>10386.621148356104</v>
      </c>
      <c r="I33" s="455">
        <f t="shared" si="19"/>
        <v>0</v>
      </c>
      <c r="J33" s="455">
        <f t="shared" si="19"/>
        <v>210.7466603121058</v>
      </c>
      <c r="K33" s="455">
        <f t="shared" si="19"/>
        <v>0</v>
      </c>
      <c r="L33" s="455">
        <f t="shared" ca="1" si="19"/>
        <v>0</v>
      </c>
      <c r="M33" s="455">
        <f t="shared" si="19"/>
        <v>0</v>
      </c>
      <c r="N33" s="455">
        <f t="shared" ca="1" si="19"/>
        <v>0</v>
      </c>
      <c r="O33" s="455">
        <f t="shared" si="19"/>
        <v>0</v>
      </c>
      <c r="P33" s="455">
        <f t="shared" si="19"/>
        <v>0</v>
      </c>
      <c r="Q33" s="455">
        <f t="shared" ca="1" si="19"/>
        <v>166676.47698088389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9277.933188364148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9277.933188364148</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0.21002081885565016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0.21002081885565016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2022-07-26T09:55:43Z</dcterms:modified>
</cp:coreProperties>
</file>