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EFA977AD-3ABE-4FA3-BADB-66A2A2197F6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<sst xmlns="http://schemas.openxmlformats.org/spreadsheetml/2006/main" count="2382" uniqueCount="864">
  <si>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</si>
  <si>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</si>
  <si>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</si>
  <si>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</si>
  <si>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</si>
  <si>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</si>
  <si>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</si>
  <si>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</si>
  <si>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</si>
  <si>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</si>
  <si>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</si>
  <si>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</si>
  <si>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</si>
  <si>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</si>
  <si>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</si>
  <si>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</si>
  <si>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</si>
  <si>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</si>
  <si>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</si>
  <si>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</si>
  <si>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</si>
  <si>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</si>
  <si>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</si>
  <si>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</si>
  <si>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</si>
  <si>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</si>
  <si>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</si>
  <si>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</si>
  <si>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</si>
  <si>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</si>
  <si>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</si>
  <si>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</si>
  <si>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</si>
  <si>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</si>
  <si>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</si>
  <si>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</si>
  <si>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</si>
  <si>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</si>
  <si>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</si>
  <si>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</si>
  <si>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</si>
  <si>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</si>
  <si>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</si>
  <si>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</si>
  <si>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</si>
  <si>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</si>
  <si>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</si>
  <si>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</si>
  <si>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</si>
  <si>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</si>
  <si>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</si>
  <si>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</si>
  <si>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</si>
  <si>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</si>
  <si>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</si>
  <si>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</si>
  <si>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</si>
  <si>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</si>
  <si>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</si>
  <si>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</si>
  <si>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</si>
  <si>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</si>
  <si>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</si>
  <si>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</si>
  <si>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</si>
  <si>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</si>
  <si>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</si>
  <si>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</si>
  <si>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</si>
  <si>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</si>
  <si>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</si>
  <si>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</si>
  <si>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</si>
  <si>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</si>
  <si>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</si>
  <si>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</si>
  <si>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</si>
  <si>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</si>
  <si>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</si>
  <si>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</si>
  <si>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</si>
  <si>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</si>
  <si>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</si>
  <si>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</si>
  <si>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</si>
  <si>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</si>
  <si>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</si>
  <si>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</si>
  <si>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</si>
  <si>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</si>
  <si>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</si>
  <si>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</si>
  <si>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</si>
  <si>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</si>
  <si>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</si>
  <si>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</si>
  <si>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</si>
  <si>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</si>
  <si>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</si>
  <si>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</si>
  <si>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</si>
  <si>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</si>
  <si>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</si>
  <si>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</si>
  <si>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</si>
  <si>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</si>
  <si>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</si>
  <si>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</si>
  <si>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</si>
  <si>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</si>
  <si>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</si>
  <si>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</si>
  <si>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</si>
  <si>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</si>
  <si>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</si>
  <si>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</si>
  <si>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</si>
  <si>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</si>
  <si>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</si>
  <si>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</si>
  <si>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</si>
  <si>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</si>
  <si>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</si>
  <si>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</si>
  <si>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</si>
  <si>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</si>
  <si>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</si>
  <si>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</si>
  <si>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</si>
  <si>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</si>
  <si>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</si>
  <si>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</si>
  <si>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</si>
  <si>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</si>
  <si>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</si>
  <si>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</si>
  <si>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</si>
  <si>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</si>
  <si>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</si>
  <si>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</si>
  <si>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</si>
  <si>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</si>
  <si>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</si>
  <si>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</si>
  <si>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</si>
  <si>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</si>
  <si>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</si>
  <si>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</si>
  <si>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</si>
  <si>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</si>
  <si>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</si>
  <si>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</si>
  <si>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</si>
  <si>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</si>
  <si>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</si>
  <si>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</si>
  <si>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</si>
  <si>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</si>
  <si>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</si>
  <si>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</si>
  <si>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</si>
  <si>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</si>
  <si>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</si>
  <si>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</si>
  <si>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</si>
  <si>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</si>
  <si>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</si>
  <si>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</si>
  <si>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</si>
  <si>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</si>
  <si>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</si>
  <si>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</si>
  <si>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</si>
  <si>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</si>
  <si>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</si>
  <si>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</si>
  <si>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</si>
  <si>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</si>
  <si>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</si>
  <si>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</si>
  <si>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</si>
  <si>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</si>
  <si>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</si>
  <si>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</si>
  <si>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</si>
  <si>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</si>
  <si>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</si>
  <si>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</si>
  <si>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</si>
  <si>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</si>
  <si>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</si>
  <si>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</si>
  <si>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</si>
  <si>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</si>
  <si>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</si>
  <si>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</si>
  <si>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</si>
  <si>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</si>
  <si>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</si>
  <si>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</si>
  <si>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</si>
  <si>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</si>
  <si>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</si>
  <si>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</si>
  <si>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</si>
  <si>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</si>
  <si>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</si>
  <si>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</si>
  <si>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</si>
  <si>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</si>
  <si>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</si>
  <si>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</si>
  <si>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</si>
  <si>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</si>
  <si>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</si>
  <si>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</si>
  <si>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</si>
  <si>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</si>
  <si>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</si>
  <si>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</si>
  <si>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</si>
  <si>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</si>
  <si>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</si>
  <si>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</si>
  <si>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</si>
  <si>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</si>
  <si>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</si>
  <si>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</si>
  <si>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</si>
  <si>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</si>
  <si>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</si>
  <si>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</si>
  <si>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</si>
  <si>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</si>
  <si>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</si>
  <si>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</si>
  <si>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</si>
  <si>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</si>
  <si>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</si>
  <si>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</si>
  <si>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</si>
  <si>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</si>
  <si>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</si>
  <si>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</si>
  <si>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</si>
  <si>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</si>
  <si>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</si>
  <si>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</si>
  <si>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</si>
  <si>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</si>
  <si>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</si>
  <si>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</si>
  <si>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</si>
  <si>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</si>
  <si>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</si>
  <si>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</si>
  <si>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</si>
  <si>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</si>
  <si>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</si>
  <si>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</si>
  <si>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</si>
  <si>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</si>
  <si>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</si>
  <si>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</si>
  <si>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</si>
  <si>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</si>
  <si>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</si>
  <si>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</si>
  <si>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</si>
  <si>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</si>
  <si>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</si>
  <si>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</si>
  <si>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</si>
  <si>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</si>
  <si>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</si>
  <si>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</si>
  <si>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</si>
  <si>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</si>
  <si>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</si>
  <si>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</si>
  <si>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</si>
  <si>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</si>
  <si>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</si>
  <si>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</si>
  <si>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</si>
  <si>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</si>
  <si>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</si>
  <si>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</si>
  <si>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</si>
  <si>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</si>
  <si>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</si>
  <si>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</si>
  <si>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</si>
  <si>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</si>
  <si>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</si>
  <si>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</si>
  <si>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</si>
  <si>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</si>
  <si>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</si>
  <si>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</si>
  <si>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</si>
  <si>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</si>
  <si>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</si>
  <si>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</si>
  <si>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</si>
  <si>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</si>
  <si>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</si>
  <si>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</si>
  <si>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</si>
  <si>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</si>
  <si>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</si>
  <si>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</si>
  <si>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</si>
  <si>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</si>
  <si>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</si>
  <si>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</si>
  <si>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</si>
  <si>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</si>
  <si>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</si>
  <si>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</si>
  <si>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</si>
  <si>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</si>
  <si>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</si>
  <si>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</si>
  <si>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</si>
  <si>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</si>
  <si>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</si>
  <si>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</si>
  <si>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</si>
  <si>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</si>
  <si>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</si>
  <si>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</si>
  <si>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</si>
  <si>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</si>
  <si>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</si>
  <si>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</si>
  <si>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</si>
  <si>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</si>
  <si>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</si>
  <si>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</si>
  <si>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</si>
  <si>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</si>
  <si>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</si>
  <si>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</si>
  <si>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</si>
  <si>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</si>
  <si>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</si>
  <si>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</si>
  <si>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</si>
  <si>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</si>
  <si>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</si>
  <si>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</si>
  <si>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</si>
  <si>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</si>
  <si>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</si>
  <si>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</si>
  <si>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</si>
  <si>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</si>
  <si>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</si>
  <si>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</si>
  <si>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</si>
  <si>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</si>
  <si>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</si>
  <si>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</si>
  <si>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</si>
  <si>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</si>
  <si>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</si>
  <si>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</si>
  <si>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</si>
  <si>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</si>
  <si>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</si>
  <si>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</si>
  <si>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</si>
  <si>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</si>
  <si>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</si>
  <si>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</si>
  <si>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</si>
  <si>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</si>
  <si>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</si>
  <si>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</si>
  <si>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</si>
  <si>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</si>
  <si>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</si>
  <si>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</si>
  <si>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</si>
  <si>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</si>
  <si>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</si>
  <si>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</si>
  <si>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</si>
  <si>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</si>
  <si>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</si>
  <si>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</si>
  <si>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</si>
  <si>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</si>
  <si>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</si>
  <si>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</si>
  <si>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</si>
  <si>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</si>
  <si>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</si>
  <si>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</si>
  <si>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</si>
  <si>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</si>
  <si>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</si>
  <si>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</si>
  <si>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</si>
  <si>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</si>
  <si>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</si>
  <si>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</si>
  <si>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</si>
  <si>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</si>
  <si>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</si>
  <si>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</si>
  <si>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</si>
  <si>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</si>
  <si>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</si>
  <si>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</si>
  <si>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</si>
  <si>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</si>
  <si>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</si>
  <si>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</si>
  <si>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</si>
  <si>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</si>
  <si>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</si>
  <si>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</si>
  <si>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</si>
  <si>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</si>
  <si>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</si>
  <si>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</si>
  <si>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</si>
  <si>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</si>
  <si>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</si>
  <si>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</si>
  <si>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</si>
  <si>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</si>
  <si>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</si>
  <si>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</si>
  <si>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</si>
  <si>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</si>
  <si>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</si>
  <si>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</si>
  <si>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</si>
  <si>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</si>
  <si>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</si>
  <si>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</si>
  <si>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</si>
  <si>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</si>
  <si>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</si>
  <si>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</si>
  <si>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</si>
  <si>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</si>
  <si>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</si>
  <si>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</si>
  <si>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</si>
  <si>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</si>
  <si>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</si>
  <si>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</si>
  <si>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</si>
  <si>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</si>
  <si>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</si>
  <si>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</si>
  <si>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</si>
  <si>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</si>
  <si>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</si>
  <si>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</si>
  <si>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</si>
  <si>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</si>
  <si>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</si>
  <si>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</si>
  <si>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</si>
  <si>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</si>
  <si>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</si>
  <si>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</si>
  <si>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</si>
  <si>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</si>
  <si>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</si>
  <si>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</si>
  <si>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</si>
  <si>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</si>
  <si>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</si>
  <si>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</si>
  <si>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</si>
  <si>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</si>
  <si>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</si>
  <si>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</si>
  <si>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</si>
  <si>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</si>
  <si>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</si>
  <si>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</si>
  <si>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</si>
  <si>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</si>
  <si>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</si>
  <si>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</si>
  <si>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</si>
  <si>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</si>
  <si>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</si>
  <si>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</si>
  <si>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</si>
  <si>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</si>
  <si>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</si>
  <si>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</si>
  <si>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</si>
  <si>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</si>
  <si>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</si>
  <si>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</si>
  <si>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</si>
  <si>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</si>
  <si>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</si>
  <si>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</si>
  <si>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</si>
  <si>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</si>
  <si>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</si>
  <si>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</si>
  <si>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</si>
  <si>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</si>
  <si>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</si>
  <si>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</si>
  <si>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</si>
  <si>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</si>
  <si>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</si>
  <si>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</si>
  <si>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</si>
  <si>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</si>
  <si>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</si>
  <si>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</si>
  <si>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</si>
  <si>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</si>
  <si>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</si>
  <si>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</si>
  <si>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</si>
  <si>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</si>
  <si>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</si>
  <si>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</si>
  <si>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</si>
  <si>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</si>
  <si>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</si>
  <si>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</si>
  <si>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</si>
  <si>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</si>
  <si>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</si>
  <si>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</si>
  <si>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</si>
  <si>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</si>
  <si>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</si>
  <si>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</si>
  <si>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</si>
  <si>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</si>
  <si>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</si>
  <si>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</si>
  <si>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</si>
  <si>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</si>
  <si>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</si>
  <si>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</si>
  <si>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</si>
  <si>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</si>
  <si>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</si>
  <si>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</si>
  <si>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</si>
  <si>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</si>
  <si>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</si>
  <si>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</si>
  <si>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</si>
  <si>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</si>
  <si>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</si>
  <si>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</si>
  <si>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</si>
  <si>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</si>
  <si>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</si>
  <si>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</si>
  <si>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</si>
  <si>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</si>
  <si>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</si>
  <si>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</si>
  <si>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</si>
  <si>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</si>
  <si>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</si>
  <si>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</si>
  <si>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</si>
  <si>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</si>
  <si>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</si>
  <si>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</si>
  <si>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</si>
  <si>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</si>
  <si>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</si>
  <si>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</si>
  <si>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</si>
  <si>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</si>
  <si>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</si>
  <si>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</si>
  <si>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</si>
  <si>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</si>
  <si>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</si>
  <si>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</si>
  <si>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</si>
  <si>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</si>
  <si>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</si>
  <si>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</si>
  <si>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</si>
  <si>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</si>
  <si>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</si>
  <si>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</si>
  <si>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</si>
  <si>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</si>
  <si>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</si>
  <si>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</si>
  <si>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</si>
  <si>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</si>
  <si>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</si>
  <si>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</si>
  <si>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</si>
  <si>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</si>
  <si>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</si>
  <si>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</si>
  <si>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</si>
  <si>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</si>
  <si>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</si>
  <si>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</si>
  <si>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</si>
  <si>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</si>
  <si>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</si>
  <si>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</si>
  <si>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</si>
  <si>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</si>
  <si>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</si>
  <si>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</si>
  <si>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</si>
  <si>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</si>
  <si>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</si>
  <si>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</si>
  <si>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</si>
  <si>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</si>
  <si>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</si>
  <si>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</si>
  <si>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</si>
  <si>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</si>
  <si>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</si>
  <si>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</si>
  <si>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</si>
  <si>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</si>
  <si>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</si>
  <si>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</si>
  <si>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</si>
  <si>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</si>
  <si>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</si>
  <si>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</si>
  <si>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</si>
  <si>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</si>
  <si>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</si>
  <si>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</si>
  <si>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</si>
  <si>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</si>
  <si>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</si>
  <si>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</si>
  <si>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</si>
  <si>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</si>
  <si>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</si>
  <si>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</si>
  <si>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</si>
  <si>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</si>
  <si>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</si>
  <si>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</si>
  <si>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</si>
  <si>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</si>
  <si>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</si>
  <si>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</si>
  <si>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</si>
  <si>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</si>
  <si>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</si>
  <si>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</si>
  <si>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</si>
  <si>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</si>
  <si>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</si>
  <si>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</si>
  <si>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</si>
  <si>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</si>
  <si>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</si>
  <si>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</si>
  <si>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</si>
  <si>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</si>
  <si>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</si>
  <si>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</si>
  <si>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</si>
  <si>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</si>
  <si>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</si>
  <si>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</si>
  <si>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</si>
  <si>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</si>
  <si>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</si>
  <si>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</si>
  <si>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</si>
  <si>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</si>
  <si>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</si>
  <si>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</si>
  <si>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</si>
  <si>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</si>
  <si>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</si>
  <si>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</si>
  <si>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</si>
  <si>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</si>
  <si>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</si>
  <si>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</si>
  <si>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</si>
  <si>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</si>
  <si>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</si>
  <si>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</si>
  <si>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</si>
  <si>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</si>
  <si>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</si>
  <si>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</si>
  <si>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</si>
  <si>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</si>
  <si>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</si>
  <si>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</si>
  <si>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</si>
  <si>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</si>
  <si>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</si>
  <si>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</si>
  <si>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</si>
  <si>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</si>
  <si>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</si>
  <si>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</si>
  <si>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</si>
  <si>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</si>
  <si>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</si>
  <si>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</si>
  <si>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</si>
  <si>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</si>
  <si>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</si>
  <si>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</si>
  <si>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</si>
  <si>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</si>
  <si>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</si>
  <si>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</si>
  <si>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</si>
  <si>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</si>
  <si>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</si>
  <si>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</si>
  <si>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</si>
  <si>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</si>
  <si>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</si>
  <si>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</si>
  <si>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</si>
  <si>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</si>
  <si>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</si>
  <si>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</si>
  <si>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</si>
  <si>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</si>
  <si>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</si>
  <si>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</si>
  <si>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</si>
  <si>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</si>
  <si>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</si>
  <si>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</si>
  <si>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</si>
  <si>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</si>
  <si>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</si>
  <si>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</si>
  <si>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</si>
  <si>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</si>
  <si>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</si>
  <si>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</si>
  <si>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</si>
  <si>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</si>
  <si>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</si>
  <si>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</si>
  <si>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</si>
  <si>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</si>
  <si>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</si>
  <si>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</si>
  <si>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</si>
  <si>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</si>
  <si>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</si>
  <si>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</si>
  <si>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</si>
  <si>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</si>
  <si>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</si>
  <si>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</si>
  <si>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</si>
  <si>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</si>
  <si>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</si>
  <si>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</si>
  <si>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</si>
  <si>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</si>
  <si>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</si>
  <si>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</si>
  <si>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</si>
  <si>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</si>
  <si>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</si>
  <si>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</si>
  <si>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</si>
  <si>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</si>
  <si>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</si>
  <si>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</si>
  <si>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</si>
  <si>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</si>
  <si>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</si>
  <si>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</si>
  <si>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</si>
  <si>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</si>
  <si>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</si>
  <si>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</si>
  <si>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</si>
  <si>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</si>
  <si>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</si>
  <si>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</si>
  <si>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</si>
  <si>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</si>
  <si>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</si>
  <si>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</si>
  <si>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</si>
  <si>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</si>
  <si>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</si>
  <si>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</si>
  <si>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</si>
  <si>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</si>
  <si>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</si>
  <si>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</si>
  <si>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</si>
  <si>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</si>
  <si>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</si>
  <si>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</si>
  <si>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</si>
  <si>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</si>
  <si>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</si>
  <si>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</si>
  <si>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</si>
  <si>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</si>
  <si>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</si>
  <si>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</si>
  <si>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</si>
  <si>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</si>
  <si>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</si>
  <si>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</si>
  <si>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</si>
  <si>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</si>
  <si>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</si>
  <si>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</si>
  <si>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</si>
  <si>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</si>
  <si>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</si>
  <si>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</si>
  <si>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</si>
  <si>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</si>
  <si>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</si>
  <si>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</si>
  <si>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</si>
  <si>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</si>
  <si>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</si>
  <si>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</si>
  <si>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</si>
  <si>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</si>
  <si>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</si>
  <si>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</si>
  <si>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</si>
  <si>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</si>
  <si>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</si>
  <si>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</si>
  <si>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</si>
  <si>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37015</t>
  </si>
  <si>
    <t>TIELT</t>
  </si>
  <si>
    <t>waterkracht</t>
  </si>
  <si>
    <t>vloeibaar gas (MWh)</t>
  </si>
  <si>
    <t>Biogas - hoofdzakelijk agrarische stromen</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</si>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</sst>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120D9B0E-7C1B-4F90-B0F6-6D519D883D2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162408.49470317646</c:v>
                </c:pt>
                <c:pt idx="1">
                  <c:v>87241.544371181764</c:v>
                </c:pt>
                <c:pt idx="2">
                  <c:v>1428.5609999999999</c:v>
                </c:pt>
                <c:pt idx="3">
                  <c:v>64563.023166425453</c:v>
                </c:pt>
                <c:pt idx="4">
                  <c:v>380045.50727627653</c:v>
                </c:pt>
                <c:pt idx="5">
                  <c:v>158167.87559110281</c:v>
                </c:pt>
                <c:pt idx="6">
                  <c:v>1199.3556603044733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162408.49470317646</c:v>
                </c:pt>
                <c:pt idx="1">
                  <c:v>87241.544371181764</c:v>
                </c:pt>
                <c:pt idx="2">
                  <c:v>1428.5609999999999</c:v>
                </c:pt>
                <c:pt idx="3">
                  <c:v>64563.023166425453</c:v>
                </c:pt>
                <c:pt idx="4">
                  <c:v>380045.50727627653</c:v>
                </c:pt>
                <c:pt idx="5">
                  <c:v>158167.87559110281</c:v>
                </c:pt>
                <c:pt idx="6">
                  <c:v>1199.3556603044733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32978.389663179725</c:v>
                </c:pt>
                <c:pt idx="1">
                  <c:v>17859.038301570625</c:v>
                </c:pt>
                <c:pt idx="2">
                  <c:v>293.69009028233597</c:v>
                </c:pt>
                <c:pt idx="3">
                  <c:v>16586.863760528831</c:v>
                </c:pt>
                <c:pt idx="4">
                  <c:v>79477.095015885076</c:v>
                </c:pt>
                <c:pt idx="5">
                  <c:v>39365.608674977855</c:v>
                </c:pt>
                <c:pt idx="6">
                  <c:v>302.72516253652964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32978.389663179725</c:v>
                </c:pt>
                <c:pt idx="1">
                  <c:v>17859.038301570625</c:v>
                </c:pt>
                <c:pt idx="2">
                  <c:v>293.69009028233597</c:v>
                </c:pt>
                <c:pt idx="3">
                  <c:v>16586.863760528831</c:v>
                </c:pt>
                <c:pt idx="4">
                  <c:v>79477.095015885076</c:v>
                </c:pt>
                <c:pt idx="5">
                  <c:v>39365.608674977855</c:v>
                </c:pt>
                <c:pt idx="6">
                  <c:v>302.72516253652964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37015</v>
      </c>
      <c r="B6" s="382"/>
      <c r="C6" s="383"/>
    </row>
    <row r="7" spans="1:7" s="380" customFormat="1" ht="15.75" customHeight="1">
      <c r="A7" s="384" t="str">
        <f>txtMunicipality</f>
        <v>TIELT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0.20558456396495214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0.20558456396495214</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8708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5074.29</v>
      </c>
      <c r="C14" s="324"/>
      <c r="D14" s="324"/>
      <c r="E14" s="324"/>
      <c r="F14" s="324"/>
    </row>
    <row r="15" spans="1:6">
      <c r="A15" s="1264" t="s">
        <v>177</v>
      </c>
      <c r="B15" s="1265">
        <v>118</v>
      </c>
      <c r="C15" s="324"/>
      <c r="D15" s="324"/>
      <c r="E15" s="324"/>
      <c r="F15" s="324"/>
    </row>
    <row r="16" spans="1:6">
      <c r="A16" s="1264" t="s">
        <v>6</v>
      </c>
      <c r="B16" s="1265">
        <v>3708</v>
      </c>
      <c r="C16" s="324"/>
      <c r="D16" s="324"/>
      <c r="E16" s="324"/>
      <c r="F16" s="324"/>
    </row>
    <row r="17" spans="1:6">
      <c r="A17" s="1264" t="s">
        <v>7</v>
      </c>
      <c r="B17" s="1265">
        <v>2630</v>
      </c>
      <c r="C17" s="324"/>
      <c r="D17" s="324"/>
      <c r="E17" s="324"/>
      <c r="F17" s="324"/>
    </row>
    <row r="18" spans="1:6">
      <c r="A18" s="1264" t="s">
        <v>8</v>
      </c>
      <c r="B18" s="1265">
        <v>3660</v>
      </c>
      <c r="C18" s="324"/>
      <c r="D18" s="324"/>
      <c r="E18" s="324"/>
      <c r="F18" s="324"/>
    </row>
    <row r="19" spans="1:6">
      <c r="A19" s="1264" t="s">
        <v>9</v>
      </c>
      <c r="B19" s="1265">
        <v>3578</v>
      </c>
      <c r="C19" s="324"/>
      <c r="D19" s="324"/>
      <c r="E19" s="324"/>
      <c r="F19" s="324"/>
    </row>
    <row r="20" spans="1:6">
      <c r="A20" s="1264" t="s">
        <v>10</v>
      </c>
      <c r="B20" s="1265">
        <v>2761</v>
      </c>
      <c r="C20" s="324"/>
      <c r="D20" s="324"/>
      <c r="E20" s="324"/>
      <c r="F20" s="324"/>
    </row>
    <row r="21" spans="1:6">
      <c r="A21" s="1264" t="s">
        <v>11</v>
      </c>
      <c r="B21" s="1265">
        <v>37020</v>
      </c>
      <c r="C21" s="324"/>
      <c r="D21" s="324"/>
      <c r="E21" s="324"/>
      <c r="F21" s="324"/>
    </row>
    <row r="22" spans="1:6">
      <c r="A22" s="1264" t="s">
        <v>12</v>
      </c>
      <c r="B22" s="1265">
        <v>110571</v>
      </c>
      <c r="C22" s="324"/>
      <c r="D22" s="324"/>
      <c r="E22" s="324"/>
      <c r="F22" s="324"/>
    </row>
    <row r="23" spans="1:6">
      <c r="A23" s="1264" t="s">
        <v>13</v>
      </c>
      <c r="B23" s="1265">
        <v>1350</v>
      </c>
      <c r="C23" s="324"/>
      <c r="D23" s="324"/>
      <c r="E23" s="324"/>
      <c r="F23" s="324"/>
    </row>
    <row r="24" spans="1:6">
      <c r="A24" s="1264" t="s">
        <v>14</v>
      </c>
      <c r="B24" s="1265">
        <v>79</v>
      </c>
      <c r="C24" s="324"/>
      <c r="D24" s="324"/>
      <c r="E24" s="324"/>
      <c r="F24" s="324"/>
    </row>
    <row r="25" spans="1:6">
      <c r="A25" s="1264" t="s">
        <v>15</v>
      </c>
      <c r="B25" s="1265">
        <v>8420</v>
      </c>
      <c r="C25" s="324"/>
      <c r="D25" s="324"/>
      <c r="E25" s="324"/>
      <c r="F25" s="324"/>
    </row>
    <row r="26" spans="1:6">
      <c r="A26" s="1264" t="s">
        <v>16</v>
      </c>
      <c r="B26" s="1265">
        <v>377</v>
      </c>
      <c r="C26" s="324"/>
      <c r="D26" s="324"/>
      <c r="E26" s="324"/>
      <c r="F26" s="324"/>
    </row>
    <row r="27" spans="1:6">
      <c r="A27" s="1264" t="s">
        <v>17</v>
      </c>
      <c r="B27" s="1265">
        <v>0</v>
      </c>
      <c r="C27" s="324"/>
      <c r="D27" s="324"/>
      <c r="E27" s="324"/>
      <c r="F27" s="324"/>
    </row>
    <row r="28" spans="1:6">
      <c r="A28" s="1264" t="s">
        <v>18</v>
      </c>
      <c r="B28" s="1266">
        <v>746510</v>
      </c>
      <c r="C28" s="324"/>
      <c r="D28" s="324"/>
      <c r="E28" s="324"/>
      <c r="F28" s="324"/>
    </row>
    <row r="29" spans="1:6">
      <c r="A29" s="1264" t="s">
        <v>657</v>
      </c>
      <c r="B29" s="1266">
        <v>268</v>
      </c>
      <c r="C29" s="324"/>
      <c r="D29" s="324"/>
      <c r="E29" s="324"/>
      <c r="F29" s="324"/>
    </row>
    <row r="30" spans="1:6">
      <c r="A30" s="1259" t="s">
        <v>658</v>
      </c>
      <c r="B30" s="1267">
        <v>64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6</v>
      </c>
      <c r="F36" s="1265">
        <v>81519.395172642995</v>
      </c>
    </row>
    <row r="37" spans="1:6">
      <c r="A37" s="1264" t="s">
        <v>24</v>
      </c>
      <c r="B37" s="1264" t="s">
        <v>27</v>
      </c>
      <c r="C37" s="1265">
        <v>0</v>
      </c>
      <c r="D37" s="1265">
        <v>0</v>
      </c>
      <c r="E37" s="1265">
        <v>0</v>
      </c>
      <c r="F37" s="1265">
        <v>0</v>
      </c>
    </row>
    <row r="38" spans="1:6">
      <c r="A38" s="1264" t="s">
        <v>24</v>
      </c>
      <c r="B38" s="1264" t="s">
        <v>28</v>
      </c>
      <c r="C38" s="1265">
        <v>1</v>
      </c>
      <c r="D38" s="1265">
        <v>85490.354248089599</v>
      </c>
      <c r="E38" s="1265">
        <v>1</v>
      </c>
      <c r="F38" s="1265">
        <v>36790</v>
      </c>
    </row>
    <row r="39" spans="1:6">
      <c r="A39" s="1264" t="s">
        <v>29</v>
      </c>
      <c r="B39" s="1264" t="s">
        <v>30</v>
      </c>
      <c r="C39" s="1265">
        <v>5839</v>
      </c>
      <c r="D39" s="1265">
        <v>82015628.125032306</v>
      </c>
      <c r="E39" s="1265">
        <v>8035</v>
      </c>
      <c r="F39" s="1265">
        <v>27496487.960229501</v>
      </c>
    </row>
    <row r="40" spans="1:6">
      <c r="A40" s="1264" t="s">
        <v>29</v>
      </c>
      <c r="B40" s="1264" t="s">
        <v>28</v>
      </c>
      <c r="C40" s="1265">
        <v>0</v>
      </c>
      <c r="D40" s="1265">
        <v>0</v>
      </c>
      <c r="E40" s="1265">
        <v>0</v>
      </c>
      <c r="F40" s="1265">
        <v>0</v>
      </c>
    </row>
    <row r="41" spans="1:6">
      <c r="A41" s="1264" t="s">
        <v>31</v>
      </c>
      <c r="B41" s="1264" t="s">
        <v>32</v>
      </c>
      <c r="C41" s="1265">
        <v>159</v>
      </c>
      <c r="D41" s="1265">
        <v>66458225.391421899</v>
      </c>
      <c r="E41" s="1265">
        <v>325</v>
      </c>
      <c r="F41" s="1265">
        <v>65157643.869272403</v>
      </c>
    </row>
    <row r="42" spans="1:6">
      <c r="A42" s="1264" t="s">
        <v>31</v>
      </c>
      <c r="B42" s="1264" t="s">
        <v>33</v>
      </c>
      <c r="C42" s="1265">
        <v>0</v>
      </c>
      <c r="D42" s="1265">
        <v>0</v>
      </c>
      <c r="E42" s="1265">
        <v>5</v>
      </c>
      <c r="F42" s="1265">
        <v>792545.43111454102</v>
      </c>
    </row>
    <row r="43" spans="1:6">
      <c r="A43" s="1264" t="s">
        <v>31</v>
      </c>
      <c r="B43" s="1264" t="s">
        <v>34</v>
      </c>
      <c r="C43" s="1265">
        <v>0</v>
      </c>
      <c r="D43" s="1265">
        <v>0</v>
      </c>
      <c r="E43" s="1265">
        <v>0</v>
      </c>
      <c r="F43" s="1265">
        <v>0</v>
      </c>
    </row>
    <row r="44" spans="1:6">
      <c r="A44" s="1264" t="s">
        <v>31</v>
      </c>
      <c r="B44" s="1264" t="s">
        <v>35</v>
      </c>
      <c r="C44" s="1265">
        <v>17</v>
      </c>
      <c r="D44" s="1265">
        <v>1873169.12046846</v>
      </c>
      <c r="E44" s="1265">
        <v>52</v>
      </c>
      <c r="F44" s="1265">
        <v>4758872.5166759901</v>
      </c>
    </row>
    <row r="45" spans="1:6">
      <c r="A45" s="1264" t="s">
        <v>31</v>
      </c>
      <c r="B45" s="1264" t="s">
        <v>36</v>
      </c>
      <c r="C45" s="1265">
        <v>3</v>
      </c>
      <c r="D45" s="1265">
        <v>103311.665675073</v>
      </c>
      <c r="E45" s="1265">
        <v>7</v>
      </c>
      <c r="F45" s="1265">
        <v>500216.92649134301</v>
      </c>
    </row>
    <row r="46" spans="1:6">
      <c r="A46" s="1264" t="s">
        <v>31</v>
      </c>
      <c r="B46" s="1264" t="s">
        <v>37</v>
      </c>
      <c r="C46" s="1265">
        <v>0</v>
      </c>
      <c r="D46" s="1265">
        <v>0</v>
      </c>
      <c r="E46" s="1265">
        <v>0</v>
      </c>
      <c r="F46" s="1265">
        <v>0</v>
      </c>
    </row>
    <row r="47" spans="1:6">
      <c r="A47" s="1264" t="s">
        <v>31</v>
      </c>
      <c r="B47" s="1264" t="s">
        <v>38</v>
      </c>
      <c r="C47" s="1265">
        <v>3</v>
      </c>
      <c r="D47" s="1265">
        <v>22588024.105906099</v>
      </c>
      <c r="E47" s="1265">
        <v>0</v>
      </c>
      <c r="F47" s="1265">
        <v>0</v>
      </c>
    </row>
    <row r="48" spans="1:6">
      <c r="A48" s="1264" t="s">
        <v>31</v>
      </c>
      <c r="B48" s="1264" t="s">
        <v>28</v>
      </c>
      <c r="C48" s="1265">
        <v>1</v>
      </c>
      <c r="D48" s="1265">
        <v>14859.1229036758</v>
      </c>
      <c r="E48" s="1265">
        <v>2</v>
      </c>
      <c r="F48" s="1265">
        <v>23062.347976130899</v>
      </c>
    </row>
    <row r="49" spans="1:6">
      <c r="A49" s="1264" t="s">
        <v>31</v>
      </c>
      <c r="B49" s="1264" t="s">
        <v>39</v>
      </c>
      <c r="C49" s="1265">
        <v>6</v>
      </c>
      <c r="D49" s="1265">
        <v>96831174.605938807</v>
      </c>
      <c r="E49" s="1265">
        <v>13</v>
      </c>
      <c r="F49" s="1265">
        <v>55332016.378745303</v>
      </c>
    </row>
    <row r="50" spans="1:6">
      <c r="A50" s="1264" t="s">
        <v>31</v>
      </c>
      <c r="B50" s="1264" t="s">
        <v>40</v>
      </c>
      <c r="C50" s="1265">
        <v>14</v>
      </c>
      <c r="D50" s="1265">
        <v>19021358.708619699</v>
      </c>
      <c r="E50" s="1265">
        <v>23</v>
      </c>
      <c r="F50" s="1265">
        <v>18622102.848363701</v>
      </c>
    </row>
    <row r="51" spans="1:6">
      <c r="A51" s="1264" t="s">
        <v>41</v>
      </c>
      <c r="B51" s="1264" t="s">
        <v>42</v>
      </c>
      <c r="C51" s="1265">
        <v>16</v>
      </c>
      <c r="D51" s="1265">
        <v>610326.81665831106</v>
      </c>
      <c r="E51" s="1265">
        <v>317</v>
      </c>
      <c r="F51" s="1265">
        <v>14324377.646442801</v>
      </c>
    </row>
    <row r="52" spans="1:6">
      <c r="A52" s="1264" t="s">
        <v>41</v>
      </c>
      <c r="B52" s="1264" t="s">
        <v>28</v>
      </c>
      <c r="C52" s="1265">
        <v>0</v>
      </c>
      <c r="D52" s="1265">
        <v>0</v>
      </c>
      <c r="E52" s="1265">
        <v>0</v>
      </c>
      <c r="F52" s="1265">
        <v>0</v>
      </c>
    </row>
    <row r="53" spans="1:6">
      <c r="A53" s="1264" t="s">
        <v>43</v>
      </c>
      <c r="B53" s="1264" t="s">
        <v>44</v>
      </c>
      <c r="C53" s="1265">
        <v>136</v>
      </c>
      <c r="D53" s="1265">
        <v>8123864.8401748799</v>
      </c>
      <c r="E53" s="1265">
        <v>290</v>
      </c>
      <c r="F53" s="1265">
        <v>903104.131866446</v>
      </c>
    </row>
    <row r="54" spans="1:6">
      <c r="A54" s="1264" t="s">
        <v>45</v>
      </c>
      <c r="B54" s="1264" t="s">
        <v>46</v>
      </c>
      <c r="C54" s="1265">
        <v>0</v>
      </c>
      <c r="D54" s="1265">
        <v>0</v>
      </c>
      <c r="E54" s="1265">
        <v>2</v>
      </c>
      <c r="F54" s="1265">
        <v>1428561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99</v>
      </c>
      <c r="D57" s="1265">
        <v>5697604.4588586399</v>
      </c>
      <c r="E57" s="1265">
        <v>186</v>
      </c>
      <c r="F57" s="1265">
        <v>3794078.3230597302</v>
      </c>
    </row>
    <row r="58" spans="1:6">
      <c r="A58" s="1264" t="s">
        <v>48</v>
      </c>
      <c r="B58" s="1264" t="s">
        <v>50</v>
      </c>
      <c r="C58" s="1265">
        <v>66</v>
      </c>
      <c r="D58" s="1265">
        <v>10553864.710047999</v>
      </c>
      <c r="E58" s="1265">
        <v>91</v>
      </c>
      <c r="F58" s="1265">
        <v>6959865.1396404197</v>
      </c>
    </row>
    <row r="59" spans="1:6">
      <c r="A59" s="1264" t="s">
        <v>48</v>
      </c>
      <c r="B59" s="1264" t="s">
        <v>51</v>
      </c>
      <c r="C59" s="1265">
        <v>216</v>
      </c>
      <c r="D59" s="1265">
        <v>8965772.6220740899</v>
      </c>
      <c r="E59" s="1265">
        <v>406</v>
      </c>
      <c r="F59" s="1265">
        <v>13353401.941073701</v>
      </c>
    </row>
    <row r="60" spans="1:6">
      <c r="A60" s="1264" t="s">
        <v>48</v>
      </c>
      <c r="B60" s="1264" t="s">
        <v>52</v>
      </c>
      <c r="C60" s="1265">
        <v>84</v>
      </c>
      <c r="D60" s="1265">
        <v>4325085.0702591697</v>
      </c>
      <c r="E60" s="1265">
        <v>100</v>
      </c>
      <c r="F60" s="1265">
        <v>2248406.7653252599</v>
      </c>
    </row>
    <row r="61" spans="1:6">
      <c r="A61" s="1264" t="s">
        <v>48</v>
      </c>
      <c r="B61" s="1264" t="s">
        <v>53</v>
      </c>
      <c r="C61" s="1265">
        <v>316</v>
      </c>
      <c r="D61" s="1265">
        <v>13563348.0142543</v>
      </c>
      <c r="E61" s="1265">
        <v>561</v>
      </c>
      <c r="F61" s="1265">
        <v>6537726.5245369598</v>
      </c>
    </row>
    <row r="62" spans="1:6">
      <c r="A62" s="1264" t="s">
        <v>48</v>
      </c>
      <c r="B62" s="1264" t="s">
        <v>54</v>
      </c>
      <c r="C62" s="1265">
        <v>19</v>
      </c>
      <c r="D62" s="1265">
        <v>6234975.0641610399</v>
      </c>
      <c r="E62" s="1265">
        <v>28</v>
      </c>
      <c r="F62" s="1265">
        <v>1623316.83448061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60397.2981439664</v>
      </c>
      <c r="E65" s="1265">
        <v>0</v>
      </c>
      <c r="F65" s="1265">
        <v>0</v>
      </c>
    </row>
    <row r="66" spans="1:6">
      <c r="A66" s="1264" t="s">
        <v>55</v>
      </c>
      <c r="B66" s="1264" t="s">
        <v>57</v>
      </c>
      <c r="C66" s="1265">
        <v>0</v>
      </c>
      <c r="D66" s="1265">
        <v>0</v>
      </c>
      <c r="E66" s="1265">
        <v>13</v>
      </c>
      <c r="F66" s="1265">
        <v>275911.03603594197</v>
      </c>
    </row>
    <row r="67" spans="1:6">
      <c r="A67" s="1264" t="s">
        <v>55</v>
      </c>
      <c r="B67" s="1264" t="s">
        <v>58</v>
      </c>
      <c r="C67" s="1265">
        <v>0</v>
      </c>
      <c r="D67" s="1265">
        <v>0</v>
      </c>
      <c r="E67" s="1265">
        <v>0</v>
      </c>
      <c r="F67" s="1265">
        <v>0</v>
      </c>
    </row>
    <row r="68" spans="1:6">
      <c r="A68" s="1259" t="s">
        <v>55</v>
      </c>
      <c r="B68" s="1259" t="s">
        <v>59</v>
      </c>
      <c r="C68" s="1267">
        <v>8</v>
      </c>
      <c r="D68" s="1267">
        <v>144322.20137395401</v>
      </c>
      <c r="E68" s="1267">
        <v>28</v>
      </c>
      <c r="F68" s="1267">
        <v>320079.15169377002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116794259</v>
      </c>
      <c r="E73" s="443"/>
      <c r="F73" s="324"/>
    </row>
    <row r="74" spans="1:6">
      <c r="A74" s="1264" t="s">
        <v>63</v>
      </c>
      <c r="B74" s="1264" t="s">
        <v>608</v>
      </c>
      <c r="C74" s="1277" t="s">
        <v>610</v>
      </c>
      <c r="D74" s="1265">
        <v>16491552.553781407</v>
      </c>
      <c r="E74" s="443"/>
      <c r="F74" s="324"/>
    </row>
    <row r="75" spans="1:6">
      <c r="A75" s="1264" t="s">
        <v>64</v>
      </c>
      <c r="B75" s="1264" t="s">
        <v>607</v>
      </c>
      <c r="C75" s="1277" t="s">
        <v>611</v>
      </c>
      <c r="D75" s="1265">
        <v>31418218</v>
      </c>
      <c r="E75" s="443"/>
      <c r="F75" s="324"/>
    </row>
    <row r="76" spans="1:6">
      <c r="A76" s="1264" t="s">
        <v>64</v>
      </c>
      <c r="B76" s="1264" t="s">
        <v>608</v>
      </c>
      <c r="C76" s="1277" t="s">
        <v>612</v>
      </c>
      <c r="D76" s="1265">
        <v>3078861.553781407</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332164.89243718598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5842.1389868102651</v>
      </c>
      <c r="C91" s="324"/>
      <c r="D91" s="324"/>
      <c r="E91" s="324"/>
      <c r="F91" s="324"/>
    </row>
    <row r="92" spans="1:6">
      <c r="A92" s="1259" t="s">
        <v>68</v>
      </c>
      <c r="B92" s="1260">
        <v>10109.208169753056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3670</v>
      </c>
      <c r="C97" s="324"/>
      <c r="D97" s="324"/>
      <c r="E97" s="324"/>
      <c r="F97" s="324"/>
    </row>
    <row r="98" spans="1:6">
      <c r="A98" s="1264" t="s">
        <v>71</v>
      </c>
      <c r="B98" s="1265">
        <v>1</v>
      </c>
      <c r="C98" s="324"/>
      <c r="D98" s="324"/>
      <c r="E98" s="324"/>
      <c r="F98" s="324"/>
    </row>
    <row r="99" spans="1:6">
      <c r="A99" s="1264" t="s">
        <v>72</v>
      </c>
      <c r="B99" s="1265">
        <v>172</v>
      </c>
      <c r="C99" s="324"/>
      <c r="D99" s="324"/>
      <c r="E99" s="324"/>
      <c r="F99" s="324"/>
    </row>
    <row r="100" spans="1:6">
      <c r="A100" s="1264" t="s">
        <v>73</v>
      </c>
      <c r="B100" s="1265">
        <v>626</v>
      </c>
      <c r="C100" s="324"/>
      <c r="D100" s="324"/>
      <c r="E100" s="324"/>
      <c r="F100" s="324"/>
    </row>
    <row r="101" spans="1:6">
      <c r="A101" s="1264" t="s">
        <v>74</v>
      </c>
      <c r="B101" s="1265">
        <v>138</v>
      </c>
      <c r="C101" s="324"/>
      <c r="D101" s="324"/>
      <c r="E101" s="324"/>
      <c r="F101" s="324"/>
    </row>
    <row r="102" spans="1:6">
      <c r="A102" s="1264" t="s">
        <v>75</v>
      </c>
      <c r="B102" s="1265">
        <v>138</v>
      </c>
      <c r="C102" s="324"/>
      <c r="D102" s="324"/>
      <c r="E102" s="324"/>
      <c r="F102" s="324"/>
    </row>
    <row r="103" spans="1:6">
      <c r="A103" s="1264" t="s">
        <v>76</v>
      </c>
      <c r="B103" s="1265">
        <v>233</v>
      </c>
      <c r="C103" s="324"/>
      <c r="D103" s="324"/>
      <c r="E103" s="324"/>
      <c r="F103" s="324"/>
    </row>
    <row r="104" spans="1:6">
      <c r="A104" s="1264" t="s">
        <v>77</v>
      </c>
      <c r="B104" s="1265">
        <v>2399</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53</v>
      </c>
      <c r="C123" s="1265">
        <v>70</v>
      </c>
      <c r="D123" s="324"/>
      <c r="E123" s="324"/>
      <c r="F123" s="324"/>
    </row>
    <row r="124" spans="1:6">
      <c r="A124" s="1264" t="s">
        <v>88</v>
      </c>
      <c r="B124" s="1265">
        <v>2</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270</v>
      </c>
      <c r="C129" s="324"/>
      <c r="D129" s="324"/>
      <c r="E129" s="324"/>
      <c r="F129" s="324"/>
    </row>
    <row r="130" spans="1:6">
      <c r="A130" s="1264" t="s">
        <v>284</v>
      </c>
      <c r="B130" s="1265">
        <v>8</v>
      </c>
      <c r="C130" s="324"/>
      <c r="D130" s="324"/>
      <c r="E130" s="324"/>
      <c r="F130" s="324"/>
    </row>
    <row r="131" spans="1:6">
      <c r="A131" s="1264" t="s">
        <v>285</v>
      </c>
      <c r="B131" s="1265">
        <v>3</v>
      </c>
      <c r="C131" s="324"/>
      <c r="D131" s="324"/>
      <c r="E131" s="324"/>
      <c r="F131" s="324"/>
    </row>
    <row r="132" spans="1:6">
      <c r="A132" s="1259" t="s">
        <v>286</v>
      </c>
      <c r="B132" s="1260">
        <v>25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229934.52884120715</v>
      </c>
      <c r="C3" s="43" t="s">
        <v>163</v>
      </c>
      <c r="D3" s="43"/>
      <c r="E3" s="153"/>
      <c r="F3" s="43"/>
      <c r="G3" s="43"/>
      <c r="H3" s="43"/>
      <c r="I3" s="43"/>
      <c r="J3" s="43"/>
      <c r="K3" s="96"/>
    </row>
    <row r="4" spans="1:11">
      <c r="A4" s="350" t="s">
        <v>164</v>
      </c>
      <c r="B4" s="49">
        <f>IF(ISERROR('SEAP template'!B78+'SEAP template'!C78),0,'SEAP template'!B78+'SEAP template'!C78)</f>
        <v>16038.64715656332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0.20558456396495214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124.71428571428569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1428.5609999999999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1428.5609999999999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0.20558456396495214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293.69009028233597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27496.4879602295</v>
      </c>
      <c r="C5" s="17">
        <f>IF(ISERROR('Eigen informatie GS &amp; warmtenet'!B59),0,'Eigen informatie GS &amp; warmtenet'!B59)</f>
        <v>0</v>
      </c>
      <c r="D5" s="30">
        <f>(SUM(HH_hh_gas_kWh,HH_rest_gas_kWh)/1000)*0.903</f>
        <v>74060.112196904171</v>
      </c>
      <c r="E5" s="17">
        <f>B32*B41</f>
        <v>2408.9470754261065</v>
      </c>
      <c r="F5" s="17">
        <f>B36*B45</f>
        <v>39477.058437369371</v>
      </c>
      <c r="G5" s="18"/>
      <c r="H5" s="17"/>
      <c r="I5" s="17"/>
      <c r="J5" s="17">
        <f>B35*B44+C35*C44</f>
        <v>217.89357742472944</v>
      </c>
      <c r="K5" s="17"/>
      <c r="L5" s="17"/>
      <c r="M5" s="17"/>
      <c r="N5" s="17">
        <f>B34*B43+C34*C43</f>
        <v>11384.626013367164</v>
      </c>
      <c r="O5" s="17">
        <f>B52*B53*B54</f>
        <v>678.5137110303649</v>
      </c>
      <c r="P5" s="17">
        <f>B60*B61*B62/1000-B60*B61*B62/1000/B63</f>
        <v>842.71674461480166</v>
      </c>
    </row>
    <row r="6" spans="1:16">
      <c r="A6" s="16" t="s">
        <v>573</v>
      </c>
      <c r="B6" s="739">
        <f>kWh_PV_kleiner_dan_10kW</f>
        <v>5842.1389868102651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33338.626947039767</v>
      </c>
      <c r="C8" s="21">
        <f>C5</f>
        <v>0</v>
      </c>
      <c r="D8" s="21">
        <f>D5</f>
        <v>74060.112196904171</v>
      </c>
      <c r="E8" s="21">
        <f>E5</f>
        <v>2408.9470754261065</v>
      </c>
      <c r="F8" s="21">
        <f>F5</f>
        <v>39477.058437369371</v>
      </c>
      <c r="G8" s="21"/>
      <c r="H8" s="21"/>
      <c r="I8" s="21"/>
      <c r="J8" s="21">
        <f>J5</f>
        <v>217.89357742472944</v>
      </c>
      <c r="K8" s="21"/>
      <c r="L8" s="21">
        <f>L5</f>
        <v>0</v>
      </c>
      <c r="M8" s="21">
        <f>M5</f>
        <v>0</v>
      </c>
      <c r="N8" s="21">
        <f>N5</f>
        <v>11384.626013367164</v>
      </c>
      <c r="O8" s="21">
        <f>O5</f>
        <v>678.5137110303649</v>
      </c>
      <c r="P8" s="21">
        <f>P5</f>
        <v>842.71674461480166</v>
      </c>
    </row>
    <row r="9" spans="1:16">
      <c r="B9" s="19"/>
      <c r="C9" s="19"/>
      <c r="D9" s="253"/>
      <c r="E9" s="19"/>
      <c r="F9" s="19"/>
      <c r="G9" s="19"/>
      <c r="H9" s="19"/>
      <c r="I9" s="19"/>
      <c r="J9" s="19"/>
      <c r="K9" s="19"/>
      <c r="L9" s="19"/>
      <c r="M9" s="19"/>
      <c r="N9" s="19"/>
      <c r="O9" s="19"/>
      <c r="P9" s="19"/>
    </row>
    <row r="10" spans="1:16">
      <c r="A10" s="24" t="s">
        <v>207</v>
      </c>
      <c r="B10" s="25">
        <f ca="1">'EF ele_warmte'!B12</f>
        <v>0.20558456396495214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6853.9070840973745</v>
      </c>
      <c r="C12" s="23">
        <f ca="1">C10*C8</f>
        <v>0</v>
      </c>
      <c r="D12" s="23">
        <f>D8*D10</f>
        <v>14960.142663774643</v>
      </c>
      <c r="E12" s="23">
        <f>E10*E8</f>
        <v>546.83098612172614</v>
      </c>
      <c r="F12" s="23">
        <f>F10*F8</f>
        <v>10540.374602777623</v>
      </c>
      <c r="G12" s="23"/>
      <c r="H12" s="23"/>
      <c r="I12" s="23"/>
      <c r="J12" s="23">
        <f>J10*J8</f>
        <v>77.134326408354212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8708</v>
      </c>
      <c r="C26" s="36"/>
      <c r="D26" s="224"/>
    </row>
    <row r="27" spans="1:5" s="15" customFormat="1">
      <c r="A27" s="226" t="s">
        <v>784</v>
      </c>
      <c r="B27" s="37">
        <f>SUM(HH_hh_gas_aantal,HH_rest_gas_aantal)</f>
        <v>5839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5547.05</v>
      </c>
      <c r="C31" s="34" t="s">
        <v>104</v>
      </c>
      <c r="D31" s="170"/>
    </row>
    <row r="32" spans="1:5">
      <c r="A32" s="167" t="s">
        <v>72</v>
      </c>
      <c r="B32" s="33">
        <f>IF((B21*($B$26-($B$27-0.05*$B$27)-$B$60))&lt;0,0,B21*($B$26-($B$27-0.05*$B$27)-$B$60))</f>
        <v>47.523537246050502</v>
      </c>
      <c r="C32" s="34" t="s">
        <v>104</v>
      </c>
      <c r="D32" s="170"/>
    </row>
    <row r="33" spans="1:6">
      <c r="A33" s="167" t="s">
        <v>73</v>
      </c>
      <c r="B33" s="33">
        <f>IF((B22*($B$26-($B$27-0.05*$B$27)-$B$60))&lt;0,0,B22*($B$26-($B$27-0.05*$B$27)-$B$60))</f>
        <v>771.68812347727851</v>
      </c>
      <c r="C33" s="34" t="s">
        <v>104</v>
      </c>
      <c r="D33" s="170"/>
    </row>
    <row r="34" spans="1:6">
      <c r="A34" s="167" t="s">
        <v>74</v>
      </c>
      <c r="B34" s="33">
        <f>IF((B24*($B$26-($B$27-0.05*$B$27)-$B$60))&lt;0,0,B24*($B$26-($B$27-0.05*$B$27)-$B$60))</f>
        <v>337.427786710595</v>
      </c>
      <c r="C34" s="33">
        <f>B26*C24</f>
        <v>1462.9434062240191</v>
      </c>
      <c r="D34" s="229"/>
    </row>
    <row r="35" spans="1:6">
      <c r="A35" s="167" t="s">
        <v>76</v>
      </c>
      <c r="B35" s="33">
        <f>IF((B19*($B$26-($B$27-0.05*$B$27)-$B$60))&lt;0,0,B19*($B$26-($B$27-0.05*$B$27)-$B$60))</f>
        <v>20.658368341644206</v>
      </c>
      <c r="C35" s="33">
        <f>B35/2</f>
        <v>10.329184170822103</v>
      </c>
      <c r="D35" s="229"/>
    </row>
    <row r="36" spans="1:6">
      <c r="A36" s="167" t="s">
        <v>77</v>
      </c>
      <c r="B36" s="33">
        <f>IF((B18*($B$26-($B$27-0.05*$B$27)-$B$60))&lt;0,0,B18*($B$26-($B$27-0.05*$B$27)-$B$60))</f>
        <v>1903.6521842244308</v>
      </c>
      <c r="C36" s="34" t="s">
        <v>104</v>
      </c>
      <c r="D36" s="170"/>
    </row>
    <row r="37" spans="1:6">
      <c r="A37" s="167" t="s">
        <v>78</v>
      </c>
      <c r="B37" s="33">
        <f>B60</f>
        <v>80</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342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80</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34516.795528116687</v>
      </c>
      <c r="C5" s="17">
        <f>IF(ISERROR('Eigen informatie GS &amp; warmtenet'!B60),0,'Eigen informatie GS &amp; warmtenet'!B60)</f>
        <v>0</v>
      </c>
      <c r="D5" s="30">
        <f>SUM(D6:D12)</f>
        <v>44554.606895508674</v>
      </c>
      <c r="E5" s="17">
        <f>SUM(E6:E12)</f>
        <v>103.24548684326055</v>
      </c>
      <c r="F5" s="17">
        <f>SUM(F6:F12)</f>
        <v>6514.7466696568863</v>
      </c>
      <c r="G5" s="18"/>
      <c r="H5" s="17"/>
      <c r="I5" s="17"/>
      <c r="J5" s="17">
        <f>SUM(J6:J12)</f>
        <v>3.7469634990820809E-2</v>
      </c>
      <c r="K5" s="17"/>
      <c r="L5" s="17"/>
      <c r="M5" s="17"/>
      <c r="N5" s="17">
        <f>SUM(N6:N12)</f>
        <v>1355.3168203750533</v>
      </c>
      <c r="O5" s="17">
        <f>B38*B39*B40</f>
        <v>39.178086126729234</v>
      </c>
      <c r="P5" s="17">
        <f>B46*B47*B48/1000-B46*B47*B48/1000/B49</f>
        <v>157.61741491948504</v>
      </c>
      <c r="R5" s="32"/>
    </row>
    <row r="6" spans="1:18">
      <c r="A6" s="32" t="s">
        <v>53</v>
      </c>
      <c r="B6" s="37">
        <f>B26</f>
        <v>6537.7265245369599</v>
      </c>
      <c r="C6" s="33"/>
      <c r="D6" s="37">
        <f>IF(ISERROR(TER_kantoor_gas_kWh/1000),0,TER_kantoor_gas_kWh/1000)*0.903</f>
        <v>12247.703256871633</v>
      </c>
      <c r="E6" s="33">
        <f>$C$26*'E Balans VL '!I12/100/3.6*1000000</f>
        <v>1.5900213618191108</v>
      </c>
      <c r="F6" s="33">
        <f>$C$26*('E Balans VL '!L12+'E Balans VL '!N12)/100/3.6*1000000</f>
        <v>626.02871250704175</v>
      </c>
      <c r="G6" s="34"/>
      <c r="H6" s="33"/>
      <c r="I6" s="33"/>
      <c r="J6" s="33">
        <f>$C$26*('E Balans VL '!D12+'E Balans VL '!E12)/100/3.6*1000000</f>
        <v>0</v>
      </c>
      <c r="K6" s="33"/>
      <c r="L6" s="33"/>
      <c r="M6" s="33"/>
      <c r="N6" s="33">
        <f>$C$26*'E Balans VL '!Y12/100/3.6*1000000</f>
        <v>3.3190338730822608</v>
      </c>
      <c r="O6" s="33"/>
      <c r="P6" s="33"/>
      <c r="R6" s="32"/>
    </row>
    <row r="7" spans="1:18">
      <c r="A7" s="32" t="s">
        <v>52</v>
      </c>
      <c r="B7" s="37">
        <f t="shared" ref="B7:B12" si="0">B27</f>
        <v>2248.40676532526</v>
      </c>
      <c r="C7" s="33"/>
      <c r="D7" s="37">
        <f>IF(ISERROR(TER_horeca_gas_kWh/1000),0,TER_horeca_gas_kWh/1000)*0.903</f>
        <v>3905.5518184440302</v>
      </c>
      <c r="E7" s="33">
        <f>$C$27*'E Balans VL '!I9/100/3.6*1000000</f>
        <v>0</v>
      </c>
      <c r="F7" s="33">
        <f>$C$27*('E Balans VL '!L9+'E Balans VL '!N9)/100/3.6*1000000</f>
        <v>184.41227469840621</v>
      </c>
      <c r="G7" s="34"/>
      <c r="H7" s="33"/>
      <c r="I7" s="33"/>
      <c r="J7" s="33">
        <f>$C$27*('E Balans VL '!D9+'E Balans VL '!E9)/100/3.6*1000000</f>
        <v>0</v>
      </c>
      <c r="K7" s="33"/>
      <c r="L7" s="33"/>
      <c r="M7" s="33"/>
      <c r="N7" s="33">
        <f>$C$27*'E Balans VL '!Y9/100/3.6*1000000</f>
        <v>14.767090121091107</v>
      </c>
      <c r="O7" s="33"/>
      <c r="P7" s="33"/>
      <c r="R7" s="32"/>
    </row>
    <row r="8" spans="1:18">
      <c r="A8" s="6" t="s">
        <v>51</v>
      </c>
      <c r="B8" s="37">
        <f t="shared" si="0"/>
        <v>13353.4019410737</v>
      </c>
      <c r="C8" s="33"/>
      <c r="D8" s="37">
        <f>IF(ISERROR(TER_handel_gas_kWh/1000),0,TER_handel_gas_kWh/1000)*0.903</f>
        <v>8096.0926777329032</v>
      </c>
      <c r="E8" s="33">
        <f>$C$28*'E Balans VL '!I13/100/3.6*1000000</f>
        <v>47.204967638498893</v>
      </c>
      <c r="F8" s="33">
        <f>$C$28*('E Balans VL '!L13+'E Balans VL '!N13)/100/3.6*1000000</f>
        <v>1229.562668877935</v>
      </c>
      <c r="G8" s="34"/>
      <c r="H8" s="33"/>
      <c r="I8" s="33"/>
      <c r="J8" s="33">
        <f>$C$28*('E Balans VL '!D13+'E Balans VL '!E13)/100/3.6*1000000</f>
        <v>0</v>
      </c>
      <c r="K8" s="33"/>
      <c r="L8" s="33"/>
      <c r="M8" s="33"/>
      <c r="N8" s="33">
        <f>$C$28*'E Balans VL '!Y13/100/3.6*1000000</f>
        <v>4.8360272975884522</v>
      </c>
      <c r="O8" s="33"/>
      <c r="P8" s="33"/>
      <c r="R8" s="32"/>
    </row>
    <row r="9" spans="1:18">
      <c r="A9" s="32" t="s">
        <v>50</v>
      </c>
      <c r="B9" s="37">
        <f t="shared" si="0"/>
        <v>6959.8651396404193</v>
      </c>
      <c r="C9" s="33"/>
      <c r="D9" s="37">
        <f>IF(ISERROR(TER_gezond_gas_kWh/1000),0,TER_gezond_gas_kWh/1000)*0.903</f>
        <v>9530.1398331733435</v>
      </c>
      <c r="E9" s="33">
        <f>$C$29*'E Balans VL '!I10/100/3.6*1000000</f>
        <v>0</v>
      </c>
      <c r="F9" s="33">
        <f>$C$29*('E Balans VL '!L10+'E Balans VL '!N10)/100/3.6*1000000</f>
        <v>854.99101777782903</v>
      </c>
      <c r="G9" s="34"/>
      <c r="H9" s="33"/>
      <c r="I9" s="33"/>
      <c r="J9" s="33">
        <f>$C$29*('E Balans VL '!D10+'E Balans VL '!E10)/100/3.6*1000000</f>
        <v>0</v>
      </c>
      <c r="K9" s="33"/>
      <c r="L9" s="33"/>
      <c r="M9" s="33"/>
      <c r="N9" s="33">
        <f>$C$29*'E Balans VL '!Y10/100/3.6*1000000</f>
        <v>51.324155389172311</v>
      </c>
      <c r="O9" s="33"/>
      <c r="P9" s="33"/>
      <c r="R9" s="32"/>
    </row>
    <row r="10" spans="1:18">
      <c r="A10" s="32" t="s">
        <v>49</v>
      </c>
      <c r="B10" s="37">
        <f t="shared" si="0"/>
        <v>3794.0783230597303</v>
      </c>
      <c r="C10" s="33"/>
      <c r="D10" s="37">
        <f>IF(ISERROR(TER_ander_gas_kWh/1000),0,TER_ander_gas_kWh/1000)*0.903</f>
        <v>5144.9368263493525</v>
      </c>
      <c r="E10" s="33">
        <f>$C$30*'E Balans VL '!I14/100/3.6*1000000</f>
        <v>54.450497842942539</v>
      </c>
      <c r="F10" s="33">
        <f>$C$30*('E Balans VL '!L14+'E Balans VL '!N14)/100/3.6*1000000</f>
        <v>3429.9669267179393</v>
      </c>
      <c r="G10" s="34"/>
      <c r="H10" s="33"/>
      <c r="I10" s="33"/>
      <c r="J10" s="33">
        <f>$C$30*('E Balans VL '!D14+'E Balans VL '!E14)/100/3.6*1000000</f>
        <v>3.7469634990820809E-2</v>
      </c>
      <c r="K10" s="33"/>
      <c r="L10" s="33"/>
      <c r="M10" s="33"/>
      <c r="N10" s="33">
        <f>$C$30*'E Balans VL '!Y14/100/3.6*1000000</f>
        <v>1276.4994398956699</v>
      </c>
      <c r="O10" s="33"/>
      <c r="P10" s="33"/>
      <c r="R10" s="32"/>
    </row>
    <row r="11" spans="1:18">
      <c r="A11" s="32" t="s">
        <v>54</v>
      </c>
      <c r="B11" s="37">
        <f t="shared" si="0"/>
        <v>1623.3168344806099</v>
      </c>
      <c r="C11" s="33"/>
      <c r="D11" s="37">
        <f>IF(ISERROR(TER_onderwijs_gas_kWh/1000),0,TER_onderwijs_gas_kWh/1000)*0.903</f>
        <v>5630.1824829374191</v>
      </c>
      <c r="E11" s="33">
        <f>$C$31*'E Balans VL '!I11/100/3.6*1000000</f>
        <v>0</v>
      </c>
      <c r="F11" s="33">
        <f>$C$31*('E Balans VL '!L11+'E Balans VL '!N11)/100/3.6*1000000</f>
        <v>189.78506907773456</v>
      </c>
      <c r="G11" s="34"/>
      <c r="H11" s="33"/>
      <c r="I11" s="33"/>
      <c r="J11" s="33">
        <f>$C$31*('E Balans VL '!D11+'E Balans VL '!E11)/100/3.6*1000000</f>
        <v>0</v>
      </c>
      <c r="K11" s="33"/>
      <c r="L11" s="33"/>
      <c r="M11" s="33"/>
      <c r="N11" s="33">
        <f>$C$31*'E Balans VL '!Y11/100/3.6*1000000</f>
        <v>4.5710737984492464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0</v>
      </c>
      <c r="C13" s="242">
        <f ca="1">'lokale energieproductie'!O39+'lokale energieproductie'!O32</f>
        <v>0</v>
      </c>
      <c r="D13" s="302">
        <f ca="1">('lokale energieproductie'!P32+'lokale energieproductie'!P39)*(-1)</f>
        <v>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34516.795528116687</v>
      </c>
      <c r="C16" s="21">
        <f t="shared" ca="1" si="1"/>
        <v>0</v>
      </c>
      <c r="D16" s="21">
        <f t="shared" ca="1" si="1"/>
        <v>44554.606895508674</v>
      </c>
      <c r="E16" s="21">
        <f t="shared" si="1"/>
        <v>103.24548684326055</v>
      </c>
      <c r="F16" s="21">
        <f t="shared" ca="1" si="1"/>
        <v>6514.7466696568863</v>
      </c>
      <c r="G16" s="21">
        <f t="shared" si="1"/>
        <v>0</v>
      </c>
      <c r="H16" s="21">
        <f t="shared" si="1"/>
        <v>0</v>
      </c>
      <c r="I16" s="21">
        <f t="shared" si="1"/>
        <v>0</v>
      </c>
      <c r="J16" s="21">
        <f t="shared" si="1"/>
        <v>3.7469634990820809E-2</v>
      </c>
      <c r="K16" s="21">
        <f t="shared" si="1"/>
        <v>0</v>
      </c>
      <c r="L16" s="21">
        <f t="shared" ca="1" si="1"/>
        <v>0</v>
      </c>
      <c r="M16" s="21">
        <f t="shared" si="1"/>
        <v>0</v>
      </c>
      <c r="N16" s="21">
        <f t="shared" ca="1" si="1"/>
        <v>1355.3168203750533</v>
      </c>
      <c r="O16" s="21">
        <f>O5</f>
        <v>39.178086126729234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0.20558456396495214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7096.1203581152795</v>
      </c>
      <c r="C20" s="23">
        <f t="shared" ref="C20:P20" ca="1" si="2">C16*C18</f>
        <v>0</v>
      </c>
      <c r="D20" s="23">
        <f t="shared" ca="1" si="2"/>
        <v>9000.0305928927519</v>
      </c>
      <c r="E20" s="23">
        <f t="shared" si="2"/>
        <v>23.436725513420146</v>
      </c>
      <c r="F20" s="23">
        <f t="shared" ca="1" si="2"/>
        <v>1739.4373607983887</v>
      </c>
      <c r="G20" s="23">
        <f t="shared" si="2"/>
        <v>0</v>
      </c>
      <c r="H20" s="23">
        <f t="shared" si="2"/>
        <v>0</v>
      </c>
      <c r="I20" s="23">
        <f t="shared" si="2"/>
        <v>0</v>
      </c>
      <c r="J20" s="23">
        <f t="shared" si="2"/>
        <v>1.3264250786750566E-2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6537.7265245369599</v>
      </c>
      <c r="C26" s="39">
        <f>IF(ISERROR(B26*3.6/1000000/'E Balans VL '!Z12*100),0,B26*3.6/1000000/'E Balans VL '!Z12*100)</f>
        <v>0.18428164605398328</v>
      </c>
      <c r="D26" s="232" t="s">
        <v>660</v>
      </c>
      <c r="F26" s="6"/>
    </row>
    <row r="27" spans="1:18">
      <c r="A27" s="227" t="s">
        <v>52</v>
      </c>
      <c r="B27" s="33">
        <f>IF(ISERROR(TER_horeca_ele_kWh/1000),0,TER_horeca_ele_kWh/1000)</f>
        <v>2248.40676532526</v>
      </c>
      <c r="C27" s="39">
        <f>IF(ISERROR(B27*3.6/1000000/'E Balans VL '!Z9*100),0,B27*3.6/1000000/'E Balans VL '!Z9*100)</f>
        <v>0.16669174069747353</v>
      </c>
      <c r="D27" s="232" t="s">
        <v>660</v>
      </c>
      <c r="F27" s="6"/>
    </row>
    <row r="28" spans="1:18">
      <c r="A28" s="167" t="s">
        <v>51</v>
      </c>
      <c r="B28" s="33">
        <f>IF(ISERROR(TER_handel_ele_kWh/1000),0,TER_handel_ele_kWh/1000)</f>
        <v>13353.4019410737</v>
      </c>
      <c r="C28" s="39">
        <f>IF(ISERROR(B28*3.6/1000000/'E Balans VL '!Z13*100),0,B28*3.6/1000000/'E Balans VL '!Z13*100)</f>
        <v>0.40003617325608265</v>
      </c>
      <c r="D28" s="232" t="s">
        <v>660</v>
      </c>
      <c r="F28" s="6"/>
    </row>
    <row r="29" spans="1:18">
      <c r="A29" s="227" t="s">
        <v>50</v>
      </c>
      <c r="B29" s="33">
        <f>IF(ISERROR(TER_gezond_ele_kWh/1000),0,TER_gezond_ele_kWh/1000)</f>
        <v>6959.8651396404193</v>
      </c>
      <c r="C29" s="39">
        <f>IF(ISERROR(B29*3.6/1000000/'E Balans VL '!Z10*100),0,B29*3.6/1000000/'E Balans VL '!Z10*100)</f>
        <v>0.68819419291364525</v>
      </c>
      <c r="D29" s="232" t="s">
        <v>660</v>
      </c>
      <c r="F29" s="6"/>
    </row>
    <row r="30" spans="1:18">
      <c r="A30" s="227" t="s">
        <v>49</v>
      </c>
      <c r="B30" s="33">
        <f>IF(ISERROR(TER_ander_ele_kWh/1000),0,TER_ander_ele_kWh/1000)</f>
        <v>3794.0783230597303</v>
      </c>
      <c r="C30" s="39">
        <f>IF(ISERROR(B30*3.6/1000000/'E Balans VL '!Z14*100),0,B30*3.6/1000000/'E Balans VL '!Z14*100)</f>
        <v>0.15345925593510226</v>
      </c>
      <c r="D30" s="232" t="s">
        <v>660</v>
      </c>
      <c r="F30" s="6"/>
    </row>
    <row r="31" spans="1:18">
      <c r="A31" s="227" t="s">
        <v>54</v>
      </c>
      <c r="B31" s="33">
        <f>IF(ISERROR(TER_onderwijs_ele_kWh/1000),0,TER_onderwijs_ele_kWh/1000)</f>
        <v>1623.3168344806099</v>
      </c>
      <c r="C31" s="39">
        <f>IF(ISERROR(B31*3.6/1000000/'E Balans VL '!Z11*100),0,B31*3.6/1000000/'E Balans VL '!Z11*100)</f>
        <v>0.44599612960275464</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8</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145186.46031863944</v>
      </c>
      <c r="C5" s="17">
        <f>IF(ISERROR('Eigen informatie GS &amp; warmtenet'!B61),0,'Eigen informatie GS &amp; warmtenet'!B61)</f>
        <v>0</v>
      </c>
      <c r="D5" s="30">
        <f>SUM(D6:D15)</f>
        <v>186821.78081700313</v>
      </c>
      <c r="E5" s="17">
        <f>SUM(E6:E15)</f>
        <v>576.53179603683418</v>
      </c>
      <c r="F5" s="17">
        <f>SUM(F6:F15)</f>
        <v>44038.999076835149</v>
      </c>
      <c r="G5" s="18"/>
      <c r="H5" s="17"/>
      <c r="I5" s="17"/>
      <c r="J5" s="17">
        <f>SUM(J6:J15)</f>
        <v>4.8437328044527499</v>
      </c>
      <c r="K5" s="17"/>
      <c r="L5" s="17"/>
      <c r="M5" s="17"/>
      <c r="N5" s="17">
        <f>SUM(N6:N15)</f>
        <v>3416.8915349574918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4758.8725166759905</v>
      </c>
      <c r="C8" s="33"/>
      <c r="D8" s="37">
        <f>IF( ISERROR(IND_metaal_Gas_kWH/1000),0,IND_metaal_Gas_kWH/1000)*0.903</f>
        <v>1691.4717157830194</v>
      </c>
      <c r="E8" s="33">
        <f>C30*'E Balans VL '!I18/100/3.6*1000000</f>
        <v>26.009305354601882</v>
      </c>
      <c r="F8" s="33">
        <f>C30*'E Balans VL '!L18/100/3.6*1000000+C30*'E Balans VL '!N18/100/3.6*1000000</f>
        <v>325.73773688045003</v>
      </c>
      <c r="G8" s="34"/>
      <c r="H8" s="33"/>
      <c r="I8" s="33"/>
      <c r="J8" s="40">
        <f>C30*'E Balans VL '!D18/100/3.6*1000000+C30*'E Balans VL '!E18/100/3.6*1000000</f>
        <v>4.7425372772766829</v>
      </c>
      <c r="K8" s="33"/>
      <c r="L8" s="33"/>
      <c r="M8" s="33"/>
      <c r="N8" s="33">
        <f>C30*'E Balans VL '!Y18/100/3.6*1000000</f>
        <v>70.386016067694442</v>
      </c>
      <c r="O8" s="33"/>
      <c r="P8" s="33"/>
      <c r="R8" s="32"/>
    </row>
    <row r="9" spans="1:18">
      <c r="A9" s="6" t="s">
        <v>32</v>
      </c>
      <c r="B9" s="37">
        <f t="shared" si="0"/>
        <v>65157.643869272404</v>
      </c>
      <c r="C9" s="33"/>
      <c r="D9" s="37">
        <f>IF( ISERROR(IND_andere_gas_kWh/1000),0,IND_andere_gas_kWh/1000)*0.903</f>
        <v>60011.777528453982</v>
      </c>
      <c r="E9" s="33">
        <f>C31*'E Balans VL '!I19/100/3.6*1000000</f>
        <v>245.20544438929764</v>
      </c>
      <c r="F9" s="33">
        <f>C31*'E Balans VL '!L19/100/3.6*1000000+C31*'E Balans VL '!N19/100/3.6*1000000</f>
        <v>41937.22161784178</v>
      </c>
      <c r="G9" s="34"/>
      <c r="H9" s="33"/>
      <c r="I9" s="33"/>
      <c r="J9" s="40">
        <f>C31*'E Balans VL '!D19/100/3.6*1000000+C31*'E Balans VL '!E19/100/3.6*1000000</f>
        <v>0</v>
      </c>
      <c r="K9" s="33"/>
      <c r="L9" s="33"/>
      <c r="M9" s="33"/>
      <c r="N9" s="33">
        <f>C31*'E Balans VL '!Y19/100/3.6*1000000</f>
        <v>2353.8634843449058</v>
      </c>
      <c r="O9" s="33"/>
      <c r="P9" s="33"/>
      <c r="R9" s="32"/>
    </row>
    <row r="10" spans="1:18">
      <c r="A10" s="6" t="s">
        <v>40</v>
      </c>
      <c r="B10" s="37">
        <f t="shared" si="0"/>
        <v>18622.102848363702</v>
      </c>
      <c r="C10" s="33"/>
      <c r="D10" s="37">
        <f>IF( ISERROR(IND_voed_gas_kWh/1000),0,IND_voed_gas_kWh/1000)*0.903</f>
        <v>17176.286913883589</v>
      </c>
      <c r="E10" s="33">
        <f>C32*'E Balans VL '!I20/100/3.6*1000000</f>
        <v>36.86384739175007</v>
      </c>
      <c r="F10" s="33">
        <f>C32*'E Balans VL '!L20/100/3.6*1000000+C32*'E Balans VL '!N20/100/3.6*1000000</f>
        <v>395.51062651268199</v>
      </c>
      <c r="G10" s="34"/>
      <c r="H10" s="33"/>
      <c r="I10" s="33"/>
      <c r="J10" s="40">
        <f>C32*'E Balans VL '!D20/100/3.6*1000000+C32*'E Balans VL '!E20/100/3.6*1000000</f>
        <v>0</v>
      </c>
      <c r="K10" s="33"/>
      <c r="L10" s="33"/>
      <c r="M10" s="33"/>
      <c r="N10" s="33">
        <f>C32*'E Balans VL '!Y20/100/3.6*1000000</f>
        <v>750.5415080376406</v>
      </c>
      <c r="O10" s="33"/>
      <c r="P10" s="33"/>
      <c r="R10" s="32"/>
    </row>
    <row r="11" spans="1:18">
      <c r="A11" s="6" t="s">
        <v>39</v>
      </c>
      <c r="B11" s="37">
        <f t="shared" si="0"/>
        <v>55332.016378745306</v>
      </c>
      <c r="C11" s="33"/>
      <c r="D11" s="37">
        <f>IF( ISERROR(IND_textiel_gas_kWh/1000),0,IND_textiel_gas_kWh/1000)*0.903</f>
        <v>87438.550669162752</v>
      </c>
      <c r="E11" s="33">
        <f>C33*'E Balans VL '!I21/100/3.6*1000000</f>
        <v>107.74437031474807</v>
      </c>
      <c r="F11" s="33">
        <f>C33*'E Balans VL '!L21/100/3.6*1000000+C33*'E Balans VL '!N21/100/3.6*1000000</f>
        <v>1310.6429986686665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500.21692649134303</v>
      </c>
      <c r="C12" s="33"/>
      <c r="D12" s="37">
        <f>IF( ISERROR(IND_min_gas_kWh/1000),0,IND_min_gas_kWh/1000)*0.903</f>
        <v>93.290434104590929</v>
      </c>
      <c r="E12" s="33">
        <f>C34*'E Balans VL '!I22/100/3.6*1000000</f>
        <v>6.1206262534470302</v>
      </c>
      <c r="F12" s="33">
        <f>C34*'E Balans VL '!L22/100/3.6*1000000+C34*'E Balans VL '!N22/100/3.6*1000000</f>
        <v>54.004724337567446</v>
      </c>
      <c r="G12" s="34"/>
      <c r="H12" s="33"/>
      <c r="I12" s="33"/>
      <c r="J12" s="40">
        <f>C34*'E Balans VL '!D22/100/3.6*1000000+C34*'E Balans VL '!E22/100/3.6*1000000</f>
        <v>0</v>
      </c>
      <c r="K12" s="33"/>
      <c r="L12" s="33"/>
      <c r="M12" s="33"/>
      <c r="N12" s="33">
        <f>C34*'E Balans VL '!Y22/100/3.6*1000000</f>
        <v>241.27007877674782</v>
      </c>
      <c r="O12" s="33"/>
      <c r="P12" s="33"/>
      <c r="R12" s="32"/>
    </row>
    <row r="13" spans="1:18">
      <c r="A13" s="6" t="s">
        <v>38</v>
      </c>
      <c r="B13" s="37">
        <f t="shared" si="0"/>
        <v>0</v>
      </c>
      <c r="C13" s="33"/>
      <c r="D13" s="37">
        <f>IF( ISERROR(IND_papier_gas_kWh/1000),0,IND_papier_gas_kWh/1000)*0.903</f>
        <v>20396.98576763321</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792.54543111454097</v>
      </c>
      <c r="C14" s="33"/>
      <c r="D14" s="37">
        <f>IF( ISERROR(IND_chemie_gas_kWh/1000),0,IND_chemie_gas_kWh/1000)*0.903</f>
        <v>0</v>
      </c>
      <c r="E14" s="33">
        <f>C36*'E Balans VL '!I24/100/3.6*1000000</f>
        <v>153.33962210973206</v>
      </c>
      <c r="F14" s="33">
        <f>C36*'E Balans VL '!L24/100/3.6*1000000+C36*'E Balans VL '!N24/100/3.6*1000000</f>
        <v>12.361735032765594</v>
      </c>
      <c r="G14" s="34"/>
      <c r="H14" s="33"/>
      <c r="I14" s="33"/>
      <c r="J14" s="40">
        <f>C36*'E Balans VL '!D24/100/3.6*1000000+C36*'E Balans VL '!E24/100/3.6*1000000</f>
        <v>0</v>
      </c>
      <c r="K14" s="33"/>
      <c r="L14" s="33"/>
      <c r="M14" s="33"/>
      <c r="N14" s="33">
        <f>C36*'E Balans VL '!Y24/100/3.6*1000000</f>
        <v>0.17670881409146397</v>
      </c>
      <c r="O14" s="33"/>
      <c r="P14" s="33"/>
      <c r="R14" s="32"/>
    </row>
    <row r="15" spans="1:18">
      <c r="A15" s="6" t="s">
        <v>259</v>
      </c>
      <c r="B15" s="37">
        <f t="shared" si="0"/>
        <v>23.062347976130898</v>
      </c>
      <c r="C15" s="33"/>
      <c r="D15" s="37">
        <f>IF( ISERROR(IND_rest_gas_kWh/1000),0,IND_rest_gas_kWh/1000)*0.903</f>
        <v>13.417787982019249</v>
      </c>
      <c r="E15" s="33">
        <f>C37*'E Balans VL '!I15/100/3.6*1000000</f>
        <v>1.2485802232575269</v>
      </c>
      <c r="F15" s="33">
        <f>C37*'E Balans VL '!L15/100/3.6*1000000+C37*'E Balans VL '!N15/100/3.6*1000000</f>
        <v>3.519637561241828</v>
      </c>
      <c r="G15" s="34"/>
      <c r="H15" s="33"/>
      <c r="I15" s="33"/>
      <c r="J15" s="40">
        <f>C37*'E Balans VL '!D15/100/3.6*1000000+C37*'E Balans VL '!E15/100/3.6*1000000</f>
        <v>0.10119552717606728</v>
      </c>
      <c r="K15" s="33"/>
      <c r="L15" s="33"/>
      <c r="M15" s="33"/>
      <c r="N15" s="33">
        <f>C37*'E Balans VL '!Y15/100/3.6*1000000</f>
        <v>0.65373891641148163</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145186.46031863944</v>
      </c>
      <c r="C18" s="21">
        <f>C5+C16</f>
        <v>0</v>
      </c>
      <c r="D18" s="21">
        <f>MAX((D5+D16),0)</f>
        <v>186821.78081700313</v>
      </c>
      <c r="E18" s="21">
        <f>MAX((E5+E16),0)</f>
        <v>576.53179603683418</v>
      </c>
      <c r="F18" s="21">
        <f>MAX((F5+F16),0)</f>
        <v>44038.999076835149</v>
      </c>
      <c r="G18" s="21"/>
      <c r="H18" s="21"/>
      <c r="I18" s="21"/>
      <c r="J18" s="21">
        <f>MAX((J5+J16),0)</f>
        <v>4.8437328044527499</v>
      </c>
      <c r="K18" s="21"/>
      <c r="L18" s="21">
        <f>MAX((L5+L16),0)</f>
        <v>0</v>
      </c>
      <c r="M18" s="21"/>
      <c r="N18" s="21">
        <f>MAX((N5+N16),0)</f>
        <v>3416.8915349574918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0.20558456396495214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29848.095138222317</v>
      </c>
      <c r="C22" s="23">
        <f ca="1">C18*C20</f>
        <v>0</v>
      </c>
      <c r="D22" s="23">
        <f>D18*D20</f>
        <v>37737.999725034635</v>
      </c>
      <c r="E22" s="23">
        <f>E18*E20</f>
        <v>130.87271770036136</v>
      </c>
      <c r="F22" s="23">
        <f>F18*F20</f>
        <v>11758.412753514986</v>
      </c>
      <c r="G22" s="23"/>
      <c r="H22" s="23"/>
      <c r="I22" s="23"/>
      <c r="J22" s="23">
        <f>J18*J20</f>
        <v>1.7146814127762733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4758.8725166759905</v>
      </c>
      <c r="C30" s="39">
        <f>IF(ISERROR(B30*3.6/1000000/'E Balans VL '!Z18*100),0,B30*3.6/1000000/'E Balans VL '!Z18*100)</f>
        <v>0.26552308239807165</v>
      </c>
      <c r="D30" s="232" t="s">
        <v>660</v>
      </c>
    </row>
    <row r="31" spans="1:18">
      <c r="A31" s="6" t="s">
        <v>32</v>
      </c>
      <c r="B31" s="37">
        <f>IF( ISERROR(IND_ander_ele_kWh/1000),0,IND_ander_ele_kWh/1000)</f>
        <v>65157.643869272404</v>
      </c>
      <c r="C31" s="39">
        <f>IF(ISERROR(B31*3.6/1000000/'E Balans VL '!Z19*100),0,B31*3.6/1000000/'E Balans VL '!Z19*100)</f>
        <v>2.6521171656642233</v>
      </c>
      <c r="D31" s="232" t="s">
        <v>660</v>
      </c>
    </row>
    <row r="32" spans="1:18">
      <c r="A32" s="167" t="s">
        <v>40</v>
      </c>
      <c r="B32" s="37">
        <f>IF( ISERROR(IND_voed_ele_kWh/1000),0,IND_voed_ele_kWh/1000)</f>
        <v>18622.102848363702</v>
      </c>
      <c r="C32" s="39">
        <f>IF(ISERROR(B32*3.6/1000000/'E Balans VL '!Z20*100),0,B32*3.6/1000000/'E Balans VL '!Z20*100)</f>
        <v>0.54162090277465114</v>
      </c>
      <c r="D32" s="232" t="s">
        <v>660</v>
      </c>
    </row>
    <row r="33" spans="1:5">
      <c r="A33" s="167" t="s">
        <v>39</v>
      </c>
      <c r="B33" s="37">
        <f>IF( ISERROR(IND_textiel_ele_kWh/1000),0,IND_textiel_ele_kWh/1000)</f>
        <v>55332.016378745306</v>
      </c>
      <c r="C33" s="39">
        <f>IF(ISERROR(B33*3.6/1000000/'E Balans VL '!Z21*100),0,B33*3.6/1000000/'E Balans VL '!Z21*100)</f>
        <v>8.1504461679574085</v>
      </c>
      <c r="D33" s="232" t="s">
        <v>660</v>
      </c>
    </row>
    <row r="34" spans="1:5">
      <c r="A34" s="167" t="s">
        <v>36</v>
      </c>
      <c r="B34" s="37">
        <f>IF( ISERROR(IND_min_ele_kWh/1000),0,IND_min_ele_kWh/1000)</f>
        <v>500.21692649134303</v>
      </c>
      <c r="C34" s="39">
        <f>IF(ISERROR(B34*3.6/1000000/'E Balans VL '!Z22*100),0,B34*3.6/1000000/'E Balans VL '!Z22*100)</f>
        <v>0.2006664090752818</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792.54543111454097</v>
      </c>
      <c r="C36" s="39">
        <f>IF(ISERROR(B36*3.6/1000000/'E Balans VL '!Z24*100),0,B36*3.6/1000000/'E Balans VL '!Z24*100)</f>
        <v>2.394248139741308E-2</v>
      </c>
      <c r="D36" s="232" t="s">
        <v>660</v>
      </c>
    </row>
    <row r="37" spans="1:5">
      <c r="A37" s="167" t="s">
        <v>259</v>
      </c>
      <c r="B37" s="37">
        <f>IF( ISERROR(IND_rest_ele_kWh/1000),0,IND_rest_ele_kWh/1000)</f>
        <v>23.062347976130898</v>
      </c>
      <c r="C37" s="39">
        <f>IF(ISERROR(B37*3.6/1000000/'E Balans VL '!Z15*100),0,B37*3.6/1000000/'E Balans VL '!Z15*100)</f>
        <v>1.8575662987935554E-4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14324.377646442801</v>
      </c>
      <c r="C5" s="17">
        <f>'Eigen informatie GS &amp; warmtenet'!B62</f>
        <v>0</v>
      </c>
      <c r="D5" s="30">
        <f>IF(ISERROR(SUM(LB_lb_gas_kWh,LB_rest_gas_kWh)/1000),0,SUM(LB_lb_gas_kWh,LB_rest_gas_kWh)/1000)*0.903</f>
        <v>551.1251154424549</v>
      </c>
      <c r="E5" s="17">
        <f>B17*'E Balans VL '!I25/3.6*1000000/100</f>
        <v>422.32314989260726</v>
      </c>
      <c r="F5" s="17">
        <f>B17*('E Balans VL '!L25/3.6*1000000+'E Balans VL '!N25/3.6*1000000)/100</f>
        <v>45527.962888871349</v>
      </c>
      <c r="G5" s="18"/>
      <c r="H5" s="17"/>
      <c r="I5" s="17"/>
      <c r="J5" s="17">
        <f>('E Balans VL '!D25+'E Balans VL '!E25)/3.6*1000000*landbouw!B17/100</f>
        <v>3612.5200800619564</v>
      </c>
      <c r="K5" s="17"/>
      <c r="L5" s="17">
        <f>L6*(-1)</f>
        <v>0</v>
      </c>
      <c r="M5" s="17"/>
      <c r="N5" s="17">
        <f>N6*(-1)</f>
        <v>249.42857142857139</v>
      </c>
      <c r="O5" s="17"/>
      <c r="P5" s="17"/>
      <c r="R5" s="32"/>
    </row>
    <row r="6" spans="1:18">
      <c r="A6" s="16" t="s">
        <v>466</v>
      </c>
      <c r="B6" s="17" t="s">
        <v>204</v>
      </c>
      <c r="C6" s="17">
        <f>'lokale energieproductie'!O40+'lokale energieproductie'!O33</f>
        <v>124.71428571428569</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14324.377646442801</v>
      </c>
      <c r="C8" s="21">
        <f>C5+C6</f>
        <v>124.71428571428569</v>
      </c>
      <c r="D8" s="21">
        <f>MAX((D5+D6),0)</f>
        <v>551.1251154424549</v>
      </c>
      <c r="E8" s="21">
        <f>MAX((E5+E6),0)</f>
        <v>422.32314989260726</v>
      </c>
      <c r="F8" s="21">
        <f>MAX((F5+F6),0)</f>
        <v>45527.962888871349</v>
      </c>
      <c r="G8" s="21"/>
      <c r="H8" s="21"/>
      <c r="I8" s="21"/>
      <c r="J8" s="21">
        <f>MAX((J5+J6),0)</f>
        <v>3612.5200800619564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0.20558456396495214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2944.8709325132509</v>
      </c>
      <c r="C12" s="23">
        <f ca="1">C8*C10</f>
        <v>0</v>
      </c>
      <c r="D12" s="23">
        <f>D8*D10</f>
        <v>111.32727331937589</v>
      </c>
      <c r="E12" s="23">
        <f>E8*E10</f>
        <v>95.867355025621848</v>
      </c>
      <c r="F12" s="23">
        <f>F8*F10</f>
        <v>12155.966091328652</v>
      </c>
      <c r="G12" s="23"/>
      <c r="H12" s="23"/>
      <c r="I12" s="23"/>
      <c r="J12" s="23">
        <f>J8*J10</f>
        <v>1278.8321083419326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1.9674158900125396</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1318.1915961985524</v>
      </c>
      <c r="C26" s="242">
        <f>B26*'GWP N2O_CH4'!B5</f>
        <v>27682.023520169598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882.46713735299068</v>
      </c>
      <c r="C27" s="242">
        <f>B27*'GWP N2O_CH4'!B5</f>
        <v>18531.809884412804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20.415070124448992</v>
      </c>
      <c r="C28" s="242">
        <f>B28*'GWP N2O_CH4'!B4</f>
        <v>6328.6717385791871</v>
      </c>
      <c r="D28" s="50"/>
    </row>
    <row r="29" spans="1:4">
      <c r="A29" s="41" t="s">
        <v>266</v>
      </c>
      <c r="B29" s="242">
        <f>B34*'ha_N2O bodem landbouw'!B4</f>
        <v>32.940716898826025</v>
      </c>
      <c r="C29" s="242">
        <f>B29*'GWP N2O_CH4'!B4</f>
        <v>10211.622238636068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7.5072834537329809E-3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7.9519809360294126E-4</v>
      </c>
      <c r="C5" s="430" t="s">
        <v>204</v>
      </c>
      <c r="D5" s="415">
        <f>SUM(D6:D11)</f>
        <v>1.4820362345507538E-3</v>
      </c>
      <c r="E5" s="415">
        <f>SUM(E6:E11)</f>
        <v>8.0339943283824105E-4</v>
      </c>
      <c r="F5" s="428" t="s">
        <v>204</v>
      </c>
      <c r="G5" s="415">
        <f>SUM(G6:G11)</f>
        <v>0.43754665014615135</v>
      </c>
      <c r="H5" s="415">
        <f>SUM(H6:H11)</f>
        <v>9.7373542959538956E-2</v>
      </c>
      <c r="I5" s="430" t="s">
        <v>204</v>
      </c>
      <c r="J5" s="430" t="s">
        <v>204</v>
      </c>
      <c r="K5" s="430" t="s">
        <v>204</v>
      </c>
      <c r="L5" s="430" t="s">
        <v>204</v>
      </c>
      <c r="M5" s="415">
        <f>SUM(M6:M11)</f>
        <v>3.1403525261287861E-2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5.829486544168714E-4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1.0173307064975357E-3</v>
      </c>
      <c r="E6" s="844">
        <f>vkm_GW_PW*SUMIFS(TableVerdeelsleutelVkm[LPG],TableVerdeelsleutelVkm[Voertuigtype],"Lichte voertuigen")*SUMIFS(TableECFTransport[EnergieConsumptieFactor (PJ per km)],TableECFTransport[Index],CONCATENATE($A6,"_LPG_LPG"))</f>
        <v>5.5935958018569847E-4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0.17215651470324772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6.7168385148798804E-2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1.4362015368688658E-2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3.8174973741203349E-6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0.15799646372217785</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1.7315627636996397E-6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8.895453128098833E-3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2.0771924081800056E-4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4.6470552805321811E-4</v>
      </c>
      <c r="E8" s="418">
        <f>vkm_NGW_PW*SUMIFS(TableVerdeelsleutelVkm[LPG],TableVerdeelsleutelVkm[Voertuigtype],"Lichte voertuigen")*SUMIFS(TableECFTransport[EnergieConsumptieFactor (PJ per km)],TableECFTransport[Index],CONCATENATE($A8,"_LPG_LPG"))</f>
        <v>2.4403985265254255E-4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6.9408570462234823E-2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3.0203036051537395E-2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6.0074367399732855E-3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7.1270099394890271E-7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3.7985101258490993E-2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3.9019643905447273E-7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2.138620024527083E-3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220.88835933415035</v>
      </c>
      <c r="C14" s="21"/>
      <c r="D14" s="21">
        <f t="shared" ref="D14:M14" si="0">((D5)*10^9/3600)+D12</f>
        <v>411.67673181965387</v>
      </c>
      <c r="E14" s="21">
        <f t="shared" si="0"/>
        <v>223.16650912173364</v>
      </c>
      <c r="F14" s="21"/>
      <c r="G14" s="21">
        <f t="shared" si="0"/>
        <v>121540.73615170871</v>
      </c>
      <c r="H14" s="21">
        <f t="shared" si="0"/>
        <v>27048.206377649709</v>
      </c>
      <c r="I14" s="21"/>
      <c r="J14" s="21"/>
      <c r="K14" s="21"/>
      <c r="L14" s="21"/>
      <c r="M14" s="21">
        <f t="shared" si="0"/>
        <v>8723.2014614688505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0.20558456396495214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45.41123703864497</v>
      </c>
      <c r="C18" s="23"/>
      <c r="D18" s="23">
        <f t="shared" ref="D18:M18" si="1">D14*D16</f>
        <v>83.158699827570089</v>
      </c>
      <c r="E18" s="23">
        <f t="shared" si="1"/>
        <v>50.658797570633538</v>
      </c>
      <c r="F18" s="23"/>
      <c r="G18" s="23">
        <f t="shared" si="1"/>
        <v>32451.376552506226</v>
      </c>
      <c r="H18" s="23">
        <f t="shared" si="1"/>
        <v>6735.0033880347773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5.6573675164343475E-5</v>
      </c>
      <c r="C50" s="313">
        <f t="shared" ref="C50:P50" si="2">SUM(C51:C52)</f>
        <v>0</v>
      </c>
      <c r="D50" s="313">
        <f t="shared" si="2"/>
        <v>0</v>
      </c>
      <c r="E50" s="313">
        <f t="shared" si="2"/>
        <v>0</v>
      </c>
      <c r="F50" s="313">
        <f t="shared" si="2"/>
        <v>0</v>
      </c>
      <c r="G50" s="313">
        <f t="shared" si="2"/>
        <v>4.0381270067076785E-3</v>
      </c>
      <c r="H50" s="313">
        <f t="shared" si="2"/>
        <v>0</v>
      </c>
      <c r="I50" s="313">
        <f t="shared" si="2"/>
        <v>0</v>
      </c>
      <c r="J50" s="313">
        <f t="shared" si="2"/>
        <v>0</v>
      </c>
      <c r="K50" s="313">
        <f t="shared" si="2"/>
        <v>0</v>
      </c>
      <c r="L50" s="313">
        <f t="shared" si="2"/>
        <v>0</v>
      </c>
      <c r="M50" s="313">
        <f t="shared" si="2"/>
        <v>2.2297969522408115E-4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5.6573675164343475E-5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4.0381270067076785E-3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2.2297969522408115E-4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15.714909767873188</v>
      </c>
      <c r="C54" s="21">
        <f t="shared" ref="C54:P54" si="3">(C50)*10^9/3600</f>
        <v>0</v>
      </c>
      <c r="D54" s="21">
        <f t="shared" si="3"/>
        <v>0</v>
      </c>
      <c r="E54" s="21">
        <f t="shared" si="3"/>
        <v>0</v>
      </c>
      <c r="F54" s="21">
        <f t="shared" si="3"/>
        <v>0</v>
      </c>
      <c r="G54" s="21">
        <f t="shared" si="3"/>
        <v>1121.7019463076886</v>
      </c>
      <c r="H54" s="21">
        <f t="shared" si="3"/>
        <v>0</v>
      </c>
      <c r="I54" s="21">
        <f t="shared" si="3"/>
        <v>0</v>
      </c>
      <c r="J54" s="21">
        <f t="shared" si="3"/>
        <v>0</v>
      </c>
      <c r="K54" s="21">
        <f t="shared" si="3"/>
        <v>0</v>
      </c>
      <c r="L54" s="21">
        <f t="shared" si="3"/>
        <v>0</v>
      </c>
      <c r="M54" s="21">
        <f t="shared" si="3"/>
        <v>61.938804228911437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0.20558456396495214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3.2307428723767768</v>
      </c>
      <c r="C58" s="23">
        <f t="shared" ref="C58:P58" ca="1" si="4">C54*C56</f>
        <v>0</v>
      </c>
      <c r="D58" s="23">
        <f t="shared" si="4"/>
        <v>0</v>
      </c>
      <c r="E58" s="23">
        <f t="shared" si="4"/>
        <v>0</v>
      </c>
      <c r="F58" s="23">
        <f t="shared" si="4"/>
        <v>0</v>
      </c>
      <c r="G58" s="23">
        <f t="shared" si="4"/>
        <v>299.49441966415287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15951.347156563321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87.299999999999983</v>
      </c>
      <c r="C8" s="540">
        <f>B49</f>
        <v>0</v>
      </c>
      <c r="D8" s="541"/>
      <c r="E8" s="541">
        <f>E49</f>
        <v>0</v>
      </c>
      <c r="F8" s="542"/>
      <c r="G8" s="543"/>
      <c r="H8" s="541">
        <f>I49</f>
        <v>0</v>
      </c>
      <c r="I8" s="541">
        <f>G49+F49</f>
        <v>0</v>
      </c>
      <c r="J8" s="541">
        <f>H49+D49+C49</f>
        <v>102.70588235294116</v>
      </c>
      <c r="K8" s="541"/>
      <c r="L8" s="541"/>
      <c r="M8" s="541"/>
      <c r="N8" s="544"/>
      <c r="O8" s="545">
        <f>C8*$C$12+D8*$D$12+E8*$E$12+F8*$F$12+G8*$G$12+H8*$H$12+I8*$I$12+J8*$J$12</f>
        <v>0</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16038.64715656332</v>
      </c>
      <c r="C10" s="555">
        <f t="shared" ref="C10:L10" si="0">SUM(C8:C9)</f>
        <v>0</v>
      </c>
      <c r="D10" s="555">
        <f t="shared" si="0"/>
        <v>0</v>
      </c>
      <c r="E10" s="555">
        <f t="shared" si="0"/>
        <v>0</v>
      </c>
      <c r="F10" s="555">
        <f t="shared" si="0"/>
        <v>0</v>
      </c>
      <c r="G10" s="555">
        <f t="shared" si="0"/>
        <v>0</v>
      </c>
      <c r="H10" s="555">
        <f t="shared" si="0"/>
        <v>0</v>
      </c>
      <c r="I10" s="555">
        <f t="shared" si="0"/>
        <v>0</v>
      </c>
      <c r="J10" s="555">
        <f t="shared" si="0"/>
        <v>102.70588235294116</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124.71428571428569</v>
      </c>
      <c r="C17" s="571">
        <f>B50</f>
        <v>0</v>
      </c>
      <c r="D17" s="572"/>
      <c r="E17" s="572">
        <f>E50</f>
        <v>0</v>
      </c>
      <c r="F17" s="573"/>
      <c r="G17" s="574"/>
      <c r="H17" s="571">
        <f>I50</f>
        <v>0</v>
      </c>
      <c r="I17" s="572">
        <f>G50+F50</f>
        <v>0</v>
      </c>
      <c r="J17" s="572">
        <f>H50+D50+C50</f>
        <v>146.72268907563023</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124.71428571428569</v>
      </c>
      <c r="C20" s="554">
        <f>SUM(C17:C19)</f>
        <v>0</v>
      </c>
      <c r="D20" s="554">
        <f t="shared" ref="D20:L20" si="1">SUM(D17:D19)</f>
        <v>0</v>
      </c>
      <c r="E20" s="554">
        <f t="shared" si="1"/>
        <v>0</v>
      </c>
      <c r="F20" s="554">
        <f t="shared" si="1"/>
        <v>0</v>
      </c>
      <c r="G20" s="554">
        <f t="shared" si="1"/>
        <v>0</v>
      </c>
      <c r="H20" s="554">
        <f t="shared" si="1"/>
        <v>0</v>
      </c>
      <c r="I20" s="554">
        <f t="shared" si="1"/>
        <v>0</v>
      </c>
      <c r="J20" s="554">
        <f t="shared" si="1"/>
        <v>146.72268907563023</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38.25" hidden="1">
      <c r="A28" s="584"/>
      <c r="B28" s="746">
        <v>37015</v>
      </c>
      <c r="C28" s="746">
        <v>8700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85" customFormat="1" ht="38.25" hidden="1">
      <c r="A29" s="584"/>
      <c r="B29" s="746">
        <v>37015</v>
      </c>
      <c r="C29" s="746">
        <v>8700</v>
      </c>
      <c r="D29" s="632"/>
      <c r="E29" s="631"/>
      <c r="F29" s="631"/>
      <c r="G29" s="631" t="s">
        <v>861</v>
      </c>
      <c r="H29" s="631" t="s">
        <v>862</v>
      </c>
      <c r="I29" s="631"/>
      <c r="J29" s="745"/>
      <c r="K29" s="745"/>
      <c r="L29" s="631" t="s">
        <v>863</v>
      </c>
      <c r="M29" s="631">
        <v>9.6999999999999993</v>
      </c>
      <c r="N29" s="631">
        <v>43.649999999999991</v>
      </c>
      <c r="O29" s="631">
        <v>62.357142857142847</v>
      </c>
      <c r="P29" s="631">
        <v>0</v>
      </c>
      <c r="Q29" s="631">
        <v>124.71428571428569</v>
      </c>
      <c r="R29" s="631">
        <v>0</v>
      </c>
      <c r="S29" s="631">
        <v>0</v>
      </c>
      <c r="T29" s="631">
        <v>0</v>
      </c>
      <c r="U29" s="631">
        <v>0</v>
      </c>
      <c r="V29" s="631">
        <v>0</v>
      </c>
      <c r="W29" s="631">
        <v>0</v>
      </c>
      <c r="X29" s="631"/>
      <c r="Y29" s="631">
        <v>10</v>
      </c>
      <c r="Z29" s="631" t="s">
        <v>105</v>
      </c>
      <c r="AA29" s="633" t="s">
        <v>105</v>
      </c>
    </row>
    <row r="30" spans="1:27" s="565" customFormat="1" hidden="1">
      <c r="A30" s="587" t="s">
        <v>269</v>
      </c>
      <c r="B30" s="588"/>
      <c r="C30" s="588"/>
      <c r="D30" s="588"/>
      <c r="E30" s="588"/>
      <c r="F30" s="588"/>
      <c r="G30" s="588"/>
      <c r="H30" s="588"/>
      <c r="I30" s="588"/>
      <c r="J30" s="588"/>
      <c r="K30" s="588"/>
      <c r="L30" s="589"/>
      <c r="M30" s="589">
        <f>SUM(M28:M29)</f>
        <v>19.399999999999999</v>
      </c>
      <c r="N30" s="589">
        <f>SUM(N28:N29)</f>
        <v>87.299999999999983</v>
      </c>
      <c r="O30" s="589">
        <f>SUM(O28:O29)</f>
        <v>124.71428571428569</v>
      </c>
      <c r="P30" s="589">
        <f>SUM(P28:P29)</f>
        <v>0</v>
      </c>
      <c r="Q30" s="589">
        <f>SUM(Q28:Q29)</f>
        <v>249.42857142857139</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0</v>
      </c>
      <c r="N32" s="589">
        <f ca="1">SUMIF($AA$28:AE29,"tertiair",N28:N29)</f>
        <v>0</v>
      </c>
      <c r="O32" s="589">
        <f ca="1">SUMIF($AA$28:AF29,"tertiair",O28:O29)</f>
        <v>0</v>
      </c>
      <c r="P32" s="589">
        <f ca="1">SUMIF($AA$28:AG29,"tertiair",P28:P29)</f>
        <v>0</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19.399999999999999</v>
      </c>
      <c r="N33" s="594">
        <f>SUMIF($AA$28:$AA$29,"landbouw",N28:N29)</f>
        <v>87.299999999999983</v>
      </c>
      <c r="O33" s="594">
        <f>SUMIF($AA$28:$AA$29,"landbouw",O28:O29)</f>
        <v>124.71428571428569</v>
      </c>
      <c r="P33" s="594">
        <f>SUMIF($AA$28:$AA$29,"landbouw",P28:P29)</f>
        <v>0</v>
      </c>
      <c r="Q33" s="594">
        <f>SUMIF($AA$28:$AA$29,"landbouw",Q28:Q29)</f>
        <v>249.42857142857139</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0.58823529411764708</v>
      </c>
      <c r="C46" s="614">
        <f>IF(ISERROR(N30/(O30+N30)),0,N30/(N30+O30))</f>
        <v>0.41176470588235292</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0</v>
      </c>
      <c r="C49" s="623">
        <f t="shared" si="2"/>
        <v>102.70588235294116</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0</v>
      </c>
      <c r="C50" s="626">
        <f t="shared" si="3"/>
        <v>146.72268907563023</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35945.356528116688</v>
      </c>
      <c r="D10" s="642">
        <f ca="1">tertiair!C16</f>
        <v>0</v>
      </c>
      <c r="E10" s="642">
        <f ca="1">tertiair!D16</f>
        <v>44554.606895508674</v>
      </c>
      <c r="F10" s="642">
        <f>tertiair!E16</f>
        <v>103.24548684326055</v>
      </c>
      <c r="G10" s="642">
        <f ca="1">tertiair!F16</f>
        <v>6514.7466696568863</v>
      </c>
      <c r="H10" s="642">
        <f>tertiair!G16</f>
        <v>0</v>
      </c>
      <c r="I10" s="642">
        <f>tertiair!H16</f>
        <v>0</v>
      </c>
      <c r="J10" s="642">
        <f>tertiair!I16</f>
        <v>0</v>
      </c>
      <c r="K10" s="642">
        <f>tertiair!J16</f>
        <v>3.7469634990820809E-2</v>
      </c>
      <c r="L10" s="642">
        <f>tertiair!K16</f>
        <v>0</v>
      </c>
      <c r="M10" s="642">
        <f ca="1">tertiair!L16</f>
        <v>0</v>
      </c>
      <c r="N10" s="642">
        <f>tertiair!M16</f>
        <v>0</v>
      </c>
      <c r="O10" s="642">
        <f ca="1">tertiair!N16</f>
        <v>1355.3168203750533</v>
      </c>
      <c r="P10" s="642">
        <f>tertiair!O16</f>
        <v>39.178086126729234</v>
      </c>
      <c r="Q10" s="643">
        <f>tertiair!P16</f>
        <v>157.61741491948504</v>
      </c>
      <c r="R10" s="645">
        <f ca="1">SUM(C10:Q10)</f>
        <v>88670.105371181766</v>
      </c>
      <c r="S10" s="67"/>
    </row>
    <row r="11" spans="1:19" s="441" customFormat="1">
      <c r="A11" s="762" t="s">
        <v>214</v>
      </c>
      <c r="B11" s="767"/>
      <c r="C11" s="642">
        <f>huishoudens!B8</f>
        <v>33338.626947039767</v>
      </c>
      <c r="D11" s="642">
        <f>huishoudens!C8</f>
        <v>0</v>
      </c>
      <c r="E11" s="642">
        <f>huishoudens!D8</f>
        <v>74060.112196904171</v>
      </c>
      <c r="F11" s="642">
        <f>huishoudens!E8</f>
        <v>2408.9470754261065</v>
      </c>
      <c r="G11" s="642">
        <f>huishoudens!F8</f>
        <v>39477.058437369371</v>
      </c>
      <c r="H11" s="642">
        <f>huishoudens!G8</f>
        <v>0</v>
      </c>
      <c r="I11" s="642">
        <f>huishoudens!H8</f>
        <v>0</v>
      </c>
      <c r="J11" s="642">
        <f>huishoudens!I8</f>
        <v>0</v>
      </c>
      <c r="K11" s="642">
        <f>huishoudens!J8</f>
        <v>217.89357742472944</v>
      </c>
      <c r="L11" s="642">
        <f>huishoudens!K8</f>
        <v>0</v>
      </c>
      <c r="M11" s="642">
        <f>huishoudens!L8</f>
        <v>0</v>
      </c>
      <c r="N11" s="642">
        <f>huishoudens!M8</f>
        <v>0</v>
      </c>
      <c r="O11" s="642">
        <f>huishoudens!N8</f>
        <v>11384.626013367164</v>
      </c>
      <c r="P11" s="642">
        <f>huishoudens!O8</f>
        <v>678.5137110303649</v>
      </c>
      <c r="Q11" s="643">
        <f>huishoudens!P8</f>
        <v>842.71674461480166</v>
      </c>
      <c r="R11" s="645">
        <f>SUM(C11:Q11)</f>
        <v>162408.49470317646</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145186.46031863944</v>
      </c>
      <c r="D13" s="642">
        <f>industrie!C18</f>
        <v>0</v>
      </c>
      <c r="E13" s="642">
        <f>industrie!D18</f>
        <v>186821.78081700313</v>
      </c>
      <c r="F13" s="642">
        <f>industrie!E18</f>
        <v>576.53179603683418</v>
      </c>
      <c r="G13" s="642">
        <f>industrie!F18</f>
        <v>44038.999076835149</v>
      </c>
      <c r="H13" s="642">
        <f>industrie!G18</f>
        <v>0</v>
      </c>
      <c r="I13" s="642">
        <f>industrie!H18</f>
        <v>0</v>
      </c>
      <c r="J13" s="642">
        <f>industrie!I18</f>
        <v>0</v>
      </c>
      <c r="K13" s="642">
        <f>industrie!J18</f>
        <v>4.8437328044527499</v>
      </c>
      <c r="L13" s="642">
        <f>industrie!K18</f>
        <v>0</v>
      </c>
      <c r="M13" s="642">
        <f>industrie!L18</f>
        <v>0</v>
      </c>
      <c r="N13" s="642">
        <f>industrie!M18</f>
        <v>0</v>
      </c>
      <c r="O13" s="642">
        <f>industrie!N18</f>
        <v>3416.8915349574918</v>
      </c>
      <c r="P13" s="642">
        <f>industrie!O18</f>
        <v>0</v>
      </c>
      <c r="Q13" s="643">
        <f>industrie!P18</f>
        <v>0</v>
      </c>
      <c r="R13" s="645">
        <f>SUM(C13:Q13)</f>
        <v>380045.50727627653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214470.44379379589</v>
      </c>
      <c r="D16" s="678">
        <f t="shared" ref="D16:R16" ca="1" si="0">SUM(D9:D15)</f>
        <v>0</v>
      </c>
      <c r="E16" s="678">
        <f t="shared" ca="1" si="0"/>
        <v>305436.49990941596</v>
      </c>
      <c r="F16" s="678">
        <f t="shared" si="0"/>
        <v>3088.7243583062013</v>
      </c>
      <c r="G16" s="678">
        <f t="shared" ca="1" si="0"/>
        <v>90030.804183861415</v>
      </c>
      <c r="H16" s="678">
        <f t="shared" si="0"/>
        <v>0</v>
      </c>
      <c r="I16" s="678">
        <f t="shared" si="0"/>
        <v>0</v>
      </c>
      <c r="J16" s="678">
        <f t="shared" si="0"/>
        <v>0</v>
      </c>
      <c r="K16" s="678">
        <f t="shared" si="0"/>
        <v>222.77477986417301</v>
      </c>
      <c r="L16" s="678">
        <f t="shared" si="0"/>
        <v>0</v>
      </c>
      <c r="M16" s="678">
        <f t="shared" ca="1" si="0"/>
        <v>0</v>
      </c>
      <c r="N16" s="678">
        <f t="shared" si="0"/>
        <v>0</v>
      </c>
      <c r="O16" s="678">
        <f t="shared" ca="1" si="0"/>
        <v>16156.83436869971</v>
      </c>
      <c r="P16" s="678">
        <f t="shared" si="0"/>
        <v>717.69179715709413</v>
      </c>
      <c r="Q16" s="678">
        <f t="shared" si="0"/>
        <v>1000.3341595342868</v>
      </c>
      <c r="R16" s="678">
        <f t="shared" ca="1" si="0"/>
        <v>631124.10735063476</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15.714909767873188</v>
      </c>
      <c r="D19" s="642">
        <f>transport!C54</f>
        <v>0</v>
      </c>
      <c r="E19" s="642">
        <f>transport!D54</f>
        <v>0</v>
      </c>
      <c r="F19" s="642">
        <f>transport!E54</f>
        <v>0</v>
      </c>
      <c r="G19" s="642">
        <f>transport!F54</f>
        <v>0</v>
      </c>
      <c r="H19" s="642">
        <f>transport!G54</f>
        <v>1121.7019463076886</v>
      </c>
      <c r="I19" s="642">
        <f>transport!H54</f>
        <v>0</v>
      </c>
      <c r="J19" s="642">
        <f>transport!I54</f>
        <v>0</v>
      </c>
      <c r="K19" s="642">
        <f>transport!J54</f>
        <v>0</v>
      </c>
      <c r="L19" s="642">
        <f>transport!K54</f>
        <v>0</v>
      </c>
      <c r="M19" s="642">
        <f>transport!L54</f>
        <v>0</v>
      </c>
      <c r="N19" s="642">
        <f>transport!M54</f>
        <v>61.938804228911437</v>
      </c>
      <c r="O19" s="642">
        <f>transport!N54</f>
        <v>0</v>
      </c>
      <c r="P19" s="642">
        <f>transport!O54</f>
        <v>0</v>
      </c>
      <c r="Q19" s="643">
        <f>transport!P54</f>
        <v>0</v>
      </c>
      <c r="R19" s="645">
        <f>SUM(C19:Q19)</f>
        <v>1199.3556603044733</v>
      </c>
      <c r="S19" s="67"/>
    </row>
    <row r="20" spans="1:19" s="441" customFormat="1">
      <c r="A20" s="762" t="s">
        <v>296</v>
      </c>
      <c r="B20" s="767"/>
      <c r="C20" s="642">
        <f>transport!B14</f>
        <v>220.88835933415035</v>
      </c>
      <c r="D20" s="642">
        <f>transport!C14</f>
        <v>0</v>
      </c>
      <c r="E20" s="642">
        <f>transport!D14</f>
        <v>411.67673181965387</v>
      </c>
      <c r="F20" s="642">
        <f>transport!E14</f>
        <v>223.16650912173364</v>
      </c>
      <c r="G20" s="642">
        <f>transport!F14</f>
        <v>0</v>
      </c>
      <c r="H20" s="642">
        <f>transport!G14</f>
        <v>121540.73615170871</v>
      </c>
      <c r="I20" s="642">
        <f>transport!H14</f>
        <v>27048.206377649709</v>
      </c>
      <c r="J20" s="642">
        <f>transport!I14</f>
        <v>0</v>
      </c>
      <c r="K20" s="642">
        <f>transport!J14</f>
        <v>0</v>
      </c>
      <c r="L20" s="642">
        <f>transport!K14</f>
        <v>0</v>
      </c>
      <c r="M20" s="642">
        <f>transport!L14</f>
        <v>0</v>
      </c>
      <c r="N20" s="642">
        <f>transport!M14</f>
        <v>8723.2014614688505</v>
      </c>
      <c r="O20" s="642">
        <f>transport!N14</f>
        <v>0</v>
      </c>
      <c r="P20" s="642">
        <f>transport!O14</f>
        <v>0</v>
      </c>
      <c r="Q20" s="643">
        <f>transport!P14</f>
        <v>0</v>
      </c>
      <c r="R20" s="645">
        <f>SUM(C20:Q20)</f>
        <v>158167.87559110281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236.60326910202355</v>
      </c>
      <c r="D22" s="765">
        <f t="shared" ref="D22:R22" si="1">SUM(D18:D21)</f>
        <v>0</v>
      </c>
      <c r="E22" s="765">
        <f t="shared" si="1"/>
        <v>411.67673181965387</v>
      </c>
      <c r="F22" s="765">
        <f t="shared" si="1"/>
        <v>223.16650912173364</v>
      </c>
      <c r="G22" s="765">
        <f t="shared" si="1"/>
        <v>0</v>
      </c>
      <c r="H22" s="765">
        <f t="shared" si="1"/>
        <v>122662.4380980164</v>
      </c>
      <c r="I22" s="765">
        <f t="shared" si="1"/>
        <v>27048.206377649709</v>
      </c>
      <c r="J22" s="765">
        <f t="shared" si="1"/>
        <v>0</v>
      </c>
      <c r="K22" s="765">
        <f t="shared" si="1"/>
        <v>0</v>
      </c>
      <c r="L22" s="765">
        <f t="shared" si="1"/>
        <v>0</v>
      </c>
      <c r="M22" s="765">
        <f t="shared" si="1"/>
        <v>0</v>
      </c>
      <c r="N22" s="765">
        <f t="shared" si="1"/>
        <v>8785.1402656977625</v>
      </c>
      <c r="O22" s="765">
        <f t="shared" si="1"/>
        <v>0</v>
      </c>
      <c r="P22" s="765">
        <f t="shared" si="1"/>
        <v>0</v>
      </c>
      <c r="Q22" s="765">
        <f t="shared" si="1"/>
        <v>0</v>
      </c>
      <c r="R22" s="765">
        <f t="shared" si="1"/>
        <v>159367.2312514073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14324.377646442801</v>
      </c>
      <c r="D24" s="642">
        <f>+landbouw!C8</f>
        <v>124.71428571428569</v>
      </c>
      <c r="E24" s="642">
        <f>+landbouw!D8</f>
        <v>551.1251154424549</v>
      </c>
      <c r="F24" s="642">
        <f>+landbouw!E8</f>
        <v>422.32314989260726</v>
      </c>
      <c r="G24" s="642">
        <f>+landbouw!F8</f>
        <v>45527.962888871349</v>
      </c>
      <c r="H24" s="642">
        <f>+landbouw!G8</f>
        <v>0</v>
      </c>
      <c r="I24" s="642">
        <f>+landbouw!H8</f>
        <v>0</v>
      </c>
      <c r="J24" s="642">
        <f>+landbouw!I8</f>
        <v>0</v>
      </c>
      <c r="K24" s="642">
        <f>+landbouw!J8</f>
        <v>3612.5200800619564</v>
      </c>
      <c r="L24" s="642">
        <f>+landbouw!K8</f>
        <v>0</v>
      </c>
      <c r="M24" s="642">
        <f>+landbouw!L8</f>
        <v>0</v>
      </c>
      <c r="N24" s="642">
        <f>+landbouw!M8</f>
        <v>0</v>
      </c>
      <c r="O24" s="642">
        <f>+landbouw!N8</f>
        <v>0</v>
      </c>
      <c r="P24" s="642">
        <f>+landbouw!O8</f>
        <v>0</v>
      </c>
      <c r="Q24" s="643">
        <f>+landbouw!P8</f>
        <v>0</v>
      </c>
      <c r="R24" s="645">
        <f>SUM(C24:Q24)</f>
        <v>64563.023166425453</v>
      </c>
      <c r="S24" s="67"/>
    </row>
    <row r="25" spans="1:19" s="441" customFormat="1" ht="15" thickBot="1">
      <c r="A25" s="784" t="s">
        <v>672</v>
      </c>
      <c r="B25" s="895"/>
      <c r="C25" s="896">
        <f>IF(Onbekend_ele_kWh="---",0,Onbekend_ele_kWh)/1000+IF(REST_rest_ele_kWh="---",0,REST_rest_ele_kWh)/1000</f>
        <v>903.10413186644598</v>
      </c>
      <c r="D25" s="896"/>
      <c r="E25" s="896">
        <f>IF(onbekend_gas_kWh="---",0,onbekend_gas_kWh)/1000+IF(REST_rest_gas_kWh="---",0,REST_rest_gas_kWh)/1000</f>
        <v>8123.8648401748796</v>
      </c>
      <c r="F25" s="896"/>
      <c r="G25" s="896"/>
      <c r="H25" s="896"/>
      <c r="I25" s="896"/>
      <c r="J25" s="896"/>
      <c r="K25" s="896"/>
      <c r="L25" s="896"/>
      <c r="M25" s="896"/>
      <c r="N25" s="896"/>
      <c r="O25" s="896"/>
      <c r="P25" s="896"/>
      <c r="Q25" s="897"/>
      <c r="R25" s="645">
        <f>SUM(C25:Q25)</f>
        <v>9026.9689720413262</v>
      </c>
      <c r="S25" s="67"/>
    </row>
    <row r="26" spans="1:19" s="441" customFormat="1" ht="15.75" thickBot="1">
      <c r="A26" s="650" t="s">
        <v>673</v>
      </c>
      <c r="B26" s="770"/>
      <c r="C26" s="765">
        <f>SUM(C24:C25)</f>
        <v>15227.481778309248</v>
      </c>
      <c r="D26" s="765">
        <f t="shared" ref="D26:R26" si="2">SUM(D24:D25)</f>
        <v>124.71428571428569</v>
      </c>
      <c r="E26" s="765">
        <f t="shared" si="2"/>
        <v>8674.989955617335</v>
      </c>
      <c r="F26" s="765">
        <f t="shared" si="2"/>
        <v>422.32314989260726</v>
      </c>
      <c r="G26" s="765">
        <f t="shared" si="2"/>
        <v>45527.962888871349</v>
      </c>
      <c r="H26" s="765">
        <f t="shared" si="2"/>
        <v>0</v>
      </c>
      <c r="I26" s="765">
        <f t="shared" si="2"/>
        <v>0</v>
      </c>
      <c r="J26" s="765">
        <f t="shared" si="2"/>
        <v>0</v>
      </c>
      <c r="K26" s="765">
        <f t="shared" si="2"/>
        <v>3612.5200800619564</v>
      </c>
      <c r="L26" s="765">
        <f t="shared" si="2"/>
        <v>0</v>
      </c>
      <c r="M26" s="765">
        <f t="shared" si="2"/>
        <v>0</v>
      </c>
      <c r="N26" s="765">
        <f t="shared" si="2"/>
        <v>0</v>
      </c>
      <c r="O26" s="765">
        <f t="shared" si="2"/>
        <v>0</v>
      </c>
      <c r="P26" s="765">
        <f t="shared" si="2"/>
        <v>0</v>
      </c>
      <c r="Q26" s="765">
        <f t="shared" si="2"/>
        <v>0</v>
      </c>
      <c r="R26" s="765">
        <f t="shared" si="2"/>
        <v>73589.992138466783</v>
      </c>
      <c r="S26" s="67"/>
    </row>
    <row r="27" spans="1:19" s="441" customFormat="1" ht="17.25" thickTop="1" thickBot="1">
      <c r="A27" s="651" t="s">
        <v>109</v>
      </c>
      <c r="B27" s="757"/>
      <c r="C27" s="652">
        <f ca="1">C22+C16+C26</f>
        <v>229934.52884120715</v>
      </c>
      <c r="D27" s="652">
        <f t="shared" ref="D27:R27" ca="1" si="3">D22+D16+D26</f>
        <v>124.71428571428569</v>
      </c>
      <c r="E27" s="652">
        <f t="shared" ca="1" si="3"/>
        <v>314523.16659685294</v>
      </c>
      <c r="F27" s="652">
        <f t="shared" si="3"/>
        <v>3734.2140173205426</v>
      </c>
      <c r="G27" s="652">
        <f t="shared" ca="1" si="3"/>
        <v>135558.76707273276</v>
      </c>
      <c r="H27" s="652">
        <f t="shared" si="3"/>
        <v>122662.4380980164</v>
      </c>
      <c r="I27" s="652">
        <f t="shared" si="3"/>
        <v>27048.206377649709</v>
      </c>
      <c r="J27" s="652">
        <f t="shared" si="3"/>
        <v>0</v>
      </c>
      <c r="K27" s="652">
        <f t="shared" si="3"/>
        <v>3835.2948599261294</v>
      </c>
      <c r="L27" s="652">
        <f t="shared" si="3"/>
        <v>0</v>
      </c>
      <c r="M27" s="652">
        <f t="shared" ca="1" si="3"/>
        <v>0</v>
      </c>
      <c r="N27" s="652">
        <f t="shared" si="3"/>
        <v>8785.1402656977625</v>
      </c>
      <c r="O27" s="652">
        <f t="shared" ca="1" si="3"/>
        <v>16156.83436869971</v>
      </c>
      <c r="P27" s="652">
        <f t="shared" si="3"/>
        <v>717.69179715709413</v>
      </c>
      <c r="Q27" s="652">
        <f t="shared" si="3"/>
        <v>1000.3341595342868</v>
      </c>
      <c r="R27" s="652">
        <f t="shared" ca="1" si="3"/>
        <v>864081.33074050886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7389.8104483976158</v>
      </c>
      <c r="D40" s="642">
        <f ca="1">tertiair!C20</f>
        <v>0</v>
      </c>
      <c r="E40" s="642">
        <f ca="1">tertiair!D20</f>
        <v>9000.0305928927519</v>
      </c>
      <c r="F40" s="642">
        <f>tertiair!E20</f>
        <v>23.436725513420146</v>
      </c>
      <c r="G40" s="642">
        <f ca="1">tertiair!F20</f>
        <v>1739.4373607983887</v>
      </c>
      <c r="H40" s="642">
        <f>tertiair!G20</f>
        <v>0</v>
      </c>
      <c r="I40" s="642">
        <f>tertiair!H20</f>
        <v>0</v>
      </c>
      <c r="J40" s="642">
        <f>tertiair!I20</f>
        <v>0</v>
      </c>
      <c r="K40" s="642">
        <f>tertiair!J20</f>
        <v>1.3264250786750566E-2</v>
      </c>
      <c r="L40" s="642">
        <f>tertiair!K20</f>
        <v>0</v>
      </c>
      <c r="M40" s="642">
        <f ca="1">tertiair!L20</f>
        <v>0</v>
      </c>
      <c r="N40" s="642">
        <f>tertiair!M20</f>
        <v>0</v>
      </c>
      <c r="O40" s="642">
        <f ca="1">tertiair!N20</f>
        <v>0</v>
      </c>
      <c r="P40" s="642">
        <f>tertiair!O20</f>
        <v>0</v>
      </c>
      <c r="Q40" s="725">
        <f>tertiair!P20</f>
        <v>0</v>
      </c>
      <c r="R40" s="803">
        <f t="shared" ca="1" si="4"/>
        <v>18152.728391852961</v>
      </c>
    </row>
    <row r="41" spans="1:18">
      <c r="A41" s="775" t="s">
        <v>214</v>
      </c>
      <c r="B41" s="782"/>
      <c r="C41" s="642">
        <f ca="1">huishoudens!B12</f>
        <v>6853.9070840973745</v>
      </c>
      <c r="D41" s="642">
        <f ca="1">huishoudens!C12</f>
        <v>0</v>
      </c>
      <c r="E41" s="642">
        <f>huishoudens!D12</f>
        <v>14960.142663774643</v>
      </c>
      <c r="F41" s="642">
        <f>huishoudens!E12</f>
        <v>546.83098612172614</v>
      </c>
      <c r="G41" s="642">
        <f>huishoudens!F12</f>
        <v>10540.374602777623</v>
      </c>
      <c r="H41" s="642">
        <f>huishoudens!G12</f>
        <v>0</v>
      </c>
      <c r="I41" s="642">
        <f>huishoudens!H12</f>
        <v>0</v>
      </c>
      <c r="J41" s="642">
        <f>huishoudens!I12</f>
        <v>0</v>
      </c>
      <c r="K41" s="642">
        <f>huishoudens!J12</f>
        <v>77.134326408354212</v>
      </c>
      <c r="L41" s="642">
        <f>huishoudens!K12</f>
        <v>0</v>
      </c>
      <c r="M41" s="642">
        <f>huishoudens!L12</f>
        <v>0</v>
      </c>
      <c r="N41" s="642">
        <f>huishoudens!M12</f>
        <v>0</v>
      </c>
      <c r="O41" s="642">
        <f>huishoudens!N12</f>
        <v>0</v>
      </c>
      <c r="P41" s="642">
        <f>huishoudens!O12</f>
        <v>0</v>
      </c>
      <c r="Q41" s="725">
        <f>huishoudens!P12</f>
        <v>0</v>
      </c>
      <c r="R41" s="803">
        <f t="shared" ca="1" si="4"/>
        <v>32978.389663179725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29848.095138222317</v>
      </c>
      <c r="D43" s="642">
        <f ca="1">industrie!C22</f>
        <v>0</v>
      </c>
      <c r="E43" s="642">
        <f>industrie!D22</f>
        <v>37737.999725034635</v>
      </c>
      <c r="F43" s="642">
        <f>industrie!E22</f>
        <v>130.87271770036136</v>
      </c>
      <c r="G43" s="642">
        <f>industrie!F22</f>
        <v>11758.412753514986</v>
      </c>
      <c r="H43" s="642">
        <f>industrie!G22</f>
        <v>0</v>
      </c>
      <c r="I43" s="642">
        <f>industrie!H22</f>
        <v>0</v>
      </c>
      <c r="J43" s="642">
        <f>industrie!I22</f>
        <v>0</v>
      </c>
      <c r="K43" s="642">
        <f>industrie!J22</f>
        <v>1.7146814127762733</v>
      </c>
      <c r="L43" s="642">
        <f>industrie!K22</f>
        <v>0</v>
      </c>
      <c r="M43" s="642">
        <f>industrie!L22</f>
        <v>0</v>
      </c>
      <c r="N43" s="642">
        <f>industrie!M22</f>
        <v>0</v>
      </c>
      <c r="O43" s="642">
        <f>industrie!N22</f>
        <v>0</v>
      </c>
      <c r="P43" s="642">
        <f>industrie!O22</f>
        <v>0</v>
      </c>
      <c r="Q43" s="725">
        <f>industrie!P22</f>
        <v>0</v>
      </c>
      <c r="R43" s="802">
        <f t="shared" ca="1" si="4"/>
        <v>79477.095015885076</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44091.812670717307</v>
      </c>
      <c r="D46" s="678">
        <f t="shared" ref="D46:Q46" ca="1" si="5">SUM(D39:D45)</f>
        <v>0</v>
      </c>
      <c r="E46" s="678">
        <f t="shared" ca="1" si="5"/>
        <v>61698.172981702031</v>
      </c>
      <c r="F46" s="678">
        <f t="shared" si="5"/>
        <v>701.14042933550763</v>
      </c>
      <c r="G46" s="678">
        <f t="shared" ca="1" si="5"/>
        <v>24038.224717090998</v>
      </c>
      <c r="H46" s="678">
        <f t="shared" si="5"/>
        <v>0</v>
      </c>
      <c r="I46" s="678">
        <f t="shared" si="5"/>
        <v>0</v>
      </c>
      <c r="J46" s="678">
        <f t="shared" si="5"/>
        <v>0</v>
      </c>
      <c r="K46" s="678">
        <f t="shared" si="5"/>
        <v>78.862272071917232</v>
      </c>
      <c r="L46" s="678">
        <f t="shared" si="5"/>
        <v>0</v>
      </c>
      <c r="M46" s="678">
        <f t="shared" ca="1" si="5"/>
        <v>0</v>
      </c>
      <c r="N46" s="678">
        <f t="shared" si="5"/>
        <v>0</v>
      </c>
      <c r="O46" s="678">
        <f t="shared" ca="1" si="5"/>
        <v>0</v>
      </c>
      <c r="P46" s="678">
        <f t="shared" si="5"/>
        <v>0</v>
      </c>
      <c r="Q46" s="678">
        <f t="shared" si="5"/>
        <v>0</v>
      </c>
      <c r="R46" s="678">
        <f ca="1">SUM(R39:R45)</f>
        <v>130608.21307091776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3.2307428723767768</v>
      </c>
      <c r="D49" s="642">
        <f ca="1">transport!C58</f>
        <v>0</v>
      </c>
      <c r="E49" s="642">
        <f>transport!D58</f>
        <v>0</v>
      </c>
      <c r="F49" s="642">
        <f>transport!E58</f>
        <v>0</v>
      </c>
      <c r="G49" s="642">
        <f>transport!F58</f>
        <v>0</v>
      </c>
      <c r="H49" s="642">
        <f>transport!G58</f>
        <v>299.49441966415287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302.72516253652964</v>
      </c>
    </row>
    <row r="50" spans="1:18">
      <c r="A50" s="778" t="s">
        <v>296</v>
      </c>
      <c r="B50" s="788"/>
      <c r="C50" s="648">
        <f ca="1">transport!B18</f>
        <v>45.41123703864497</v>
      </c>
      <c r="D50" s="648">
        <f>transport!C18</f>
        <v>0</v>
      </c>
      <c r="E50" s="648">
        <f>transport!D18</f>
        <v>83.158699827570089</v>
      </c>
      <c r="F50" s="648">
        <f>transport!E18</f>
        <v>50.658797570633538</v>
      </c>
      <c r="G50" s="648">
        <f>transport!F18</f>
        <v>0</v>
      </c>
      <c r="H50" s="648">
        <f>transport!G18</f>
        <v>32451.376552506226</v>
      </c>
      <c r="I50" s="648">
        <f>transport!H18</f>
        <v>6735.0033880347773</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39365.608674977855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48.64197991102175</v>
      </c>
      <c r="D52" s="678">
        <f t="shared" ref="D52:Q52" ca="1" si="6">SUM(D48:D51)</f>
        <v>0</v>
      </c>
      <c r="E52" s="678">
        <f t="shared" si="6"/>
        <v>83.158699827570089</v>
      </c>
      <c r="F52" s="678">
        <f t="shared" si="6"/>
        <v>50.658797570633538</v>
      </c>
      <c r="G52" s="678">
        <f t="shared" si="6"/>
        <v>0</v>
      </c>
      <c r="H52" s="678">
        <f t="shared" si="6"/>
        <v>32750.870972170378</v>
      </c>
      <c r="I52" s="678">
        <f t="shared" si="6"/>
        <v>6735.0033880347773</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39668.333837514387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2944.8709325132509</v>
      </c>
      <c r="D54" s="648">
        <f ca="1">+landbouw!C12</f>
        <v>0</v>
      </c>
      <c r="E54" s="648">
        <f>+landbouw!D12</f>
        <v>111.32727331937589</v>
      </c>
      <c r="F54" s="648">
        <f>+landbouw!E12</f>
        <v>95.867355025621848</v>
      </c>
      <c r="G54" s="648">
        <f>+landbouw!F12</f>
        <v>12155.966091328652</v>
      </c>
      <c r="H54" s="648">
        <f>+landbouw!G12</f>
        <v>0</v>
      </c>
      <c r="I54" s="648">
        <f>+landbouw!H12</f>
        <v>0</v>
      </c>
      <c r="J54" s="648">
        <f>+landbouw!I12</f>
        <v>0</v>
      </c>
      <c r="K54" s="648">
        <f>+landbouw!J12</f>
        <v>1278.8321083419326</v>
      </c>
      <c r="L54" s="648">
        <f>+landbouw!K12</f>
        <v>0</v>
      </c>
      <c r="M54" s="648">
        <f>+landbouw!L12</f>
        <v>0</v>
      </c>
      <c r="N54" s="648">
        <f>+landbouw!M12</f>
        <v>0</v>
      </c>
      <c r="O54" s="648">
        <f>+landbouw!N12</f>
        <v>0</v>
      </c>
      <c r="P54" s="648">
        <f>+landbouw!O12</f>
        <v>0</v>
      </c>
      <c r="Q54" s="649">
        <f>+landbouw!P12</f>
        <v>0</v>
      </c>
      <c r="R54" s="677">
        <f ca="1">SUM(C54:Q54)</f>
        <v>16586.863760528831</v>
      </c>
    </row>
    <row r="55" spans="1:18" ht="15" thickBot="1">
      <c r="A55" s="778" t="s">
        <v>672</v>
      </c>
      <c r="B55" s="788"/>
      <c r="C55" s="648">
        <f ca="1">C25*'EF ele_warmte'!B12</f>
        <v>185.66426916470994</v>
      </c>
      <c r="D55" s="648"/>
      <c r="E55" s="648">
        <f>E25*EF_CO2_aardgas</f>
        <v>1641.0206977153257</v>
      </c>
      <c r="F55" s="648"/>
      <c r="G55" s="648"/>
      <c r="H55" s="648"/>
      <c r="I55" s="648"/>
      <c r="J55" s="648"/>
      <c r="K55" s="648"/>
      <c r="L55" s="648"/>
      <c r="M55" s="648"/>
      <c r="N55" s="648"/>
      <c r="O55" s="648"/>
      <c r="P55" s="648"/>
      <c r="Q55" s="649"/>
      <c r="R55" s="677">
        <f ca="1">SUM(C55:Q55)</f>
        <v>1826.6849668800355</v>
      </c>
    </row>
    <row r="56" spans="1:18" ht="15.75" thickBot="1">
      <c r="A56" s="776" t="s">
        <v>673</v>
      </c>
      <c r="B56" s="789"/>
      <c r="C56" s="678">
        <f ca="1">SUM(C54:C55)</f>
        <v>3130.5352016779607</v>
      </c>
      <c r="D56" s="678">
        <f t="shared" ref="D56:Q56" ca="1" si="7">SUM(D54:D55)</f>
        <v>0</v>
      </c>
      <c r="E56" s="678">
        <f t="shared" si="7"/>
        <v>1752.3479710347017</v>
      </c>
      <c r="F56" s="678">
        <f t="shared" si="7"/>
        <v>95.867355025621848</v>
      </c>
      <c r="G56" s="678">
        <f t="shared" si="7"/>
        <v>12155.966091328652</v>
      </c>
      <c r="H56" s="678">
        <f t="shared" si="7"/>
        <v>0</v>
      </c>
      <c r="I56" s="678">
        <f t="shared" si="7"/>
        <v>0</v>
      </c>
      <c r="J56" s="678">
        <f t="shared" si="7"/>
        <v>0</v>
      </c>
      <c r="K56" s="678">
        <f t="shared" si="7"/>
        <v>1278.8321083419326</v>
      </c>
      <c r="L56" s="678">
        <f t="shared" si="7"/>
        <v>0</v>
      </c>
      <c r="M56" s="678">
        <f t="shared" si="7"/>
        <v>0</v>
      </c>
      <c r="N56" s="678">
        <f t="shared" si="7"/>
        <v>0</v>
      </c>
      <c r="O56" s="678">
        <f t="shared" si="7"/>
        <v>0</v>
      </c>
      <c r="P56" s="678">
        <f t="shared" si="7"/>
        <v>0</v>
      </c>
      <c r="Q56" s="679">
        <f t="shared" si="7"/>
        <v>0</v>
      </c>
      <c r="R56" s="680">
        <f ca="1">SUM(R54:R55)</f>
        <v>18413.548727408866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47270.989852306288</v>
      </c>
      <c r="D61" s="686">
        <f t="shared" ref="D61:Q61" ca="1" si="8">D46+D52+D56</f>
        <v>0</v>
      </c>
      <c r="E61" s="686">
        <f t="shared" ca="1" si="8"/>
        <v>63533.6796525643</v>
      </c>
      <c r="F61" s="686">
        <f t="shared" si="8"/>
        <v>847.66658193176295</v>
      </c>
      <c r="G61" s="686">
        <f t="shared" ca="1" si="8"/>
        <v>36194.190808419648</v>
      </c>
      <c r="H61" s="686">
        <f t="shared" si="8"/>
        <v>32750.870972170378</v>
      </c>
      <c r="I61" s="686">
        <f t="shared" si="8"/>
        <v>6735.0033880347773</v>
      </c>
      <c r="J61" s="686">
        <f t="shared" si="8"/>
        <v>0</v>
      </c>
      <c r="K61" s="686">
        <f t="shared" si="8"/>
        <v>1357.6943804138498</v>
      </c>
      <c r="L61" s="686">
        <f t="shared" si="8"/>
        <v>0</v>
      </c>
      <c r="M61" s="686">
        <f t="shared" ca="1" si="8"/>
        <v>0</v>
      </c>
      <c r="N61" s="686">
        <f t="shared" si="8"/>
        <v>0</v>
      </c>
      <c r="O61" s="686">
        <f t="shared" ca="1" si="8"/>
        <v>0</v>
      </c>
      <c r="P61" s="686">
        <f t="shared" si="8"/>
        <v>0</v>
      </c>
      <c r="Q61" s="686">
        <f t="shared" si="8"/>
        <v>0</v>
      </c>
      <c r="R61" s="686">
        <f ca="1">R46+R52+R56</f>
        <v>188690.09563584102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0.20558456396495214</v>
      </c>
      <c r="D63" s="732">
        <f t="shared" ca="1" si="9"/>
        <v>0</v>
      </c>
      <c r="E63" s="921">
        <f t="shared" ca="1" si="9"/>
        <v>0.20200000000000001</v>
      </c>
      <c r="F63" s="732">
        <f t="shared" si="9"/>
        <v>0.22699999999999995</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15951.347156563321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87.299999999999983</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102.70588235294116</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16038.64715656332</v>
      </c>
      <c r="C78" s="704">
        <f>SUM(C72:C77)</f>
        <v>0</v>
      </c>
      <c r="D78" s="705">
        <f t="shared" ref="D78:H78" si="10">SUM(D76:D77)</f>
        <v>0</v>
      </c>
      <c r="E78" s="705">
        <f t="shared" si="10"/>
        <v>0</v>
      </c>
      <c r="F78" s="705">
        <f t="shared" si="10"/>
        <v>0</v>
      </c>
      <c r="G78" s="705">
        <f t="shared" si="10"/>
        <v>0</v>
      </c>
      <c r="H78" s="705">
        <f t="shared" si="10"/>
        <v>0</v>
      </c>
      <c r="I78" s="705">
        <f>SUM(I76:I77)</f>
        <v>0</v>
      </c>
      <c r="J78" s="705">
        <f>SUM(J76:J77)</f>
        <v>102.70588235294116</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124.71428571428569</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146.72268907563023</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124.71428571428569</v>
      </c>
      <c r="C90" s="704">
        <f>SUM(C87:C89)</f>
        <v>0</v>
      </c>
      <c r="D90" s="704">
        <f t="shared" ref="D90:H90" si="12">SUM(D87:D89)</f>
        <v>0</v>
      </c>
      <c r="E90" s="704">
        <f t="shared" si="12"/>
        <v>0</v>
      </c>
      <c r="F90" s="704">
        <f t="shared" si="12"/>
        <v>0</v>
      </c>
      <c r="G90" s="704">
        <f t="shared" si="12"/>
        <v>0</v>
      </c>
      <c r="H90" s="704">
        <f t="shared" si="12"/>
        <v>0</v>
      </c>
      <c r="I90" s="704">
        <f>SUM(I87:I89)</f>
        <v>0</v>
      </c>
      <c r="J90" s="704">
        <f>SUM(J87:J89)</f>
        <v>146.72268907563023</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33338.626947039767</v>
      </c>
      <c r="C4" s="445">
        <f>huishoudens!C8</f>
        <v>0</v>
      </c>
      <c r="D4" s="445">
        <f>huishoudens!D8</f>
        <v>74060.112196904171</v>
      </c>
      <c r="E4" s="445">
        <f>huishoudens!E8</f>
        <v>2408.9470754261065</v>
      </c>
      <c r="F4" s="445">
        <f>huishoudens!F8</f>
        <v>39477.058437369371</v>
      </c>
      <c r="G4" s="445">
        <f>huishoudens!G8</f>
        <v>0</v>
      </c>
      <c r="H4" s="445">
        <f>huishoudens!H8</f>
        <v>0</v>
      </c>
      <c r="I4" s="445">
        <f>huishoudens!I8</f>
        <v>0</v>
      </c>
      <c r="J4" s="445">
        <f>huishoudens!J8</f>
        <v>217.89357742472944</v>
      </c>
      <c r="K4" s="445">
        <f>huishoudens!K8</f>
        <v>0</v>
      </c>
      <c r="L4" s="445">
        <f>huishoudens!L8</f>
        <v>0</v>
      </c>
      <c r="M4" s="445">
        <f>huishoudens!M8</f>
        <v>0</v>
      </c>
      <c r="N4" s="445">
        <f>huishoudens!N8</f>
        <v>11384.626013367164</v>
      </c>
      <c r="O4" s="445">
        <f>huishoudens!O8</f>
        <v>678.5137110303649</v>
      </c>
      <c r="P4" s="446">
        <f>huishoudens!P8</f>
        <v>842.71674461480166</v>
      </c>
      <c r="Q4" s="447">
        <f>SUM(B4:P4)</f>
        <v>162408.49470317646</v>
      </c>
    </row>
    <row r="5" spans="1:17">
      <c r="A5" s="444" t="s">
        <v>149</v>
      </c>
      <c r="B5" s="445">
        <f ca="1">tertiair!B16</f>
        <v>34516.795528116687</v>
      </c>
      <c r="C5" s="445">
        <f ca="1">tertiair!C16</f>
        <v>0</v>
      </c>
      <c r="D5" s="445">
        <f ca="1">tertiair!D16</f>
        <v>44554.606895508674</v>
      </c>
      <c r="E5" s="445">
        <f>tertiair!E16</f>
        <v>103.24548684326055</v>
      </c>
      <c r="F5" s="445">
        <f ca="1">tertiair!F16</f>
        <v>6514.7466696568863</v>
      </c>
      <c r="G5" s="445">
        <f>tertiair!G16</f>
        <v>0</v>
      </c>
      <c r="H5" s="445">
        <f>tertiair!H16</f>
        <v>0</v>
      </c>
      <c r="I5" s="445">
        <f>tertiair!I16</f>
        <v>0</v>
      </c>
      <c r="J5" s="445">
        <f>tertiair!J16</f>
        <v>3.7469634990820809E-2</v>
      </c>
      <c r="K5" s="445">
        <f>tertiair!K16</f>
        <v>0</v>
      </c>
      <c r="L5" s="445">
        <f ca="1">tertiair!L16</f>
        <v>0</v>
      </c>
      <c r="M5" s="445">
        <f>tertiair!M16</f>
        <v>0</v>
      </c>
      <c r="N5" s="445">
        <f ca="1">tertiair!N16</f>
        <v>1355.3168203750533</v>
      </c>
      <c r="O5" s="445">
        <f>tertiair!O16</f>
        <v>39.178086126729234</v>
      </c>
      <c r="P5" s="446">
        <f>tertiair!P16</f>
        <v>157.61741491948504</v>
      </c>
      <c r="Q5" s="444">
        <f t="shared" ref="Q5:Q14" ca="1" si="0">SUM(B5:P5)</f>
        <v>87241.544371181764</v>
      </c>
    </row>
    <row r="6" spans="1:17">
      <c r="A6" s="444" t="s">
        <v>187</v>
      </c>
      <c r="B6" s="445">
        <f>'openbare verlichting'!B8</f>
        <v>1428.5609999999999</v>
      </c>
      <c r="C6" s="445"/>
      <c r="D6" s="445"/>
      <c r="E6" s="445"/>
      <c r="F6" s="445"/>
      <c r="G6" s="445"/>
      <c r="H6" s="445"/>
      <c r="I6" s="445"/>
      <c r="J6" s="445"/>
      <c r="K6" s="445"/>
      <c r="L6" s="445"/>
      <c r="M6" s="445"/>
      <c r="N6" s="445"/>
      <c r="O6" s="445"/>
      <c r="P6" s="446"/>
      <c r="Q6" s="444">
        <f t="shared" si="0"/>
        <v>1428.5609999999999</v>
      </c>
    </row>
    <row r="7" spans="1:17">
      <c r="A7" s="444" t="s">
        <v>105</v>
      </c>
      <c r="B7" s="445">
        <f>landbouw!B8</f>
        <v>14324.377646442801</v>
      </c>
      <c r="C7" s="445">
        <f>landbouw!C8</f>
        <v>124.71428571428569</v>
      </c>
      <c r="D7" s="445">
        <f>landbouw!D8</f>
        <v>551.1251154424549</v>
      </c>
      <c r="E7" s="445">
        <f>landbouw!E8</f>
        <v>422.32314989260726</v>
      </c>
      <c r="F7" s="445">
        <f>landbouw!F8</f>
        <v>45527.962888871349</v>
      </c>
      <c r="G7" s="445">
        <f>landbouw!G8</f>
        <v>0</v>
      </c>
      <c r="H7" s="445">
        <f>landbouw!H8</f>
        <v>0</v>
      </c>
      <c r="I7" s="445">
        <f>landbouw!I8</f>
        <v>0</v>
      </c>
      <c r="J7" s="445">
        <f>landbouw!J8</f>
        <v>3612.5200800619564</v>
      </c>
      <c r="K7" s="445">
        <f>landbouw!K8</f>
        <v>0</v>
      </c>
      <c r="L7" s="445">
        <f>landbouw!L8</f>
        <v>0</v>
      </c>
      <c r="M7" s="445">
        <f>landbouw!M8</f>
        <v>0</v>
      </c>
      <c r="N7" s="445">
        <f>landbouw!N8</f>
        <v>0</v>
      </c>
      <c r="O7" s="445">
        <f>landbouw!O8</f>
        <v>0</v>
      </c>
      <c r="P7" s="446">
        <f>landbouw!P8</f>
        <v>0</v>
      </c>
      <c r="Q7" s="444">
        <f t="shared" si="0"/>
        <v>64563.023166425453</v>
      </c>
    </row>
    <row r="8" spans="1:17">
      <c r="A8" s="444" t="s">
        <v>587</v>
      </c>
      <c r="B8" s="445">
        <f>industrie!B18</f>
        <v>145186.46031863944</v>
      </c>
      <c r="C8" s="445">
        <f>industrie!C18</f>
        <v>0</v>
      </c>
      <c r="D8" s="445">
        <f>industrie!D18</f>
        <v>186821.78081700313</v>
      </c>
      <c r="E8" s="445">
        <f>industrie!E18</f>
        <v>576.53179603683418</v>
      </c>
      <c r="F8" s="445">
        <f>industrie!F18</f>
        <v>44038.999076835149</v>
      </c>
      <c r="G8" s="445">
        <f>industrie!G18</f>
        <v>0</v>
      </c>
      <c r="H8" s="445">
        <f>industrie!H18</f>
        <v>0</v>
      </c>
      <c r="I8" s="445">
        <f>industrie!I18</f>
        <v>0</v>
      </c>
      <c r="J8" s="445">
        <f>industrie!J18</f>
        <v>4.8437328044527499</v>
      </c>
      <c r="K8" s="445">
        <f>industrie!K18</f>
        <v>0</v>
      </c>
      <c r="L8" s="445">
        <f>industrie!L18</f>
        <v>0</v>
      </c>
      <c r="M8" s="445">
        <f>industrie!M18</f>
        <v>0</v>
      </c>
      <c r="N8" s="445">
        <f>industrie!N18</f>
        <v>3416.8915349574918</v>
      </c>
      <c r="O8" s="445">
        <f>industrie!O18</f>
        <v>0</v>
      </c>
      <c r="P8" s="446">
        <f>industrie!P18</f>
        <v>0</v>
      </c>
      <c r="Q8" s="444">
        <f t="shared" si="0"/>
        <v>380045.50727627653</v>
      </c>
    </row>
    <row r="9" spans="1:17" s="450" customFormat="1">
      <c r="A9" s="448" t="s">
        <v>536</v>
      </c>
      <c r="B9" s="449">
        <f>transport!B14</f>
        <v>220.88835933415035</v>
      </c>
      <c r="C9" s="449">
        <f>transport!C14</f>
        <v>0</v>
      </c>
      <c r="D9" s="449">
        <f>transport!D14</f>
        <v>411.67673181965387</v>
      </c>
      <c r="E9" s="449">
        <f>transport!E14</f>
        <v>223.16650912173364</v>
      </c>
      <c r="F9" s="449">
        <f>transport!F14</f>
        <v>0</v>
      </c>
      <c r="G9" s="449">
        <f>transport!G14</f>
        <v>121540.73615170871</v>
      </c>
      <c r="H9" s="449">
        <f>transport!H14</f>
        <v>27048.206377649709</v>
      </c>
      <c r="I9" s="449">
        <f>transport!I14</f>
        <v>0</v>
      </c>
      <c r="J9" s="449">
        <f>transport!J14</f>
        <v>0</v>
      </c>
      <c r="K9" s="449">
        <f>transport!K14</f>
        <v>0</v>
      </c>
      <c r="L9" s="449">
        <f>transport!L14</f>
        <v>0</v>
      </c>
      <c r="M9" s="449">
        <f>transport!M14</f>
        <v>8723.2014614688505</v>
      </c>
      <c r="N9" s="449">
        <f>transport!N14</f>
        <v>0</v>
      </c>
      <c r="O9" s="449">
        <f>transport!O14</f>
        <v>0</v>
      </c>
      <c r="P9" s="449">
        <f>transport!P14</f>
        <v>0</v>
      </c>
      <c r="Q9" s="448">
        <f>SUM(B9:P9)</f>
        <v>158167.87559110281</v>
      </c>
    </row>
    <row r="10" spans="1:17">
      <c r="A10" s="444" t="s">
        <v>526</v>
      </c>
      <c r="B10" s="445">
        <f>transport!B54</f>
        <v>15.714909767873188</v>
      </c>
      <c r="C10" s="445">
        <f>transport!C54</f>
        <v>0</v>
      </c>
      <c r="D10" s="445">
        <f>transport!D54</f>
        <v>0</v>
      </c>
      <c r="E10" s="445">
        <f>transport!E54</f>
        <v>0</v>
      </c>
      <c r="F10" s="445">
        <f>transport!F54</f>
        <v>0</v>
      </c>
      <c r="G10" s="445">
        <f>transport!G54</f>
        <v>1121.7019463076886</v>
      </c>
      <c r="H10" s="445">
        <f>transport!H54</f>
        <v>0</v>
      </c>
      <c r="I10" s="445">
        <f>transport!I54</f>
        <v>0</v>
      </c>
      <c r="J10" s="445">
        <f>transport!J54</f>
        <v>0</v>
      </c>
      <c r="K10" s="445">
        <f>transport!K54</f>
        <v>0</v>
      </c>
      <c r="L10" s="445">
        <f>transport!L54</f>
        <v>0</v>
      </c>
      <c r="M10" s="445">
        <f>transport!M54</f>
        <v>61.938804228911437</v>
      </c>
      <c r="N10" s="445">
        <f>transport!N54</f>
        <v>0</v>
      </c>
      <c r="O10" s="445">
        <f>transport!O54</f>
        <v>0</v>
      </c>
      <c r="P10" s="446">
        <f>transport!P54</f>
        <v>0</v>
      </c>
      <c r="Q10" s="444">
        <f t="shared" si="0"/>
        <v>1199.3556603044733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903.10413186644598</v>
      </c>
      <c r="C14" s="452"/>
      <c r="D14" s="452">
        <f>'SEAP template'!E25</f>
        <v>8123.8648401748796</v>
      </c>
      <c r="E14" s="452"/>
      <c r="F14" s="452"/>
      <c r="G14" s="452"/>
      <c r="H14" s="452"/>
      <c r="I14" s="452"/>
      <c r="J14" s="452"/>
      <c r="K14" s="452"/>
      <c r="L14" s="452"/>
      <c r="M14" s="452"/>
      <c r="N14" s="452"/>
      <c r="O14" s="452"/>
      <c r="P14" s="453"/>
      <c r="Q14" s="444">
        <f t="shared" si="0"/>
        <v>9026.9689720413262</v>
      </c>
    </row>
    <row r="15" spans="1:17" s="456" customFormat="1">
      <c r="A15" s="454" t="s">
        <v>530</v>
      </c>
      <c r="B15" s="455">
        <f ca="1">SUM(B4:B14)</f>
        <v>229934.52884120718</v>
      </c>
      <c r="C15" s="455">
        <f t="shared" ref="C15:Q15" ca="1" si="1">SUM(C4:C14)</f>
        <v>124.71428571428569</v>
      </c>
      <c r="D15" s="455">
        <f t="shared" ca="1" si="1"/>
        <v>314523.16659685294</v>
      </c>
      <c r="E15" s="455">
        <f t="shared" si="1"/>
        <v>3734.2140173205421</v>
      </c>
      <c r="F15" s="455">
        <f t="shared" ca="1" si="1"/>
        <v>135558.76707273276</v>
      </c>
      <c r="G15" s="455">
        <f t="shared" si="1"/>
        <v>122662.4380980164</v>
      </c>
      <c r="H15" s="455">
        <f t="shared" si="1"/>
        <v>27048.206377649709</v>
      </c>
      <c r="I15" s="455">
        <f t="shared" si="1"/>
        <v>0</v>
      </c>
      <c r="J15" s="455">
        <f t="shared" si="1"/>
        <v>3835.2948599261294</v>
      </c>
      <c r="K15" s="455">
        <f t="shared" si="1"/>
        <v>0</v>
      </c>
      <c r="L15" s="455">
        <f t="shared" ca="1" si="1"/>
        <v>0</v>
      </c>
      <c r="M15" s="455">
        <f t="shared" si="1"/>
        <v>8785.1402656977625</v>
      </c>
      <c r="N15" s="455">
        <f t="shared" ca="1" si="1"/>
        <v>16156.83436869971</v>
      </c>
      <c r="O15" s="455">
        <f t="shared" si="1"/>
        <v>717.69179715709413</v>
      </c>
      <c r="P15" s="455">
        <f t="shared" si="1"/>
        <v>1000.3341595342868</v>
      </c>
      <c r="Q15" s="455">
        <f t="shared" ca="1" si="1"/>
        <v>864081.33074050862</v>
      </c>
    </row>
    <row r="17" spans="1:17">
      <c r="A17" s="457" t="s">
        <v>531</v>
      </c>
      <c r="B17" s="737">
        <f ca="1">huishoudens!B10</f>
        <v>0.20558456396495214</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6853.9070840973745</v>
      </c>
      <c r="C22" s="445">
        <f t="shared" ref="C22:C32" ca="1" si="3">C4*$C$17</f>
        <v>0</v>
      </c>
      <c r="D22" s="445">
        <f t="shared" ref="D22:D32" si="4">D4*$D$17</f>
        <v>14960.142663774643</v>
      </c>
      <c r="E22" s="445">
        <f t="shared" ref="E22:E32" si="5">E4*$E$17</f>
        <v>546.83098612172614</v>
      </c>
      <c r="F22" s="445">
        <f t="shared" ref="F22:F32" si="6">F4*$F$17</f>
        <v>10540.374602777623</v>
      </c>
      <c r="G22" s="445">
        <f t="shared" ref="G22:G32" si="7">G4*$G$17</f>
        <v>0</v>
      </c>
      <c r="H22" s="445">
        <f t="shared" ref="H22:H32" si="8">H4*$H$17</f>
        <v>0</v>
      </c>
      <c r="I22" s="445">
        <f t="shared" ref="I22:I32" si="9">I4*$I$17</f>
        <v>0</v>
      </c>
      <c r="J22" s="445">
        <f t="shared" ref="J22:J32" si="10">J4*$J$17</f>
        <v>77.134326408354212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32978.389663179725</v>
      </c>
    </row>
    <row r="23" spans="1:17">
      <c r="A23" s="444" t="s">
        <v>149</v>
      </c>
      <c r="B23" s="445">
        <f t="shared" ca="1" si="2"/>
        <v>7096.1203581152795</v>
      </c>
      <c r="C23" s="445">
        <f t="shared" ca="1" si="3"/>
        <v>0</v>
      </c>
      <c r="D23" s="445">
        <f t="shared" ca="1" si="4"/>
        <v>9000.0305928927519</v>
      </c>
      <c r="E23" s="445">
        <f t="shared" si="5"/>
        <v>23.436725513420146</v>
      </c>
      <c r="F23" s="445">
        <f t="shared" ca="1" si="6"/>
        <v>1739.4373607983887</v>
      </c>
      <c r="G23" s="445">
        <f t="shared" si="7"/>
        <v>0</v>
      </c>
      <c r="H23" s="445">
        <f t="shared" si="8"/>
        <v>0</v>
      </c>
      <c r="I23" s="445">
        <f t="shared" si="9"/>
        <v>0</v>
      </c>
      <c r="J23" s="445">
        <f t="shared" si="10"/>
        <v>1.3264250786750566E-2</v>
      </c>
      <c r="K23" s="445">
        <f t="shared" si="11"/>
        <v>0</v>
      </c>
      <c r="L23" s="445">
        <f t="shared" ca="1" si="12"/>
        <v>0</v>
      </c>
      <c r="M23" s="445">
        <f t="shared" si="13"/>
        <v>0</v>
      </c>
      <c r="N23" s="445">
        <f t="shared" ca="1" si="14"/>
        <v>0</v>
      </c>
      <c r="O23" s="445">
        <f t="shared" si="15"/>
        <v>0</v>
      </c>
      <c r="P23" s="446">
        <f t="shared" si="16"/>
        <v>0</v>
      </c>
      <c r="Q23" s="444">
        <f t="shared" ref="Q23:Q31" ca="1" si="17">SUM(B23:P23)</f>
        <v>17859.038301570625</v>
      </c>
    </row>
    <row r="24" spans="1:17">
      <c r="A24" s="444" t="s">
        <v>187</v>
      </c>
      <c r="B24" s="445">
        <f t="shared" ca="1" si="2"/>
        <v>293.69009028233597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293.69009028233597</v>
      </c>
    </row>
    <row r="25" spans="1:17">
      <c r="A25" s="444" t="s">
        <v>105</v>
      </c>
      <c r="B25" s="445">
        <f t="shared" ca="1" si="2"/>
        <v>2944.8709325132509</v>
      </c>
      <c r="C25" s="445">
        <f t="shared" ca="1" si="3"/>
        <v>0</v>
      </c>
      <c r="D25" s="445">
        <f t="shared" si="4"/>
        <v>111.32727331937589</v>
      </c>
      <c r="E25" s="445">
        <f t="shared" si="5"/>
        <v>95.867355025621848</v>
      </c>
      <c r="F25" s="445">
        <f t="shared" si="6"/>
        <v>12155.966091328652</v>
      </c>
      <c r="G25" s="445">
        <f t="shared" si="7"/>
        <v>0</v>
      </c>
      <c r="H25" s="445">
        <f t="shared" si="8"/>
        <v>0</v>
      </c>
      <c r="I25" s="445">
        <f t="shared" si="9"/>
        <v>0</v>
      </c>
      <c r="J25" s="445">
        <f t="shared" si="10"/>
        <v>1278.8321083419326</v>
      </c>
      <c r="K25" s="445">
        <f t="shared" si="11"/>
        <v>0</v>
      </c>
      <c r="L25" s="445">
        <f t="shared" si="12"/>
        <v>0</v>
      </c>
      <c r="M25" s="445">
        <f t="shared" si="13"/>
        <v>0</v>
      </c>
      <c r="N25" s="445">
        <f t="shared" si="14"/>
        <v>0</v>
      </c>
      <c r="O25" s="445">
        <f t="shared" si="15"/>
        <v>0</v>
      </c>
      <c r="P25" s="446">
        <f t="shared" si="16"/>
        <v>0</v>
      </c>
      <c r="Q25" s="444">
        <f t="shared" ca="1" si="17"/>
        <v>16586.863760528831</v>
      </c>
    </row>
    <row r="26" spans="1:17">
      <c r="A26" s="444" t="s">
        <v>587</v>
      </c>
      <c r="B26" s="445">
        <f t="shared" ca="1" si="2"/>
        <v>29848.095138222317</v>
      </c>
      <c r="C26" s="445">
        <f t="shared" ca="1" si="3"/>
        <v>0</v>
      </c>
      <c r="D26" s="445">
        <f t="shared" si="4"/>
        <v>37737.999725034635</v>
      </c>
      <c r="E26" s="445">
        <f t="shared" si="5"/>
        <v>130.87271770036136</v>
      </c>
      <c r="F26" s="445">
        <f t="shared" si="6"/>
        <v>11758.412753514986</v>
      </c>
      <c r="G26" s="445">
        <f t="shared" si="7"/>
        <v>0</v>
      </c>
      <c r="H26" s="445">
        <f t="shared" si="8"/>
        <v>0</v>
      </c>
      <c r="I26" s="445">
        <f t="shared" si="9"/>
        <v>0</v>
      </c>
      <c r="J26" s="445">
        <f t="shared" si="10"/>
        <v>1.7146814127762733</v>
      </c>
      <c r="K26" s="445">
        <f t="shared" si="11"/>
        <v>0</v>
      </c>
      <c r="L26" s="445">
        <f t="shared" si="12"/>
        <v>0</v>
      </c>
      <c r="M26" s="445">
        <f t="shared" si="13"/>
        <v>0</v>
      </c>
      <c r="N26" s="445">
        <f t="shared" si="14"/>
        <v>0</v>
      </c>
      <c r="O26" s="445">
        <f t="shared" si="15"/>
        <v>0</v>
      </c>
      <c r="P26" s="446">
        <f t="shared" si="16"/>
        <v>0</v>
      </c>
      <c r="Q26" s="444">
        <f t="shared" ca="1" si="17"/>
        <v>79477.095015885076</v>
      </c>
    </row>
    <row r="27" spans="1:17" s="450" customFormat="1">
      <c r="A27" s="448" t="s">
        <v>536</v>
      </c>
      <c r="B27" s="731">
        <f t="shared" ca="1" si="2"/>
        <v>45.41123703864497</v>
      </c>
      <c r="C27" s="449">
        <f t="shared" ca="1" si="3"/>
        <v>0</v>
      </c>
      <c r="D27" s="449">
        <f t="shared" si="4"/>
        <v>83.158699827570089</v>
      </c>
      <c r="E27" s="449">
        <f t="shared" si="5"/>
        <v>50.658797570633538</v>
      </c>
      <c r="F27" s="449">
        <f t="shared" si="6"/>
        <v>0</v>
      </c>
      <c r="G27" s="449">
        <f t="shared" si="7"/>
        <v>32451.376552506226</v>
      </c>
      <c r="H27" s="449">
        <f t="shared" si="8"/>
        <v>6735.0033880347773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39365.608674977855</v>
      </c>
    </row>
    <row r="28" spans="1:17" ht="16.5" customHeight="1">
      <c r="A28" s="444" t="s">
        <v>526</v>
      </c>
      <c r="B28" s="445">
        <f t="shared" ca="1" si="2"/>
        <v>3.2307428723767768</v>
      </c>
      <c r="C28" s="445">
        <f t="shared" ca="1" si="3"/>
        <v>0</v>
      </c>
      <c r="D28" s="445">
        <f t="shared" si="4"/>
        <v>0</v>
      </c>
      <c r="E28" s="445">
        <f t="shared" si="5"/>
        <v>0</v>
      </c>
      <c r="F28" s="445">
        <f t="shared" si="6"/>
        <v>0</v>
      </c>
      <c r="G28" s="445">
        <f t="shared" si="7"/>
        <v>299.49441966415287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302.72516253652964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185.66426916470994</v>
      </c>
      <c r="C32" s="445">
        <f t="shared" ca="1" si="3"/>
        <v>0</v>
      </c>
      <c r="D32" s="445">
        <f t="shared" si="4"/>
        <v>1641.0206977153257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1826.6849668800355</v>
      </c>
    </row>
    <row r="33" spans="1:17" s="456" customFormat="1">
      <c r="A33" s="454" t="s">
        <v>530</v>
      </c>
      <c r="B33" s="455">
        <f ca="1">SUM(B22:B32)</f>
        <v>47270.989852306288</v>
      </c>
      <c r="C33" s="455">
        <f t="shared" ref="C33:Q33" ca="1" si="19">SUM(C22:C32)</f>
        <v>0</v>
      </c>
      <c r="D33" s="455">
        <f t="shared" ca="1" si="19"/>
        <v>63533.679652564308</v>
      </c>
      <c r="E33" s="455">
        <f t="shared" si="19"/>
        <v>847.66658193176295</v>
      </c>
      <c r="F33" s="455">
        <f t="shared" ca="1" si="19"/>
        <v>36194.190808419648</v>
      </c>
      <c r="G33" s="455">
        <f t="shared" si="19"/>
        <v>32750.870972170378</v>
      </c>
      <c r="H33" s="455">
        <f t="shared" si="19"/>
        <v>6735.0033880347773</v>
      </c>
      <c r="I33" s="455">
        <f t="shared" si="19"/>
        <v>0</v>
      </c>
      <c r="J33" s="455">
        <f t="shared" si="19"/>
        <v>1357.6943804138498</v>
      </c>
      <c r="K33" s="455">
        <f t="shared" si="19"/>
        <v>0</v>
      </c>
      <c r="L33" s="455">
        <f t="shared" ca="1" si="19"/>
        <v>0</v>
      </c>
      <c r="M33" s="455">
        <f t="shared" si="19"/>
        <v>0</v>
      </c>
      <c r="N33" s="455">
        <f t="shared" ca="1" si="19"/>
        <v>0</v>
      </c>
      <c r="O33" s="455">
        <f t="shared" si="19"/>
        <v>0</v>
      </c>
      <c r="P33" s="455">
        <f t="shared" si="19"/>
        <v>0</v>
      </c>
      <c r="Q33" s="455">
        <f t="shared" ca="1" si="19"/>
        <v>188690.09563584099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15951.347156563321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87.299999999999983</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102.70588235294116</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16038.64715656332</v>
      </c>
      <c r="C10" s="974">
        <f>SUM(C4:C9)</f>
        <v>0</v>
      </c>
      <c r="D10" s="974">
        <f t="shared" ref="D10:H10" si="0">SUM(D8:D9)</f>
        <v>0</v>
      </c>
      <c r="E10" s="974">
        <f t="shared" si="0"/>
        <v>0</v>
      </c>
      <c r="F10" s="974">
        <f t="shared" si="0"/>
        <v>0</v>
      </c>
      <c r="G10" s="974">
        <f t="shared" si="0"/>
        <v>0</v>
      </c>
      <c r="H10" s="974">
        <f t="shared" si="0"/>
        <v>0</v>
      </c>
      <c r="I10" s="974">
        <f>SUM(I8:I9)</f>
        <v>0</v>
      </c>
      <c r="J10" s="974">
        <f>SUM(J8:J9)</f>
        <v>102.70588235294116</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0.20558456396495214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124.71428571428569</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146.72268907563023</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124.71428571428569</v>
      </c>
      <c r="C20" s="974">
        <f>SUM(C17:C19)</f>
        <v>0</v>
      </c>
      <c r="D20" s="974">
        <f t="shared" ref="D20:H20" si="2">SUM(D17:D19)</f>
        <v>0</v>
      </c>
      <c r="E20" s="974">
        <f t="shared" si="2"/>
        <v>0</v>
      </c>
      <c r="F20" s="974">
        <f t="shared" si="2"/>
        <v>0</v>
      </c>
      <c r="G20" s="974">
        <f t="shared" si="2"/>
        <v>0</v>
      </c>
      <c r="H20" s="974">
        <f t="shared" si="2"/>
        <v>0</v>
      </c>
      <c r="I20" s="974">
        <f>SUM(I17:I19)</f>
        <v>0</v>
      </c>
      <c r="J20" s="974">
        <f>SUM(J17:J19)</f>
        <v>146.72268907563023</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0.20558456396495214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2022-07-26T09:53:25Z</dcterms:modified>
</cp:coreProperties>
</file>