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27FDA914-E2F5-4CD9-871C-3727411B647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<sst xmlns="http://schemas.openxmlformats.org/spreadsheetml/2006/main" count="2382" uniqueCount="866">
  <si>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</si>
  <si>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</si>
  <si>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</si>
  <si>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</si>
  <si>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</si>
  <si>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</si>
  <si>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</si>
  <si>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</si>
  <si>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</si>
  <si>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</si>
  <si>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</si>
  <si>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</si>
  <si>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</si>
  <si>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</si>
  <si>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</si>
  <si>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</si>
  <si>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</si>
  <si>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</si>
  <si>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</si>
  <si>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</si>
  <si>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</si>
  <si>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</si>
  <si>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</si>
  <si>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</si>
  <si>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</si>
  <si>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</si>
  <si>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</si>
  <si>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</si>
  <si>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</si>
  <si>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</si>
  <si>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</si>
  <si>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</si>
  <si>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</si>
  <si>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</si>
  <si>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</si>
  <si>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</si>
  <si>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</si>
  <si>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</si>
  <si>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</si>
  <si>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</si>
  <si>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</si>
  <si>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</si>
  <si>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</si>
  <si>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</si>
  <si>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</si>
  <si>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</si>
  <si>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</si>
  <si>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</si>
  <si>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</si>
  <si>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</si>
  <si>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</si>
  <si>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</si>
  <si>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</si>
  <si>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</si>
  <si>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</si>
  <si>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</si>
  <si>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</si>
  <si>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</si>
  <si>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</si>
  <si>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</si>
  <si>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</si>
  <si>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</si>
  <si>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</si>
  <si>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</si>
  <si>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</si>
  <si>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</si>
  <si>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</si>
  <si>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</si>
  <si>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</si>
  <si>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</si>
  <si>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</si>
  <si>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</si>
  <si>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</si>
  <si>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</si>
  <si>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</si>
  <si>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</si>
  <si>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</si>
  <si>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</si>
  <si>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</si>
  <si>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</si>
  <si>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</si>
  <si>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</si>
  <si>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</si>
  <si>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</si>
  <si>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</si>
  <si>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</si>
  <si>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</si>
  <si>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</si>
  <si>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</si>
  <si>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</si>
  <si>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</si>
  <si>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</si>
  <si>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</si>
  <si>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</si>
  <si>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</si>
  <si>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</si>
  <si>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</si>
  <si>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</si>
  <si>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</si>
  <si>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</si>
  <si>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</si>
  <si>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</si>
  <si>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</si>
  <si>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</si>
  <si>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</si>
  <si>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</si>
  <si>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</si>
  <si>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</si>
  <si>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</si>
  <si>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</si>
  <si>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</si>
  <si>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</si>
  <si>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</si>
  <si>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</si>
  <si>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</si>
  <si>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</si>
  <si>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</si>
  <si>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</si>
  <si>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</si>
  <si>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</si>
  <si>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</si>
  <si>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</si>
  <si>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</si>
  <si>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</si>
  <si>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</si>
  <si>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</si>
  <si>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</si>
  <si>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</si>
  <si>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</si>
  <si>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</si>
  <si>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</si>
  <si>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</si>
  <si>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</si>
  <si>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</si>
  <si>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</si>
  <si>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</si>
  <si>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</si>
  <si>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</si>
  <si>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</si>
  <si>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</si>
  <si>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</si>
  <si>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</si>
  <si>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</si>
  <si>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</si>
  <si>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</si>
  <si>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</si>
  <si>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</si>
  <si>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</si>
  <si>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</si>
  <si>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</si>
  <si>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</si>
  <si>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</si>
  <si>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</si>
  <si>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</si>
  <si>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</si>
  <si>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</si>
  <si>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</si>
  <si>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</si>
  <si>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</si>
  <si>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</si>
  <si>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</si>
  <si>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</si>
  <si>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</si>
  <si>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</si>
  <si>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</si>
  <si>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</si>
  <si>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</si>
  <si>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</si>
  <si>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</si>
  <si>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</si>
  <si>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</si>
  <si>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</si>
  <si>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</si>
  <si>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</si>
  <si>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</si>
  <si>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</si>
  <si>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</si>
  <si>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</si>
  <si>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</si>
  <si>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</si>
  <si>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</si>
  <si>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</si>
  <si>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</si>
  <si>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</si>
  <si>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</si>
  <si>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</si>
  <si>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</si>
  <si>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</si>
  <si>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</si>
  <si>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</si>
  <si>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</si>
  <si>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</si>
  <si>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</si>
  <si>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</si>
  <si>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</si>
  <si>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</si>
  <si>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</si>
  <si>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</si>
  <si>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</si>
  <si>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</si>
  <si>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</si>
  <si>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</si>
  <si>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</si>
  <si>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</si>
  <si>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</si>
  <si>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</si>
  <si>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</si>
  <si>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</si>
  <si>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</si>
  <si>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</si>
  <si>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</si>
  <si>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</si>
  <si>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</si>
  <si>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</si>
  <si>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</si>
  <si>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</si>
  <si>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</si>
  <si>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</si>
  <si>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</si>
  <si>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</si>
  <si>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</si>
  <si>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</si>
  <si>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</si>
  <si>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</si>
  <si>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</si>
  <si>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</si>
  <si>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</si>
  <si>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</si>
  <si>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</si>
  <si>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</si>
  <si>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</si>
  <si>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</si>
  <si>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</si>
  <si>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</si>
  <si>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</si>
  <si>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</si>
  <si>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</si>
  <si>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</si>
  <si>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</si>
  <si>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</si>
  <si>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</si>
  <si>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</si>
  <si>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</si>
  <si>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</si>
  <si>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</si>
  <si>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</si>
  <si>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</si>
  <si>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</si>
  <si>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</si>
  <si>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</si>
  <si>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</si>
  <si>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</si>
  <si>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</si>
  <si>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</si>
  <si>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</si>
  <si>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</si>
  <si>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</si>
  <si>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</si>
  <si>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</si>
  <si>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</si>
  <si>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</si>
  <si>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</si>
  <si>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</si>
  <si>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</si>
  <si>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</si>
  <si>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</si>
  <si>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</si>
  <si>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</si>
  <si>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</si>
  <si>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</si>
  <si>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</si>
  <si>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</si>
  <si>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</si>
  <si>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</si>
  <si>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</si>
  <si>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</si>
  <si>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</si>
  <si>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</si>
  <si>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</si>
  <si>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</si>
  <si>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</si>
  <si>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</si>
  <si>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</si>
  <si>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</si>
  <si>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</si>
  <si>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</si>
  <si>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</si>
  <si>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</si>
  <si>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</si>
  <si>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</si>
  <si>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</si>
  <si>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</si>
  <si>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</si>
  <si>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</si>
  <si>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</si>
  <si>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</si>
  <si>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</si>
  <si>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</si>
  <si>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</si>
  <si>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</si>
  <si>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</si>
  <si>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</si>
  <si>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</si>
  <si>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</si>
  <si>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</si>
  <si>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</si>
  <si>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</si>
  <si>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</si>
  <si>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</si>
  <si>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</si>
  <si>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</si>
  <si>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</si>
  <si>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</si>
  <si>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</si>
  <si>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</si>
  <si>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</si>
  <si>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</si>
  <si>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</si>
  <si>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</si>
  <si>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</si>
  <si>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</si>
  <si>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</si>
  <si>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</si>
  <si>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</si>
  <si>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</si>
  <si>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</si>
  <si>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</si>
  <si>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</si>
  <si>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</si>
  <si>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</si>
  <si>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</si>
  <si>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</si>
  <si>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</si>
  <si>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</si>
  <si>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</si>
  <si>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</si>
  <si>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</si>
  <si>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</si>
  <si>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</si>
  <si>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</si>
  <si>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</si>
  <si>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</si>
  <si>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</si>
  <si>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</si>
  <si>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</si>
  <si>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</si>
  <si>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</si>
  <si>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</si>
  <si>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</si>
  <si>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</si>
  <si>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</si>
  <si>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</si>
  <si>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</si>
  <si>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</si>
  <si>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</si>
  <si>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</si>
  <si>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</si>
  <si>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</si>
  <si>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</si>
  <si>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</si>
  <si>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</si>
  <si>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</si>
  <si>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</si>
  <si>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</si>
  <si>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</si>
  <si>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</si>
  <si>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</si>
  <si>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</si>
  <si>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</si>
  <si>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</si>
  <si>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</si>
  <si>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</si>
  <si>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</si>
  <si>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</si>
  <si>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</si>
  <si>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</si>
  <si>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</si>
  <si>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</si>
  <si>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</si>
  <si>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</si>
  <si>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</si>
  <si>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</si>
  <si>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</si>
  <si>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</si>
  <si>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</si>
  <si>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</si>
  <si>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</si>
  <si>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</si>
  <si>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</si>
  <si>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</si>
  <si>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</si>
  <si>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</si>
  <si>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</si>
  <si>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</si>
  <si>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</si>
  <si>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</si>
  <si>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</si>
  <si>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</si>
  <si>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</si>
  <si>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</si>
  <si>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</si>
  <si>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</si>
  <si>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</si>
  <si>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</si>
  <si>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</si>
  <si>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</si>
  <si>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</si>
  <si>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</si>
  <si>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</si>
  <si>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</si>
  <si>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</si>
  <si>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</si>
  <si>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</si>
  <si>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</si>
  <si>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</si>
  <si>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</si>
  <si>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</si>
  <si>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</si>
  <si>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</si>
  <si>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</si>
  <si>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</si>
  <si>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</si>
  <si>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</si>
  <si>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</si>
  <si>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</si>
  <si>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</si>
  <si>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</si>
  <si>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</si>
  <si>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</si>
  <si>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</si>
  <si>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</si>
  <si>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</si>
  <si>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</si>
  <si>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</si>
  <si>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</si>
  <si>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</si>
  <si>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</si>
  <si>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</si>
  <si>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</si>
  <si>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</si>
  <si>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</si>
  <si>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</si>
  <si>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</si>
  <si>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</si>
  <si>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</si>
  <si>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</si>
  <si>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</si>
  <si>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</si>
  <si>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</si>
  <si>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</si>
  <si>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</si>
  <si>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</si>
  <si>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</si>
  <si>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</si>
  <si>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</si>
  <si>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</si>
  <si>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</si>
  <si>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</si>
  <si>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</si>
  <si>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</si>
  <si>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</si>
  <si>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</si>
  <si>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</si>
  <si>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</si>
  <si>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</si>
  <si>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</si>
  <si>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</si>
  <si>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</si>
  <si>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</si>
  <si>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</si>
  <si>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</si>
  <si>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</si>
  <si>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</si>
  <si>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</si>
  <si>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</si>
  <si>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</si>
  <si>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</si>
  <si>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</si>
  <si>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</si>
  <si>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</si>
  <si>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</si>
  <si>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</si>
  <si>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</si>
  <si>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</si>
  <si>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</si>
  <si>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</si>
  <si>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</si>
  <si>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</si>
  <si>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</si>
  <si>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</si>
  <si>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</si>
  <si>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</si>
  <si>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</si>
  <si>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</si>
  <si>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</si>
  <si>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</si>
  <si>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</si>
  <si>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</si>
  <si>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</si>
  <si>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</si>
  <si>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</si>
  <si>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</si>
  <si>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</si>
  <si>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</si>
  <si>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</si>
  <si>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</si>
  <si>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</si>
  <si>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</si>
  <si>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</si>
  <si>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</si>
  <si>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</si>
  <si>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</si>
  <si>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</si>
  <si>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</si>
  <si>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</si>
  <si>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</si>
  <si>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</si>
  <si>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</si>
  <si>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</si>
  <si>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</si>
  <si>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</si>
  <si>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</si>
  <si>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</si>
  <si>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</si>
  <si>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</si>
  <si>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</si>
  <si>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</si>
  <si>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</si>
  <si>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</si>
  <si>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</si>
  <si>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</si>
  <si>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</si>
  <si>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</si>
  <si>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</si>
  <si>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</si>
  <si>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</si>
  <si>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</si>
  <si>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</si>
  <si>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</si>
  <si>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</si>
  <si>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</si>
  <si>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</si>
  <si>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</si>
  <si>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</si>
  <si>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</si>
  <si>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</si>
  <si>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</si>
  <si>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</si>
  <si>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</si>
  <si>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</si>
  <si>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</si>
  <si>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</si>
  <si>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</si>
  <si>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</si>
  <si>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</si>
  <si>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</si>
  <si>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</si>
  <si>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</si>
  <si>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</si>
  <si>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</si>
  <si>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</si>
  <si>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</si>
  <si>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</si>
  <si>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</si>
  <si>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</si>
  <si>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</si>
  <si>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</si>
  <si>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</si>
  <si>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</si>
  <si>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</si>
  <si>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</si>
  <si>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</si>
  <si>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</si>
  <si>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</si>
  <si>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</si>
  <si>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</si>
  <si>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</si>
  <si>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</si>
  <si>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</si>
  <si>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</si>
  <si>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</si>
  <si>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</si>
  <si>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</si>
  <si>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</si>
  <si>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</si>
  <si>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</si>
  <si>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</si>
  <si>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</si>
  <si>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</si>
  <si>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</si>
  <si>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</si>
  <si>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</si>
  <si>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</si>
  <si>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</si>
  <si>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</si>
  <si>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</si>
  <si>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</si>
  <si>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</si>
  <si>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</si>
  <si>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</si>
  <si>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</si>
  <si>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</si>
  <si>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</si>
  <si>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</si>
  <si>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</si>
  <si>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</si>
  <si>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</si>
  <si>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</si>
  <si>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</si>
  <si>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</si>
  <si>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</si>
  <si>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</si>
  <si>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</si>
  <si>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</si>
  <si>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</si>
  <si>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</si>
  <si>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</si>
  <si>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</si>
  <si>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</si>
  <si>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</si>
  <si>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</si>
  <si>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</si>
  <si>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</si>
  <si>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</si>
  <si>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</si>
  <si>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</si>
  <si>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</si>
  <si>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</si>
  <si>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</si>
  <si>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</si>
  <si>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</si>
  <si>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</si>
  <si>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</si>
  <si>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</si>
  <si>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</si>
  <si>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</si>
  <si>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</si>
  <si>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</si>
  <si>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</si>
  <si>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</si>
  <si>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</si>
  <si>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</si>
  <si>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</si>
  <si>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</si>
  <si>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</si>
  <si>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</si>
  <si>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</si>
  <si>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</si>
  <si>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</si>
  <si>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</si>
  <si>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</si>
  <si>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</si>
  <si>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</si>
  <si>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</si>
  <si>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</si>
  <si>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</si>
  <si>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</si>
  <si>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</si>
  <si>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</si>
  <si>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</si>
  <si>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</si>
  <si>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</si>
  <si>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</si>
  <si>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</si>
  <si>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</si>
  <si>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</si>
  <si>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</si>
  <si>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</si>
  <si>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</si>
  <si>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</si>
  <si>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</si>
  <si>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</si>
  <si>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</si>
  <si>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</si>
  <si>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</si>
  <si>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</si>
  <si>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</si>
  <si>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</si>
  <si>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</si>
  <si>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</si>
  <si>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</si>
  <si>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</si>
  <si>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</si>
  <si>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</si>
  <si>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</si>
  <si>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</si>
  <si>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</si>
  <si>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</si>
  <si>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</si>
  <si>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</si>
  <si>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</si>
  <si>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</si>
  <si>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</si>
  <si>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</si>
  <si>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</si>
  <si>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</si>
  <si>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</si>
  <si>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</si>
  <si>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</si>
  <si>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</si>
  <si>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</si>
  <si>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</si>
  <si>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</si>
  <si>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</si>
  <si>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</si>
  <si>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</si>
  <si>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</si>
  <si>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</si>
  <si>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</si>
  <si>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</si>
  <si>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</si>
  <si>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</si>
  <si>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</si>
  <si>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</si>
  <si>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</si>
  <si>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</si>
  <si>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</si>
  <si>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</si>
  <si>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</si>
  <si>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</si>
  <si>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</si>
  <si>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</si>
  <si>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</si>
  <si>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</si>
  <si>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</si>
  <si>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</si>
  <si>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</si>
  <si>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</si>
  <si>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</si>
  <si>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</si>
  <si>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</si>
  <si>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</si>
  <si>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</si>
  <si>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</si>
  <si>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</si>
  <si>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</si>
  <si>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</si>
  <si>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</si>
  <si>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</si>
  <si>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</si>
  <si>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</si>
  <si>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</si>
  <si>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</si>
  <si>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</si>
  <si>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</si>
  <si>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</si>
  <si>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</si>
  <si>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</si>
  <si>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</si>
  <si>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</si>
  <si>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</si>
  <si>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</si>
  <si>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</si>
  <si>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</si>
  <si>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</si>
  <si>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</si>
  <si>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</si>
  <si>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</si>
  <si>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</si>
  <si>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</si>
  <si>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</si>
  <si>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</si>
  <si>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</si>
  <si>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</si>
  <si>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</si>
  <si>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</si>
  <si>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</si>
  <si>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</si>
  <si>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</si>
  <si>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</si>
  <si>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</si>
  <si>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</si>
  <si>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</si>
  <si>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</si>
  <si>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</si>
  <si>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</si>
  <si>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</si>
  <si>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</si>
  <si>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</si>
  <si>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</si>
  <si>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</si>
  <si>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</si>
  <si>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</si>
  <si>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</si>
  <si>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</si>
  <si>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</si>
  <si>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</si>
  <si>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</si>
  <si>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</si>
  <si>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</si>
  <si>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</si>
  <si>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</si>
  <si>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</si>
  <si>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</si>
  <si>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</si>
  <si>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</si>
  <si>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</si>
  <si>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</si>
  <si>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</si>
  <si>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</si>
  <si>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</si>
  <si>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</si>
  <si>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</si>
  <si>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</si>
  <si>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</si>
  <si>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</si>
  <si>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</si>
  <si>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</si>
  <si>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</si>
  <si>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</si>
  <si>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</si>
  <si>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</si>
  <si>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</si>
  <si>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</si>
  <si>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</si>
  <si>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</si>
  <si>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</si>
  <si>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</si>
  <si>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</si>
  <si>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</si>
  <si>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</si>
  <si>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</si>
  <si>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</si>
  <si>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</si>
  <si>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</si>
  <si>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</si>
  <si>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</si>
  <si>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</si>
  <si>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</si>
  <si>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</si>
  <si>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</si>
  <si>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</si>
  <si>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</si>
  <si>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</si>
  <si>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</si>
  <si>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</si>
  <si>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</si>
  <si>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</si>
  <si>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</si>
  <si>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</si>
  <si>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</si>
  <si>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</si>
  <si>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</si>
  <si>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</si>
  <si>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</si>
  <si>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</si>
  <si>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</si>
  <si>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</si>
  <si>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</si>
  <si>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</si>
  <si>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</si>
  <si>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</si>
  <si>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</si>
  <si>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</si>
  <si>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</si>
  <si>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</si>
  <si>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</si>
  <si>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34022</t>
  </si>
  <si>
    <t>KORTRIJK</t>
  </si>
  <si>
    <t>waterkracht</t>
  </si>
  <si>
    <t>vloeibaar gas (MWh)</t>
  </si>
  <si>
    <t>interne verbrandingsmotor</t>
  </si>
  <si>
    <t>WKK interne verbrandinsgmotor (gas)</t>
  </si>
  <si>
    <t>GASELWEST</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</si>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</sst>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4BA68F0-CF22-4513-9D52-C9665A8B63F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596534.65204500826</c:v>
                </c:pt>
                <c:pt idx="1">
                  <c:v>450857.93284523144</c:v>
                </c:pt>
                <c:pt idx="2">
                  <c:v>6011.1930000000002</c:v>
                </c:pt>
                <c:pt idx="3">
                  <c:v>13599.227287884372</c:v>
                </c:pt>
                <c:pt idx="4">
                  <c:v>313721.54935662728</c:v>
                </c:pt>
                <c:pt idx="5">
                  <c:v>684399.08033703489</c:v>
                </c:pt>
                <c:pt idx="6">
                  <c:v>10385.219717587444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596534.65204500826</c:v>
                </c:pt>
                <c:pt idx="1">
                  <c:v>450857.93284523144</c:v>
                </c:pt>
                <c:pt idx="2">
                  <c:v>6011.1930000000002</c:v>
                </c:pt>
                <c:pt idx="3">
                  <c:v>13599.227287884372</c:v>
                </c:pt>
                <c:pt idx="4">
                  <c:v>313721.54935662728</c:v>
                </c:pt>
                <c:pt idx="5">
                  <c:v>684399.08033703489</c:v>
                </c:pt>
                <c:pt idx="6">
                  <c:v>10385.219717587444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118834.5101960116</c:v>
                </c:pt>
                <c:pt idx="1">
                  <c:v>91688.532576969141</c:v>
                </c:pt>
                <c:pt idx="2">
                  <c:v>1208.0339401039803</c:v>
                </c:pt>
                <c:pt idx="3">
                  <c:v>3451.2474350874818</c:v>
                </c:pt>
                <c:pt idx="4">
                  <c:v>62795.777770228648</c:v>
                </c:pt>
                <c:pt idx="5">
                  <c:v>170635.72890785328</c:v>
                </c:pt>
                <c:pt idx="6">
                  <c:v>2620.6682112844283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118834.5101960116</c:v>
                </c:pt>
                <c:pt idx="1">
                  <c:v>91688.532576969141</c:v>
                </c:pt>
                <c:pt idx="2">
                  <c:v>1208.0339401039803</c:v>
                </c:pt>
                <c:pt idx="3">
                  <c:v>3451.2474350874818</c:v>
                </c:pt>
                <c:pt idx="4">
                  <c:v>62795.777770228648</c:v>
                </c:pt>
                <c:pt idx="5">
                  <c:v>170635.72890785328</c:v>
                </c:pt>
                <c:pt idx="6">
                  <c:v>2620.6682112844283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34022</v>
      </c>
      <c r="B6" s="382"/>
      <c r="C6" s="383"/>
    </row>
    <row r="7" spans="1:7" s="380" customFormat="1" ht="15.75" customHeight="1">
      <c r="A7" s="384" t="str">
        <f>txtMunicipality</f>
        <v>KORTRIJK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0.20096409150462816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0.20096409150462816</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33109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3554.51</v>
      </c>
      <c r="C14" s="324"/>
      <c r="D14" s="324"/>
      <c r="E14" s="324"/>
      <c r="F14" s="324"/>
    </row>
    <row r="15" spans="1:6">
      <c r="A15" s="1264" t="s">
        <v>177</v>
      </c>
      <c r="B15" s="1265">
        <v>34</v>
      </c>
      <c r="C15" s="324"/>
      <c r="D15" s="324"/>
      <c r="E15" s="324"/>
      <c r="F15" s="324"/>
    </row>
    <row r="16" spans="1:6">
      <c r="A16" s="1264" t="s">
        <v>6</v>
      </c>
      <c r="B16" s="1265">
        <v>992</v>
      </c>
      <c r="C16" s="324"/>
      <c r="D16" s="324"/>
      <c r="E16" s="324"/>
      <c r="F16" s="324"/>
    </row>
    <row r="17" spans="1:6">
      <c r="A17" s="1264" t="s">
        <v>7</v>
      </c>
      <c r="B17" s="1265">
        <v>861</v>
      </c>
      <c r="C17" s="324"/>
      <c r="D17" s="324"/>
      <c r="E17" s="324"/>
      <c r="F17" s="324"/>
    </row>
    <row r="18" spans="1:6">
      <c r="A18" s="1264" t="s">
        <v>8</v>
      </c>
      <c r="B18" s="1265">
        <v>1112</v>
      </c>
      <c r="C18" s="324"/>
      <c r="D18" s="324"/>
      <c r="E18" s="324"/>
      <c r="F18" s="324"/>
    </row>
    <row r="19" spans="1:6">
      <c r="A19" s="1264" t="s">
        <v>9</v>
      </c>
      <c r="B19" s="1265">
        <v>1255</v>
      </c>
      <c r="C19" s="324"/>
      <c r="D19" s="324"/>
      <c r="E19" s="324"/>
      <c r="F19" s="324"/>
    </row>
    <row r="20" spans="1:6">
      <c r="A20" s="1264" t="s">
        <v>10</v>
      </c>
      <c r="B20" s="1265">
        <v>1110</v>
      </c>
      <c r="C20" s="324"/>
      <c r="D20" s="324"/>
      <c r="E20" s="324"/>
      <c r="F20" s="324"/>
    </row>
    <row r="21" spans="1:6">
      <c r="A21" s="1264" t="s">
        <v>11</v>
      </c>
      <c r="B21" s="1265">
        <v>2130</v>
      </c>
      <c r="C21" s="324"/>
      <c r="D21" s="324"/>
      <c r="E21" s="324"/>
      <c r="F21" s="324"/>
    </row>
    <row r="22" spans="1:6">
      <c r="A22" s="1264" t="s">
        <v>12</v>
      </c>
      <c r="B22" s="1265">
        <v>7738</v>
      </c>
      <c r="C22" s="324"/>
      <c r="D22" s="324"/>
      <c r="E22" s="324"/>
      <c r="F22" s="324"/>
    </row>
    <row r="23" spans="1:6">
      <c r="A23" s="1264" t="s">
        <v>13</v>
      </c>
      <c r="B23" s="1265">
        <v>130</v>
      </c>
      <c r="C23" s="324"/>
      <c r="D23" s="324"/>
      <c r="E23" s="324"/>
      <c r="F23" s="324"/>
    </row>
    <row r="24" spans="1:6">
      <c r="A24" s="1264" t="s">
        <v>14</v>
      </c>
      <c r="B24" s="1265">
        <v>4</v>
      </c>
      <c r="C24" s="324"/>
      <c r="D24" s="324"/>
      <c r="E24" s="324"/>
      <c r="F24" s="324"/>
    </row>
    <row r="25" spans="1:6">
      <c r="A25" s="1264" t="s">
        <v>15</v>
      </c>
      <c r="B25" s="1265">
        <v>532</v>
      </c>
      <c r="C25" s="324"/>
      <c r="D25" s="324"/>
      <c r="E25" s="324"/>
      <c r="F25" s="324"/>
    </row>
    <row r="26" spans="1:6">
      <c r="A26" s="1264" t="s">
        <v>16</v>
      </c>
      <c r="B26" s="1265">
        <v>116</v>
      </c>
      <c r="C26" s="324"/>
      <c r="D26" s="324"/>
      <c r="E26" s="324"/>
      <c r="F26" s="324"/>
    </row>
    <row r="27" spans="1:6">
      <c r="A27" s="1264" t="s">
        <v>17</v>
      </c>
      <c r="B27" s="1265">
        <v>9</v>
      </c>
      <c r="C27" s="324"/>
      <c r="D27" s="324"/>
      <c r="E27" s="324"/>
      <c r="F27" s="324"/>
    </row>
    <row r="28" spans="1:6">
      <c r="A28" s="1264" t="s">
        <v>18</v>
      </c>
      <c r="B28" s="1266">
        <v>182327</v>
      </c>
      <c r="C28" s="324"/>
      <c r="D28" s="324"/>
      <c r="E28" s="324"/>
      <c r="F28" s="324"/>
    </row>
    <row r="29" spans="1:6">
      <c r="A29" s="1264" t="s">
        <v>657</v>
      </c>
      <c r="B29" s="1266">
        <v>205</v>
      </c>
      <c r="C29" s="324"/>
      <c r="D29" s="324"/>
      <c r="E29" s="324"/>
      <c r="F29" s="324"/>
    </row>
    <row r="30" spans="1:6">
      <c r="A30" s="1259" t="s">
        <v>658</v>
      </c>
      <c r="B30" s="1267">
        <v>53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9</v>
      </c>
      <c r="D36" s="1265">
        <v>1541812.6436674199</v>
      </c>
      <c r="E36" s="1265">
        <v>26</v>
      </c>
      <c r="F36" s="1265">
        <v>1486677.9800380301</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16486</v>
      </c>
    </row>
    <row r="39" spans="1:6">
      <c r="A39" s="1264" t="s">
        <v>29</v>
      </c>
      <c r="B39" s="1264" t="s">
        <v>30</v>
      </c>
      <c r="C39" s="1265">
        <v>26032</v>
      </c>
      <c r="D39" s="1265">
        <v>359205939.55939001</v>
      </c>
      <c r="E39" s="1265">
        <v>32536</v>
      </c>
      <c r="F39" s="1265">
        <v>101008815.02905199</v>
      </c>
    </row>
    <row r="40" spans="1:6">
      <c r="A40" s="1264" t="s">
        <v>29</v>
      </c>
      <c r="B40" s="1264" t="s">
        <v>28</v>
      </c>
      <c r="C40" s="1265">
        <v>0</v>
      </c>
      <c r="D40" s="1265">
        <v>0</v>
      </c>
      <c r="E40" s="1265">
        <v>1</v>
      </c>
      <c r="F40" s="1265">
        <v>72.922015049199999</v>
      </c>
    </row>
    <row r="41" spans="1:6">
      <c r="A41" s="1264" t="s">
        <v>31</v>
      </c>
      <c r="B41" s="1264" t="s">
        <v>32</v>
      </c>
      <c r="C41" s="1265">
        <v>544</v>
      </c>
      <c r="D41" s="1265">
        <v>20287011.069370799</v>
      </c>
      <c r="E41" s="1265">
        <v>986</v>
      </c>
      <c r="F41" s="1265">
        <v>17058281.3904754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55</v>
      </c>
      <c r="D44" s="1265">
        <v>25175832.3601459</v>
      </c>
      <c r="E44" s="1265">
        <v>123</v>
      </c>
      <c r="F44" s="1265">
        <v>47818273.158782698</v>
      </c>
    </row>
    <row r="45" spans="1:6">
      <c r="A45" s="1264" t="s">
        <v>31</v>
      </c>
      <c r="B45" s="1264" t="s">
        <v>36</v>
      </c>
      <c r="C45" s="1265">
        <v>15</v>
      </c>
      <c r="D45" s="1265">
        <v>108130319.015073</v>
      </c>
      <c r="E45" s="1265">
        <v>24</v>
      </c>
      <c r="F45" s="1265">
        <v>16888577.830274001</v>
      </c>
    </row>
    <row r="46" spans="1:6">
      <c r="A46" s="1264" t="s">
        <v>31</v>
      </c>
      <c r="B46" s="1264" t="s">
        <v>37</v>
      </c>
      <c r="C46" s="1265">
        <v>0</v>
      </c>
      <c r="D46" s="1265">
        <v>0</v>
      </c>
      <c r="E46" s="1265">
        <v>6</v>
      </c>
      <c r="F46" s="1265">
        <v>3604759.8542928901</v>
      </c>
    </row>
    <row r="47" spans="1:6">
      <c r="A47" s="1264" t="s">
        <v>31</v>
      </c>
      <c r="B47" s="1264" t="s">
        <v>38</v>
      </c>
      <c r="C47" s="1265">
        <v>36</v>
      </c>
      <c r="D47" s="1265">
        <v>14002138.2828157</v>
      </c>
      <c r="E47" s="1265">
        <v>42</v>
      </c>
      <c r="F47" s="1265">
        <v>13557389.562350599</v>
      </c>
    </row>
    <row r="48" spans="1:6">
      <c r="A48" s="1264" t="s">
        <v>31</v>
      </c>
      <c r="B48" s="1264" t="s">
        <v>28</v>
      </c>
      <c r="C48" s="1265">
        <v>5</v>
      </c>
      <c r="D48" s="1265">
        <v>41812.850000852697</v>
      </c>
      <c r="E48" s="1265">
        <v>4</v>
      </c>
      <c r="F48" s="1265">
        <v>5059.5240934694002</v>
      </c>
    </row>
    <row r="49" spans="1:6">
      <c r="A49" s="1264" t="s">
        <v>31</v>
      </c>
      <c r="B49" s="1264" t="s">
        <v>39</v>
      </c>
      <c r="C49" s="1265">
        <v>32</v>
      </c>
      <c r="D49" s="1265">
        <v>2458474.6890709801</v>
      </c>
      <c r="E49" s="1265">
        <v>47</v>
      </c>
      <c r="F49" s="1265">
        <v>3270489.2805457101</v>
      </c>
    </row>
    <row r="50" spans="1:6">
      <c r="A50" s="1264" t="s">
        <v>31</v>
      </c>
      <c r="B50" s="1264" t="s">
        <v>40</v>
      </c>
      <c r="C50" s="1265">
        <v>58</v>
      </c>
      <c r="D50" s="1265">
        <v>20660237.536283299</v>
      </c>
      <c r="E50" s="1265">
        <v>88</v>
      </c>
      <c r="F50" s="1265">
        <v>11879697.2738338</v>
      </c>
    </row>
    <row r="51" spans="1:6">
      <c r="A51" s="1264" t="s">
        <v>41</v>
      </c>
      <c r="B51" s="1264" t="s">
        <v>42</v>
      </c>
      <c r="C51" s="1265">
        <v>25</v>
      </c>
      <c r="D51" s="1265">
        <v>841913.83385536796</v>
      </c>
      <c r="E51" s="1265">
        <v>134</v>
      </c>
      <c r="F51" s="1265">
        <v>2878674.161634</v>
      </c>
    </row>
    <row r="52" spans="1:6">
      <c r="A52" s="1264" t="s">
        <v>41</v>
      </c>
      <c r="B52" s="1264" t="s">
        <v>28</v>
      </c>
      <c r="C52" s="1265">
        <v>0</v>
      </c>
      <c r="D52" s="1265">
        <v>0</v>
      </c>
      <c r="E52" s="1265">
        <v>0</v>
      </c>
      <c r="F52" s="1265">
        <v>0</v>
      </c>
    </row>
    <row r="53" spans="1:6">
      <c r="A53" s="1264" t="s">
        <v>43</v>
      </c>
      <c r="B53" s="1264" t="s">
        <v>44</v>
      </c>
      <c r="C53" s="1265">
        <v>835</v>
      </c>
      <c r="D53" s="1265">
        <v>15942155.803374199</v>
      </c>
      <c r="E53" s="1265">
        <v>1324</v>
      </c>
      <c r="F53" s="1265">
        <v>4577570.1655754698</v>
      </c>
    </row>
    <row r="54" spans="1:6">
      <c r="A54" s="1264" t="s">
        <v>45</v>
      </c>
      <c r="B54" s="1264" t="s">
        <v>46</v>
      </c>
      <c r="C54" s="1265">
        <v>0</v>
      </c>
      <c r="D54" s="1265">
        <v>0</v>
      </c>
      <c r="E54" s="1265">
        <v>2</v>
      </c>
      <c r="F54" s="1265">
        <v>6011193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387</v>
      </c>
      <c r="D57" s="1265">
        <v>33157589.346671298</v>
      </c>
      <c r="E57" s="1265">
        <v>578</v>
      </c>
      <c r="F57" s="1265">
        <v>19902312.6625221</v>
      </c>
    </row>
    <row r="58" spans="1:6">
      <c r="A58" s="1264" t="s">
        <v>48</v>
      </c>
      <c r="B58" s="1264" t="s">
        <v>50</v>
      </c>
      <c r="C58" s="1265">
        <v>443</v>
      </c>
      <c r="D58" s="1265">
        <v>54955369.494237401</v>
      </c>
      <c r="E58" s="1265">
        <v>572</v>
      </c>
      <c r="F58" s="1265">
        <v>30414780.137228001</v>
      </c>
    </row>
    <row r="59" spans="1:6">
      <c r="A59" s="1264" t="s">
        <v>48</v>
      </c>
      <c r="B59" s="1264" t="s">
        <v>51</v>
      </c>
      <c r="C59" s="1265">
        <v>865</v>
      </c>
      <c r="D59" s="1265">
        <v>33076918.871310201</v>
      </c>
      <c r="E59" s="1265">
        <v>1502</v>
      </c>
      <c r="F59" s="1265">
        <v>47015718.9917114</v>
      </c>
    </row>
    <row r="60" spans="1:6">
      <c r="A60" s="1264" t="s">
        <v>48</v>
      </c>
      <c r="B60" s="1264" t="s">
        <v>52</v>
      </c>
      <c r="C60" s="1265">
        <v>477</v>
      </c>
      <c r="D60" s="1265">
        <v>34772811.830742799</v>
      </c>
      <c r="E60" s="1265">
        <v>567</v>
      </c>
      <c r="F60" s="1265">
        <v>18675918.9563586</v>
      </c>
    </row>
    <row r="61" spans="1:6">
      <c r="A61" s="1264" t="s">
        <v>48</v>
      </c>
      <c r="B61" s="1264" t="s">
        <v>53</v>
      </c>
      <c r="C61" s="1265">
        <v>1655</v>
      </c>
      <c r="D61" s="1265">
        <v>74051069.80212</v>
      </c>
      <c r="E61" s="1265">
        <v>3223</v>
      </c>
      <c r="F61" s="1265">
        <v>59794413.377663501</v>
      </c>
    </row>
    <row r="62" spans="1:6">
      <c r="A62" s="1264" t="s">
        <v>48</v>
      </c>
      <c r="B62" s="1264" t="s">
        <v>54</v>
      </c>
      <c r="C62" s="1265">
        <v>103</v>
      </c>
      <c r="D62" s="1265">
        <v>18351571.2327695</v>
      </c>
      <c r="E62" s="1265">
        <v>153</v>
      </c>
      <c r="F62" s="1265">
        <v>9388457.6323364507</v>
      </c>
    </row>
    <row r="63" spans="1:6">
      <c r="A63" s="1264" t="s">
        <v>48</v>
      </c>
      <c r="B63" s="1264" t="s">
        <v>28</v>
      </c>
      <c r="C63" s="1265">
        <v>0</v>
      </c>
      <c r="D63" s="1265">
        <v>0</v>
      </c>
      <c r="E63" s="1265">
        <v>3</v>
      </c>
      <c r="F63" s="1265">
        <v>57237.822</v>
      </c>
    </row>
    <row r="64" spans="1:6">
      <c r="A64" s="1264" t="s">
        <v>55</v>
      </c>
      <c r="B64" s="1264" t="s">
        <v>56</v>
      </c>
      <c r="C64" s="1265">
        <v>0</v>
      </c>
      <c r="D64" s="1265">
        <v>0</v>
      </c>
      <c r="E64" s="1265">
        <v>0</v>
      </c>
      <c r="F64" s="1265">
        <v>0</v>
      </c>
    </row>
    <row r="65" spans="1:6">
      <c r="A65" s="1264" t="s">
        <v>55</v>
      </c>
      <c r="B65" s="1264" t="s">
        <v>28</v>
      </c>
      <c r="C65" s="1265">
        <v>3</v>
      </c>
      <c r="D65" s="1265">
        <v>1698408.82055191</v>
      </c>
      <c r="E65" s="1265">
        <v>2</v>
      </c>
      <c r="F65" s="1265">
        <v>117471.35825645601</v>
      </c>
    </row>
    <row r="66" spans="1:6">
      <c r="A66" s="1264" t="s">
        <v>55</v>
      </c>
      <c r="B66" s="1264" t="s">
        <v>57</v>
      </c>
      <c r="C66" s="1265">
        <v>6</v>
      </c>
      <c r="D66" s="1265">
        <v>920696.97742096905</v>
      </c>
      <c r="E66" s="1265">
        <v>69</v>
      </c>
      <c r="F66" s="1265">
        <v>2640391.8359420099</v>
      </c>
    </row>
    <row r="67" spans="1:6">
      <c r="A67" s="1264" t="s">
        <v>55</v>
      </c>
      <c r="B67" s="1264" t="s">
        <v>58</v>
      </c>
      <c r="C67" s="1265">
        <v>0</v>
      </c>
      <c r="D67" s="1265">
        <v>0</v>
      </c>
      <c r="E67" s="1265">
        <v>0</v>
      </c>
      <c r="F67" s="1265">
        <v>0</v>
      </c>
    </row>
    <row r="68" spans="1:6">
      <c r="A68" s="1259" t="s">
        <v>55</v>
      </c>
      <c r="B68" s="1259" t="s">
        <v>59</v>
      </c>
      <c r="C68" s="1267">
        <v>21</v>
      </c>
      <c r="D68" s="1267">
        <v>544202.94377178699</v>
      </c>
      <c r="E68" s="1267">
        <v>44</v>
      </c>
      <c r="F68" s="1267">
        <v>462359.530075652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224607138</v>
      </c>
      <c r="E73" s="443"/>
      <c r="F73" s="324"/>
    </row>
    <row r="74" spans="1:6">
      <c r="A74" s="1264" t="s">
        <v>63</v>
      </c>
      <c r="B74" s="1264" t="s">
        <v>608</v>
      </c>
      <c r="C74" s="1277" t="s">
        <v>610</v>
      </c>
      <c r="D74" s="1265">
        <v>28157609.229051869</v>
      </c>
      <c r="E74" s="443"/>
      <c r="F74" s="324"/>
    </row>
    <row r="75" spans="1:6">
      <c r="A75" s="1264" t="s">
        <v>64</v>
      </c>
      <c r="B75" s="1264" t="s">
        <v>607</v>
      </c>
      <c r="C75" s="1277" t="s">
        <v>611</v>
      </c>
      <c r="D75" s="1265">
        <v>86030525</v>
      </c>
      <c r="E75" s="443"/>
      <c r="F75" s="324"/>
    </row>
    <row r="76" spans="1:6">
      <c r="A76" s="1264" t="s">
        <v>64</v>
      </c>
      <c r="B76" s="1264" t="s">
        <v>608</v>
      </c>
      <c r="C76" s="1277" t="s">
        <v>612</v>
      </c>
      <c r="D76" s="1265">
        <v>2478510.2290518703</v>
      </c>
      <c r="E76" s="443"/>
      <c r="F76" s="324"/>
    </row>
    <row r="77" spans="1:6">
      <c r="A77" s="1264" t="s">
        <v>65</v>
      </c>
      <c r="B77" s="1264" t="s">
        <v>607</v>
      </c>
      <c r="C77" s="1277" t="s">
        <v>613</v>
      </c>
      <c r="D77" s="1265">
        <v>264496607</v>
      </c>
      <c r="E77" s="443"/>
      <c r="F77" s="324"/>
    </row>
    <row r="78" spans="1:6">
      <c r="A78" s="1259" t="s">
        <v>65</v>
      </c>
      <c r="B78" s="1259" t="s">
        <v>608</v>
      </c>
      <c r="C78" s="1259" t="s">
        <v>614</v>
      </c>
      <c r="D78" s="1267">
        <v>76113371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2876215.5418962599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11190.43567878051</v>
      </c>
      <c r="C90" s="324"/>
      <c r="D90" s="324"/>
      <c r="E90" s="324"/>
      <c r="F90" s="324"/>
    </row>
    <row r="91" spans="1:6">
      <c r="A91" s="1264" t="s">
        <v>67</v>
      </c>
      <c r="B91" s="1265">
        <v>15977.045211056566</v>
      </c>
      <c r="C91" s="324"/>
      <c r="D91" s="324"/>
      <c r="E91" s="324"/>
      <c r="F91" s="324"/>
    </row>
    <row r="92" spans="1:6">
      <c r="A92" s="1259" t="s">
        <v>68</v>
      </c>
      <c r="B92" s="1260">
        <v>12533.267717433275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19024</v>
      </c>
      <c r="C97" s="324"/>
      <c r="D97" s="324"/>
      <c r="E97" s="324"/>
      <c r="F97" s="324"/>
    </row>
    <row r="98" spans="1:6">
      <c r="A98" s="1264" t="s">
        <v>71</v>
      </c>
      <c r="B98" s="1265">
        <v>7</v>
      </c>
      <c r="C98" s="324"/>
      <c r="D98" s="324"/>
      <c r="E98" s="324"/>
      <c r="F98" s="324"/>
    </row>
    <row r="99" spans="1:6">
      <c r="A99" s="1264" t="s">
        <v>72</v>
      </c>
      <c r="B99" s="1265">
        <v>196</v>
      </c>
      <c r="C99" s="324"/>
      <c r="D99" s="324"/>
      <c r="E99" s="324"/>
      <c r="F99" s="324"/>
    </row>
    <row r="100" spans="1:6">
      <c r="A100" s="1264" t="s">
        <v>73</v>
      </c>
      <c r="B100" s="1265">
        <v>2575</v>
      </c>
      <c r="C100" s="324"/>
      <c r="D100" s="324"/>
      <c r="E100" s="324"/>
      <c r="F100" s="324"/>
    </row>
    <row r="101" spans="1:6">
      <c r="A101" s="1264" t="s">
        <v>74</v>
      </c>
      <c r="B101" s="1265">
        <v>278</v>
      </c>
      <c r="C101" s="324"/>
      <c r="D101" s="324"/>
      <c r="E101" s="324"/>
      <c r="F101" s="324"/>
    </row>
    <row r="102" spans="1:6">
      <c r="A102" s="1264" t="s">
        <v>75</v>
      </c>
      <c r="B102" s="1265">
        <v>715</v>
      </c>
      <c r="C102" s="324"/>
      <c r="D102" s="324"/>
      <c r="E102" s="324"/>
      <c r="F102" s="324"/>
    </row>
    <row r="103" spans="1:6">
      <c r="A103" s="1264" t="s">
        <v>76</v>
      </c>
      <c r="B103" s="1265">
        <v>618</v>
      </c>
      <c r="C103" s="324"/>
      <c r="D103" s="324"/>
      <c r="E103" s="324"/>
      <c r="F103" s="324"/>
    </row>
    <row r="104" spans="1:6">
      <c r="A104" s="1264" t="s">
        <v>77</v>
      </c>
      <c r="B104" s="1265">
        <v>6763</v>
      </c>
      <c r="C104" s="324"/>
      <c r="D104" s="324"/>
      <c r="E104" s="324"/>
      <c r="F104" s="324"/>
    </row>
    <row r="105" spans="1:6">
      <c r="A105" s="1259" t="s">
        <v>78</v>
      </c>
      <c r="B105" s="1267">
        <v>22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2</v>
      </c>
      <c r="C121" s="1265">
        <v>0</v>
      </c>
      <c r="D121" s="324"/>
      <c r="E121" s="324"/>
      <c r="F121" s="324"/>
    </row>
    <row r="122" spans="1:6">
      <c r="A122" s="1264" t="s">
        <v>86</v>
      </c>
      <c r="B122" s="1265">
        <v>0</v>
      </c>
      <c r="C122" s="1265">
        <v>0</v>
      </c>
      <c r="D122" s="324"/>
      <c r="E122" s="324"/>
      <c r="F122" s="324"/>
    </row>
    <row r="123" spans="1:6">
      <c r="A123" s="1264" t="s">
        <v>87</v>
      </c>
      <c r="B123" s="1265">
        <v>107</v>
      </c>
      <c r="C123" s="1265">
        <v>116</v>
      </c>
      <c r="D123" s="324"/>
      <c r="E123" s="324"/>
      <c r="F123" s="324"/>
    </row>
    <row r="124" spans="1:6">
      <c r="A124" s="1264" t="s">
        <v>88</v>
      </c>
      <c r="B124" s="1265">
        <v>5</v>
      </c>
      <c r="C124" s="1265">
        <v>8</v>
      </c>
      <c r="D124" s="324"/>
      <c r="E124" s="324"/>
      <c r="F124" s="324"/>
    </row>
    <row r="125" spans="1:6">
      <c r="A125" s="1259" t="s">
        <v>793</v>
      </c>
      <c r="B125" s="1265">
        <v>1</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645</v>
      </c>
      <c r="C129" s="324"/>
      <c r="D129" s="324"/>
      <c r="E129" s="324"/>
      <c r="F129" s="324"/>
    </row>
    <row r="130" spans="1:6">
      <c r="A130" s="1264" t="s">
        <v>284</v>
      </c>
      <c r="B130" s="1265">
        <v>16</v>
      </c>
      <c r="C130" s="324"/>
      <c r="D130" s="324"/>
      <c r="E130" s="324"/>
      <c r="F130" s="324"/>
    </row>
    <row r="131" spans="1:6">
      <c r="A131" s="1264" t="s">
        <v>285</v>
      </c>
      <c r="B131" s="1265">
        <v>14</v>
      </c>
      <c r="C131" s="324"/>
      <c r="D131" s="324"/>
      <c r="E131" s="324"/>
      <c r="F131" s="324"/>
    </row>
    <row r="132" spans="1:6">
      <c r="A132" s="1259" t="s">
        <v>286</v>
      </c>
      <c r="B132" s="1260">
        <v>42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434704.69620821258</v>
      </c>
      <c r="C3" s="43" t="s">
        <v>163</v>
      </c>
      <c r="D3" s="43"/>
      <c r="E3" s="153"/>
      <c r="F3" s="43"/>
      <c r="G3" s="43"/>
      <c r="H3" s="43"/>
      <c r="I3" s="43"/>
      <c r="J3" s="43"/>
      <c r="K3" s="96"/>
    </row>
    <row r="4" spans="1:11">
      <c r="A4" s="350" t="s">
        <v>164</v>
      </c>
      <c r="B4" s="49">
        <f>IF(ISERROR('SEAP template'!B78+'SEAP template'!C78),0,'SEAP template'!B78+'SEAP template'!C78)</f>
        <v>43554.998607270347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915.95117647058839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0.20096409150462816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1308.501680672269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5506.0714285714284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6011.1930000000002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6011.1930000000002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0.20096409150462816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1208.0339401039803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101008.88795106705</v>
      </c>
      <c r="C5" s="17">
        <f>IF(ISERROR('Eigen informatie GS &amp; warmtenet'!B59),0,'Eigen informatie GS &amp; warmtenet'!B59)</f>
        <v>0</v>
      </c>
      <c r="D5" s="30">
        <f>(SUM(HH_hh_gas_kWh,HH_rest_gas_kWh)/1000)*0.903</f>
        <v>324362.96342212916</v>
      </c>
      <c r="E5" s="17">
        <f>B32*B41</f>
        <v>6430.6873258409105</v>
      </c>
      <c r="F5" s="17">
        <f>B36*B45</f>
        <v>105384.05843132413</v>
      </c>
      <c r="G5" s="18"/>
      <c r="H5" s="17"/>
      <c r="I5" s="17"/>
      <c r="J5" s="17">
        <f>B35*B44+C35*C44</f>
        <v>581.66718605866038</v>
      </c>
      <c r="K5" s="17"/>
      <c r="L5" s="17"/>
      <c r="M5" s="17"/>
      <c r="N5" s="17">
        <f>B34*B43+C34*C43</f>
        <v>39641.448913439512</v>
      </c>
      <c r="O5" s="17">
        <f>B52*B53*B54</f>
        <v>1525.6638707086274</v>
      </c>
      <c r="P5" s="17">
        <f>B60*B61*B62/1000-B60*B61*B62/1000/B63</f>
        <v>1622.2297333834936</v>
      </c>
    </row>
    <row r="6" spans="1:16">
      <c r="A6" s="16" t="s">
        <v>573</v>
      </c>
      <c r="B6" s="739">
        <f>kWh_PV_kleiner_dan_10kW</f>
        <v>15977.045211056566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116985.93316212362</v>
      </c>
      <c r="C8" s="21">
        <f>C5</f>
        <v>0</v>
      </c>
      <c r="D8" s="21">
        <f>D5</f>
        <v>324362.96342212916</v>
      </c>
      <c r="E8" s="21">
        <f>E5</f>
        <v>6430.6873258409105</v>
      </c>
      <c r="F8" s="21">
        <f>F5</f>
        <v>105384.05843132413</v>
      </c>
      <c r="G8" s="21"/>
      <c r="H8" s="21"/>
      <c r="I8" s="21"/>
      <c r="J8" s="21">
        <f>J5</f>
        <v>581.66718605866038</v>
      </c>
      <c r="K8" s="21"/>
      <c r="L8" s="21">
        <f>L5</f>
        <v>0</v>
      </c>
      <c r="M8" s="21">
        <f>M5</f>
        <v>0</v>
      </c>
      <c r="N8" s="21">
        <f>N5</f>
        <v>39641.448913439512</v>
      </c>
      <c r="O8" s="21">
        <f>O5</f>
        <v>1525.6638707086274</v>
      </c>
      <c r="P8" s="21">
        <f>P5</f>
        <v>1622.2297333834936</v>
      </c>
    </row>
    <row r="9" spans="1:16">
      <c r="B9" s="19"/>
      <c r="C9" s="19"/>
      <c r="D9" s="253"/>
      <c r="E9" s="19"/>
      <c r="F9" s="19"/>
      <c r="G9" s="19"/>
      <c r="H9" s="19"/>
      <c r="I9" s="19"/>
      <c r="J9" s="19"/>
      <c r="K9" s="19"/>
      <c r="L9" s="19"/>
      <c r="M9" s="19"/>
      <c r="N9" s="19"/>
      <c r="O9" s="19"/>
      <c r="P9" s="19"/>
    </row>
    <row r="10" spans="1:16">
      <c r="A10" s="24" t="s">
        <v>207</v>
      </c>
      <c r="B10" s="25">
        <f ca="1">'EF ele_warmte'!B12</f>
        <v>0.20096409150462816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23509.971776747323</v>
      </c>
      <c r="C12" s="23">
        <f ca="1">C10*C8</f>
        <v>0</v>
      </c>
      <c r="D12" s="23">
        <f>D8*D10</f>
        <v>65521.318611270093</v>
      </c>
      <c r="E12" s="23">
        <f>E10*E8</f>
        <v>1459.7660229658868</v>
      </c>
      <c r="F12" s="23">
        <f>F10*F8</f>
        <v>28137.543601163543</v>
      </c>
      <c r="G12" s="23"/>
      <c r="H12" s="23"/>
      <c r="I12" s="23"/>
      <c r="J12" s="23">
        <f>J10*J8</f>
        <v>205.91018386476577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33109</v>
      </c>
      <c r="C26" s="36"/>
      <c r="D26" s="224"/>
    </row>
    <row r="27" spans="1:5" s="15" customFormat="1">
      <c r="A27" s="226" t="s">
        <v>784</v>
      </c>
      <c r="B27" s="37">
        <f>SUM(HH_hh_gas_aantal,HH_rest_gas_aantal)</f>
        <v>26032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24730.400000000001</v>
      </c>
      <c r="C31" s="34" t="s">
        <v>104</v>
      </c>
      <c r="D31" s="170"/>
    </row>
    <row r="32" spans="1:5">
      <c r="A32" s="167" t="s">
        <v>72</v>
      </c>
      <c r="B32" s="33">
        <f>IF((B21*($B$26-($B$27-0.05*$B$27)-$B$60))&lt;0,0,B21*($B$26-($B$27-0.05*$B$27)-$B$60))</f>
        <v>126.86414399255649</v>
      </c>
      <c r="C32" s="34" t="s">
        <v>104</v>
      </c>
      <c r="D32" s="170"/>
    </row>
    <row r="33" spans="1:6">
      <c r="A33" s="167" t="s">
        <v>73</v>
      </c>
      <c r="B33" s="33">
        <f>IF((B22*($B$26-($B$27-0.05*$B$27)-$B$60))&lt;0,0,B22*($B$26-($B$27-0.05*$B$27)-$B$60))</f>
        <v>2060.0224412441694</v>
      </c>
      <c r="C33" s="34" t="s">
        <v>104</v>
      </c>
      <c r="D33" s="170"/>
    </row>
    <row r="34" spans="1:6">
      <c r="A34" s="167" t="s">
        <v>74</v>
      </c>
      <c r="B34" s="33">
        <f>IF((B24*($B$26-($B$27-0.05*$B$27)-$B$60))&lt;0,0,B24*($B$26-($B$27-0.05*$B$27)-$B$60))</f>
        <v>900.7639119686977</v>
      </c>
      <c r="C34" s="33">
        <f>B26*C24</f>
        <v>5562.3097423829868</v>
      </c>
      <c r="D34" s="229"/>
    </row>
    <row r="35" spans="1:6">
      <c r="A35" s="167" t="s">
        <v>76</v>
      </c>
      <c r="B35" s="33">
        <f>IF((B19*($B$26-($B$27-0.05*$B$27)-$B$60))&lt;0,0,B19*($B$26-($B$27-0.05*$B$27)-$B$60))</f>
        <v>55.14754094116649</v>
      </c>
      <c r="C35" s="33">
        <f>B35/2</f>
        <v>27.573770470583245</v>
      </c>
      <c r="D35" s="229"/>
    </row>
    <row r="36" spans="1:6">
      <c r="A36" s="167" t="s">
        <v>77</v>
      </c>
      <c r="B36" s="33">
        <f>IF((B18*($B$26-($B$27-0.05*$B$27)-$B$60))&lt;0,0,B18*($B$26-($B$27-0.05*$B$27)-$B$60))</f>
        <v>5081.8019618534063</v>
      </c>
      <c r="C36" s="34" t="s">
        <v>104</v>
      </c>
      <c r="D36" s="170"/>
    </row>
    <row r="37" spans="1:6">
      <c r="A37" s="167" t="s">
        <v>78</v>
      </c>
      <c r="B37" s="33">
        <f>B60</f>
        <v>154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769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185248.83957982005</v>
      </c>
      <c r="C5" s="17">
        <f>IF(ISERROR('Eigen informatie GS &amp; warmtenet'!B60),0,'Eigen informatie GS &amp; warmtenet'!B60)</f>
        <v>0</v>
      </c>
      <c r="D5" s="30">
        <f>SUM(D6:D12)</f>
        <v>224273.89351179963</v>
      </c>
      <c r="E5" s="17">
        <f>SUM(E6:E12)</f>
        <v>466.6004076768707</v>
      </c>
      <c r="F5" s="17">
        <f>SUM(F6:F12)</f>
        <v>34427.860498696355</v>
      </c>
      <c r="G5" s="18"/>
      <c r="H5" s="17"/>
      <c r="I5" s="17"/>
      <c r="J5" s="17">
        <f>SUM(J6:J12)</f>
        <v>0.19666732992570657</v>
      </c>
      <c r="K5" s="17"/>
      <c r="L5" s="17"/>
      <c r="M5" s="17"/>
      <c r="N5" s="17">
        <f>SUM(N6:N12)</f>
        <v>7120.8420850162538</v>
      </c>
      <c r="O5" s="17">
        <f>B38*B39*B40</f>
        <v>78.356172253458467</v>
      </c>
      <c r="P5" s="17">
        <f>B46*B47*B48/1000-B46*B47*B48/1000/B49</f>
        <v>893.16535121041511</v>
      </c>
      <c r="R5" s="32"/>
    </row>
    <row r="6" spans="1:18">
      <c r="A6" s="32" t="s">
        <v>53</v>
      </c>
      <c r="B6" s="37">
        <f>B26</f>
        <v>59794.413377663499</v>
      </c>
      <c r="C6" s="33"/>
      <c r="D6" s="37">
        <f>IF(ISERROR(TER_kantoor_gas_kWh/1000),0,TER_kantoor_gas_kWh/1000)*0.903</f>
        <v>66868.116031314363</v>
      </c>
      <c r="E6" s="33">
        <f>$C$26*'E Balans VL '!I12/100/3.6*1000000</f>
        <v>14.542424531081329</v>
      </c>
      <c r="F6" s="33">
        <f>$C$26*('E Balans VL '!L12+'E Balans VL '!N12)/100/3.6*1000000</f>
        <v>5725.6937073524568</v>
      </c>
      <c r="G6" s="34"/>
      <c r="H6" s="33"/>
      <c r="I6" s="33"/>
      <c r="J6" s="33">
        <f>$C$26*('E Balans VL '!D12+'E Balans VL '!E12)/100/3.6*1000000</f>
        <v>0</v>
      </c>
      <c r="K6" s="33"/>
      <c r="L6" s="33"/>
      <c r="M6" s="33"/>
      <c r="N6" s="33">
        <f>$C$26*'E Balans VL '!Y12/100/3.6*1000000</f>
        <v>30.356069908507575</v>
      </c>
      <c r="O6" s="33"/>
      <c r="P6" s="33"/>
      <c r="R6" s="32"/>
    </row>
    <row r="7" spans="1:18">
      <c r="A7" s="32" t="s">
        <v>52</v>
      </c>
      <c r="B7" s="37">
        <f t="shared" ref="B7:B12" si="0">B27</f>
        <v>18675.918956358601</v>
      </c>
      <c r="C7" s="33"/>
      <c r="D7" s="37">
        <f>IF(ISERROR(TER_horeca_gas_kWh/1000),0,TER_horeca_gas_kWh/1000)*0.903</f>
        <v>31399.849083160749</v>
      </c>
      <c r="E7" s="33">
        <f>$C$27*'E Balans VL '!I9/100/3.6*1000000</f>
        <v>0</v>
      </c>
      <c r="F7" s="33">
        <f>$C$27*('E Balans VL '!L9+'E Balans VL '!N9)/100/3.6*1000000</f>
        <v>1531.7818599104542</v>
      </c>
      <c r="G7" s="34"/>
      <c r="H7" s="33"/>
      <c r="I7" s="33"/>
      <c r="J7" s="33">
        <f>$C$27*('E Balans VL '!D9+'E Balans VL '!E9)/100/3.6*1000000</f>
        <v>0</v>
      </c>
      <c r="K7" s="33"/>
      <c r="L7" s="33"/>
      <c r="M7" s="33"/>
      <c r="N7" s="33">
        <f>$C$27*'E Balans VL '!Y9/100/3.6*1000000</f>
        <v>122.65973514042727</v>
      </c>
      <c r="O7" s="33"/>
      <c r="P7" s="33"/>
      <c r="R7" s="32"/>
    </row>
    <row r="8" spans="1:18">
      <c r="A8" s="6" t="s">
        <v>51</v>
      </c>
      <c r="B8" s="37">
        <f t="shared" si="0"/>
        <v>47015.718991711401</v>
      </c>
      <c r="C8" s="33"/>
      <c r="D8" s="37">
        <f>IF(ISERROR(TER_handel_gas_kWh/1000),0,TER_handel_gas_kWh/1000)*0.903</f>
        <v>29868.45774079311</v>
      </c>
      <c r="E8" s="33">
        <f>$C$28*'E Balans VL '!I13/100/3.6*1000000</f>
        <v>166.20300229845716</v>
      </c>
      <c r="F8" s="33">
        <f>$C$28*('E Balans VL '!L13+'E Balans VL '!N13)/100/3.6*1000000</f>
        <v>4329.1419802806804</v>
      </c>
      <c r="G8" s="34"/>
      <c r="H8" s="33"/>
      <c r="I8" s="33"/>
      <c r="J8" s="33">
        <f>$C$28*('E Balans VL '!D13+'E Balans VL '!E13)/100/3.6*1000000</f>
        <v>0</v>
      </c>
      <c r="K8" s="33"/>
      <c r="L8" s="33"/>
      <c r="M8" s="33"/>
      <c r="N8" s="33">
        <f>$C$28*'E Balans VL '!Y13/100/3.6*1000000</f>
        <v>17.027069316343979</v>
      </c>
      <c r="O8" s="33"/>
      <c r="P8" s="33"/>
      <c r="R8" s="32"/>
    </row>
    <row r="9" spans="1:18">
      <c r="A9" s="32" t="s">
        <v>50</v>
      </c>
      <c r="B9" s="37">
        <f t="shared" si="0"/>
        <v>30414.780137228001</v>
      </c>
      <c r="C9" s="33"/>
      <c r="D9" s="37">
        <f>IF(ISERROR(TER_gezond_gas_kWh/1000),0,TER_gezond_gas_kWh/1000)*0.903</f>
        <v>49624.698653296371</v>
      </c>
      <c r="E9" s="33">
        <f>$C$29*'E Balans VL '!I10/100/3.6*1000000</f>
        <v>0</v>
      </c>
      <c r="F9" s="33">
        <f>$C$29*('E Balans VL '!L10+'E Balans VL '!N10)/100/3.6*1000000</f>
        <v>3736.3315672465719</v>
      </c>
      <c r="G9" s="34"/>
      <c r="H9" s="33"/>
      <c r="I9" s="33"/>
      <c r="J9" s="33">
        <f>$C$29*('E Balans VL '!D10+'E Balans VL '!E10)/100/3.6*1000000</f>
        <v>0</v>
      </c>
      <c r="K9" s="33"/>
      <c r="L9" s="33"/>
      <c r="M9" s="33"/>
      <c r="N9" s="33">
        <f>$C$29*'E Balans VL '!Y10/100/3.6*1000000</f>
        <v>224.28780882545246</v>
      </c>
      <c r="O9" s="33"/>
      <c r="P9" s="33"/>
      <c r="R9" s="32"/>
    </row>
    <row r="10" spans="1:18">
      <c r="A10" s="32" t="s">
        <v>49</v>
      </c>
      <c r="B10" s="37">
        <f t="shared" si="0"/>
        <v>19902.312662522101</v>
      </c>
      <c r="C10" s="33"/>
      <c r="D10" s="37">
        <f>IF(ISERROR(TER_ander_gas_kWh/1000),0,TER_ander_gas_kWh/1000)*0.903</f>
        <v>29941.303180044179</v>
      </c>
      <c r="E10" s="33">
        <f>$C$30*'E Balans VL '!I14/100/3.6*1000000</f>
        <v>285.62690077159147</v>
      </c>
      <c r="F10" s="33">
        <f>$C$30*('E Balans VL '!L14+'E Balans VL '!N14)/100/3.6*1000000</f>
        <v>17992.320765428689</v>
      </c>
      <c r="G10" s="34"/>
      <c r="H10" s="33"/>
      <c r="I10" s="33"/>
      <c r="J10" s="33">
        <f>$C$30*('E Balans VL '!D14+'E Balans VL '!E14)/100/3.6*1000000</f>
        <v>0.19655165957051171</v>
      </c>
      <c r="K10" s="33"/>
      <c r="L10" s="33"/>
      <c r="M10" s="33"/>
      <c r="N10" s="33">
        <f>$C$30*'E Balans VL '!Y14/100/3.6*1000000</f>
        <v>6696.0375625166043</v>
      </c>
      <c r="O10" s="33"/>
      <c r="P10" s="33"/>
      <c r="R10" s="32"/>
    </row>
    <row r="11" spans="1:18">
      <c r="A11" s="32" t="s">
        <v>54</v>
      </c>
      <c r="B11" s="37">
        <f t="shared" si="0"/>
        <v>9388.4576323364508</v>
      </c>
      <c r="C11" s="33"/>
      <c r="D11" s="37">
        <f>IF(ISERROR(TER_onderwijs_gas_kWh/1000),0,TER_onderwijs_gas_kWh/1000)*0.903</f>
        <v>16571.468823190859</v>
      </c>
      <c r="E11" s="33">
        <f>$C$31*'E Balans VL '!I11/100/3.6*1000000</f>
        <v>0</v>
      </c>
      <c r="F11" s="33">
        <f>$C$31*('E Balans VL '!L11+'E Balans VL '!N11)/100/3.6*1000000</f>
        <v>1097.6224988490628</v>
      </c>
      <c r="G11" s="34"/>
      <c r="H11" s="33"/>
      <c r="I11" s="33"/>
      <c r="J11" s="33">
        <f>$C$31*('E Balans VL '!D11+'E Balans VL '!E11)/100/3.6*1000000</f>
        <v>0</v>
      </c>
      <c r="K11" s="33"/>
      <c r="L11" s="33"/>
      <c r="M11" s="33"/>
      <c r="N11" s="33">
        <f>$C$31*'E Balans VL '!Y11/100/3.6*1000000</f>
        <v>26.436818604641051</v>
      </c>
      <c r="O11" s="33"/>
      <c r="P11" s="33"/>
      <c r="R11" s="32"/>
    </row>
    <row r="12" spans="1:18">
      <c r="A12" s="32" t="s">
        <v>249</v>
      </c>
      <c r="B12" s="37">
        <f t="shared" si="0"/>
        <v>57.237822000000001</v>
      </c>
      <c r="C12" s="33"/>
      <c r="D12" s="37">
        <f>IF(ISERROR(TER_rest_gas_kWh/1000),0,TER_rest_gas_kWh/1000)*0.903</f>
        <v>0</v>
      </c>
      <c r="E12" s="33">
        <f>$C$32*'E Balans VL '!I8/100/3.6*1000000</f>
        <v>0.22808007574070102</v>
      </c>
      <c r="F12" s="33">
        <f>$C$32*('E Balans VL '!L8+'E Balans VL '!N8)/100/3.6*1000000</f>
        <v>14.968119628439426</v>
      </c>
      <c r="G12" s="34"/>
      <c r="H12" s="33"/>
      <c r="I12" s="33"/>
      <c r="J12" s="33">
        <f>$C$32*('E Balans VL '!D8+'E Balans VL '!E8)/100/3.6*1000000</f>
        <v>1.1567035519485847E-4</v>
      </c>
      <c r="K12" s="33"/>
      <c r="L12" s="33"/>
      <c r="M12" s="33"/>
      <c r="N12" s="33">
        <f>$C$32*'E Balans VL '!Y8/100/3.6*1000000</f>
        <v>4.0370207042769461</v>
      </c>
      <c r="O12" s="33"/>
      <c r="P12" s="33"/>
      <c r="R12" s="32"/>
    </row>
    <row r="13" spans="1:18">
      <c r="A13" s="16" t="s">
        <v>466</v>
      </c>
      <c r="B13" s="242">
        <f ca="1">'lokale energieproductie'!N39+'lokale energieproductie'!N32</f>
        <v>3854.25</v>
      </c>
      <c r="C13" s="242">
        <f ca="1">'lokale energieproductie'!O39+'lokale energieproductie'!O32</f>
        <v>5506.0714285714284</v>
      </c>
      <c r="D13" s="302">
        <f ca="1">('lokale energieproductie'!P32+'lokale energieproductie'!P39)*(-1)</f>
        <v>-11012.142857142857</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189103.08957982005</v>
      </c>
      <c r="C16" s="21">
        <f t="shared" ca="1" si="1"/>
        <v>5506.0714285714284</v>
      </c>
      <c r="D16" s="21">
        <f t="shared" ca="1" si="1"/>
        <v>213261.75065465676</v>
      </c>
      <c r="E16" s="21">
        <f t="shared" si="1"/>
        <v>466.6004076768707</v>
      </c>
      <c r="F16" s="21">
        <f t="shared" ca="1" si="1"/>
        <v>34427.860498696355</v>
      </c>
      <c r="G16" s="21">
        <f t="shared" si="1"/>
        <v>0</v>
      </c>
      <c r="H16" s="21">
        <f t="shared" si="1"/>
        <v>0</v>
      </c>
      <c r="I16" s="21">
        <f t="shared" si="1"/>
        <v>0</v>
      </c>
      <c r="J16" s="21">
        <f t="shared" si="1"/>
        <v>0.19666732992570657</v>
      </c>
      <c r="K16" s="21">
        <f t="shared" si="1"/>
        <v>0</v>
      </c>
      <c r="L16" s="21">
        <f t="shared" ca="1" si="1"/>
        <v>0</v>
      </c>
      <c r="M16" s="21">
        <f t="shared" si="1"/>
        <v>0</v>
      </c>
      <c r="N16" s="21">
        <f t="shared" ca="1" si="1"/>
        <v>7120.8420850162538</v>
      </c>
      <c r="O16" s="21">
        <f>O5</f>
        <v>78.356172253458467</v>
      </c>
      <c r="P16" s="21">
        <f>P5</f>
        <v>893.16535121041511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0.20096409150462816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38002.930598126855</v>
      </c>
      <c r="C20" s="23">
        <f t="shared" ref="C20:P20" ca="1" si="2">C16*C18</f>
        <v>1308.501680672269</v>
      </c>
      <c r="D20" s="23">
        <f t="shared" ca="1" si="2"/>
        <v>43078.873632240669</v>
      </c>
      <c r="E20" s="23">
        <f t="shared" si="2"/>
        <v>105.91829254264965</v>
      </c>
      <c r="F20" s="23">
        <f t="shared" ca="1" si="2"/>
        <v>9192.2387531519271</v>
      </c>
      <c r="G20" s="23">
        <f t="shared" si="2"/>
        <v>0</v>
      </c>
      <c r="H20" s="23">
        <f t="shared" si="2"/>
        <v>0</v>
      </c>
      <c r="I20" s="23">
        <f t="shared" si="2"/>
        <v>0</v>
      </c>
      <c r="J20" s="23">
        <f t="shared" si="2"/>
        <v>6.9620234793700123E-2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59794.413377663499</v>
      </c>
      <c r="C26" s="39">
        <f>IF(ISERROR(B26*3.6/1000000/'E Balans VL '!Z12*100),0,B26*3.6/1000000/'E Balans VL '!Z12*100)</f>
        <v>1.6854502678740571</v>
      </c>
      <c r="D26" s="232" t="s">
        <v>660</v>
      </c>
      <c r="F26" s="6"/>
    </row>
    <row r="27" spans="1:18">
      <c r="A27" s="227" t="s">
        <v>52</v>
      </c>
      <c r="B27" s="33">
        <f>IF(ISERROR(TER_horeca_ele_kWh/1000),0,TER_horeca_ele_kWh/1000)</f>
        <v>18675.918956358601</v>
      </c>
      <c r="C27" s="39">
        <f>IF(ISERROR(B27*3.6/1000000/'E Balans VL '!Z9*100),0,B27*3.6/1000000/'E Balans VL '!Z9*100)</f>
        <v>1.3845899629776317</v>
      </c>
      <c r="D27" s="232" t="s">
        <v>660</v>
      </c>
      <c r="F27" s="6"/>
    </row>
    <row r="28" spans="1:18">
      <c r="A28" s="167" t="s">
        <v>51</v>
      </c>
      <c r="B28" s="33">
        <f>IF(ISERROR(TER_handel_ele_kWh/1000),0,TER_handel_ele_kWh/1000)</f>
        <v>47015.718991711401</v>
      </c>
      <c r="C28" s="39">
        <f>IF(ISERROR(B28*3.6/1000000/'E Balans VL '!Z13*100),0,B28*3.6/1000000/'E Balans VL '!Z13*100)</f>
        <v>1.4084791569462241</v>
      </c>
      <c r="D28" s="232" t="s">
        <v>660</v>
      </c>
      <c r="F28" s="6"/>
    </row>
    <row r="29" spans="1:18">
      <c r="A29" s="227" t="s">
        <v>50</v>
      </c>
      <c r="B29" s="33">
        <f>IF(ISERROR(TER_gezond_ele_kWh/1000),0,TER_gezond_ele_kWh/1000)</f>
        <v>30414.780137228001</v>
      </c>
      <c r="C29" s="39">
        <f>IF(ISERROR(B29*3.6/1000000/'E Balans VL '!Z10*100),0,B29*3.6/1000000/'E Balans VL '!Z10*100)</f>
        <v>3.0074253809847535</v>
      </c>
      <c r="D29" s="232" t="s">
        <v>660</v>
      </c>
      <c r="F29" s="6"/>
    </row>
    <row r="30" spans="1:18">
      <c r="A30" s="227" t="s">
        <v>49</v>
      </c>
      <c r="B30" s="33">
        <f>IF(ISERROR(TER_ander_ele_kWh/1000),0,TER_ander_ele_kWh/1000)</f>
        <v>19902.312662522101</v>
      </c>
      <c r="C30" s="39">
        <f>IF(ISERROR(B30*3.6/1000000/'E Balans VL '!Z14*100),0,B30*3.6/1000000/'E Balans VL '!Z14*100)</f>
        <v>0.8049897320293995</v>
      </c>
      <c r="D30" s="232" t="s">
        <v>660</v>
      </c>
      <c r="F30" s="6"/>
    </row>
    <row r="31" spans="1:18">
      <c r="A31" s="227" t="s">
        <v>54</v>
      </c>
      <c r="B31" s="33">
        <f>IF(ISERROR(TER_onderwijs_ele_kWh/1000),0,TER_onderwijs_ele_kWh/1000)</f>
        <v>9388.4576323364508</v>
      </c>
      <c r="C31" s="39">
        <f>IF(ISERROR(B31*3.6/1000000/'E Balans VL '!Z11*100),0,B31*3.6/1000000/'E Balans VL '!Z11*100)</f>
        <v>2.5794199123803359</v>
      </c>
      <c r="D31" s="232" t="s">
        <v>660</v>
      </c>
    </row>
    <row r="32" spans="1:18">
      <c r="A32" s="227" t="s">
        <v>249</v>
      </c>
      <c r="B32" s="33">
        <f>IF(ISERROR(TER_rest_ele_kWh/1000),0,TER_rest_ele_kWh/1000)</f>
        <v>57.237822000000001</v>
      </c>
      <c r="C32" s="39">
        <f>IF(ISERROR(B32*3.6/1000000/'E Balans VL '!Z8*100),0,B32*3.6/1000000/'E Balans VL '!Z8*100)</f>
        <v>4.7373524311887424E-4</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16</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17</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114082.52787464856</v>
      </c>
      <c r="C5" s="17">
        <f>IF(ISERROR('Eigen informatie GS &amp; warmtenet'!B61),0,'Eigen informatie GS &amp; warmtenet'!B61)</f>
        <v>0</v>
      </c>
      <c r="D5" s="30">
        <f>SUM(D6:D15)</f>
        <v>172252.51069989277</v>
      </c>
      <c r="E5" s="17">
        <f>SUM(E6:E15)</f>
        <v>588.52061234535472</v>
      </c>
      <c r="F5" s="17">
        <f>SUM(F6:F15)</f>
        <v>16833.474080229131</v>
      </c>
      <c r="G5" s="18"/>
      <c r="H5" s="17"/>
      <c r="I5" s="17"/>
      <c r="J5" s="17">
        <f>SUM(J6:J15)</f>
        <v>1260.303049566571</v>
      </c>
      <c r="K5" s="17"/>
      <c r="L5" s="17"/>
      <c r="M5" s="17"/>
      <c r="N5" s="17">
        <f>SUM(N6:N15)</f>
        <v>8704.213039944867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3604.7598542928899</v>
      </c>
      <c r="C7" s="33"/>
      <c r="D7" s="37">
        <f>IF( ISERROR(IND_nonf_gas_kWhh/1000),0,IND_nonf_gas_kWh/1000)*0.903</f>
        <v>0</v>
      </c>
      <c r="E7" s="33">
        <f>C29*'E Balans VL '!I17/100/3.6*1000000</f>
        <v>26.171387542913184</v>
      </c>
      <c r="F7" s="33">
        <f>C29*'E Balans VL '!L17/100/3.6*1000000+C29*'E Balans VL '!N17/100/3.6*1000000</f>
        <v>425.66745318719779</v>
      </c>
      <c r="G7" s="34"/>
      <c r="H7" s="33"/>
      <c r="I7" s="33"/>
      <c r="J7" s="40">
        <f>C29*'E Balans VL '!D17/100/3.6*1000000+C29*'E Balans VL '!E17/100/3.6*1000000</f>
        <v>1211.5703941649545</v>
      </c>
      <c r="K7" s="33"/>
      <c r="L7" s="33"/>
      <c r="M7" s="33"/>
      <c r="N7" s="33">
        <f>C29*'E Balans VL '!Y17/100/3.6*1000000</f>
        <v>0</v>
      </c>
      <c r="O7" s="33"/>
      <c r="P7" s="33"/>
      <c r="R7" s="32"/>
    </row>
    <row r="8" spans="1:18">
      <c r="A8" s="6" t="s">
        <v>35</v>
      </c>
      <c r="B8" s="37">
        <f t="shared" si="0"/>
        <v>47818.2731587827</v>
      </c>
      <c r="C8" s="33"/>
      <c r="D8" s="37">
        <f>IF( ISERROR(IND_metaal_Gas_kWH/1000),0,IND_metaal_Gas_kWH/1000)*0.903</f>
        <v>22733.776621211749</v>
      </c>
      <c r="E8" s="33">
        <f>C30*'E Balans VL '!I18/100/3.6*1000000</f>
        <v>261.34763302826701</v>
      </c>
      <c r="F8" s="33">
        <f>C30*'E Balans VL '!L18/100/3.6*1000000+C30*'E Balans VL '!N18/100/3.6*1000000</f>
        <v>3273.0895870168893</v>
      </c>
      <c r="G8" s="34"/>
      <c r="H8" s="33"/>
      <c r="I8" s="33"/>
      <c r="J8" s="40">
        <f>C30*'E Balans VL '!D18/100/3.6*1000000+C30*'E Balans VL '!E18/100/3.6*1000000</f>
        <v>47.65413282155513</v>
      </c>
      <c r="K8" s="33"/>
      <c r="L8" s="33"/>
      <c r="M8" s="33"/>
      <c r="N8" s="33">
        <f>C30*'E Balans VL '!Y18/100/3.6*1000000</f>
        <v>707.25528601350391</v>
      </c>
      <c r="O8" s="33"/>
      <c r="P8" s="33"/>
      <c r="R8" s="32"/>
    </row>
    <row r="9" spans="1:18">
      <c r="A9" s="6" t="s">
        <v>32</v>
      </c>
      <c r="B9" s="37">
        <f t="shared" si="0"/>
        <v>17058.2813904754</v>
      </c>
      <c r="C9" s="33"/>
      <c r="D9" s="37">
        <f>IF( ISERROR(IND_andere_gas_kWh/1000),0,IND_andere_gas_kWh/1000)*0.903</f>
        <v>18319.170995641831</v>
      </c>
      <c r="E9" s="33">
        <f>C31*'E Balans VL '!I19/100/3.6*1000000</f>
        <v>64.194823822378254</v>
      </c>
      <c r="F9" s="33">
        <f>C31*'E Balans VL '!L19/100/3.6*1000000+C31*'E Balans VL '!N19/100/3.6*1000000</f>
        <v>10979.171200959225</v>
      </c>
      <c r="G9" s="34"/>
      <c r="H9" s="33"/>
      <c r="I9" s="33"/>
      <c r="J9" s="40">
        <f>C31*'E Balans VL '!D19/100/3.6*1000000+C31*'E Balans VL '!E19/100/3.6*1000000</f>
        <v>0</v>
      </c>
      <c r="K9" s="33"/>
      <c r="L9" s="33"/>
      <c r="M9" s="33"/>
      <c r="N9" s="33">
        <f>C31*'E Balans VL '!Y19/100/3.6*1000000</f>
        <v>616.24182960452174</v>
      </c>
      <c r="O9" s="33"/>
      <c r="P9" s="33"/>
      <c r="R9" s="32"/>
    </row>
    <row r="10" spans="1:18">
      <c r="A10" s="6" t="s">
        <v>40</v>
      </c>
      <c r="B10" s="37">
        <f t="shared" si="0"/>
        <v>11879.697273833801</v>
      </c>
      <c r="C10" s="33"/>
      <c r="D10" s="37">
        <f>IF( ISERROR(IND_voed_gas_kWh/1000),0,IND_voed_gas_kWh/1000)*0.903</f>
        <v>18656.194495263822</v>
      </c>
      <c r="E10" s="33">
        <f>C32*'E Balans VL '!I20/100/3.6*1000000</f>
        <v>23.516750547926385</v>
      </c>
      <c r="F10" s="33">
        <f>C32*'E Balans VL '!L20/100/3.6*1000000+C32*'E Balans VL '!N20/100/3.6*1000000</f>
        <v>252.31020093779907</v>
      </c>
      <c r="G10" s="34"/>
      <c r="H10" s="33"/>
      <c r="I10" s="33"/>
      <c r="J10" s="40">
        <f>C32*'E Balans VL '!D20/100/3.6*1000000+C32*'E Balans VL '!E20/100/3.6*1000000</f>
        <v>0</v>
      </c>
      <c r="K10" s="33"/>
      <c r="L10" s="33"/>
      <c r="M10" s="33"/>
      <c r="N10" s="33">
        <f>C32*'E Balans VL '!Y20/100/3.6*1000000</f>
        <v>478.79694251164136</v>
      </c>
      <c r="O10" s="33"/>
      <c r="P10" s="33"/>
      <c r="R10" s="32"/>
    </row>
    <row r="11" spans="1:18">
      <c r="A11" s="6" t="s">
        <v>39</v>
      </c>
      <c r="B11" s="37">
        <f t="shared" si="0"/>
        <v>3270.4892805457102</v>
      </c>
      <c r="C11" s="33"/>
      <c r="D11" s="37">
        <f>IF( ISERROR(IND_textiel_gas_kWh/1000),0,IND_textiel_gas_kWh/1000)*0.903</f>
        <v>2220.0026442310955</v>
      </c>
      <c r="E11" s="33">
        <f>C33*'E Balans VL '!I21/100/3.6*1000000</f>
        <v>6.3684071395758792</v>
      </c>
      <c r="F11" s="33">
        <f>C33*'E Balans VL '!L21/100/3.6*1000000+C33*'E Balans VL '!N21/100/3.6*1000000</f>
        <v>77.467696973622523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16888.577830274</v>
      </c>
      <c r="C12" s="33"/>
      <c r="D12" s="37">
        <f>IF( ISERROR(IND_min_gas_kWh/1000),0,IND_min_gas_kWh/1000)*0.903</f>
        <v>97641.678070610928</v>
      </c>
      <c r="E12" s="33">
        <f>C34*'E Balans VL '!I22/100/3.6*1000000</f>
        <v>206.64769098561771</v>
      </c>
      <c r="F12" s="33">
        <f>C34*'E Balans VL '!L22/100/3.6*1000000+C34*'E Balans VL '!N22/100/3.6*1000000</f>
        <v>1823.3349210610622</v>
      </c>
      <c r="G12" s="34"/>
      <c r="H12" s="33"/>
      <c r="I12" s="33"/>
      <c r="J12" s="40">
        <f>C34*'E Balans VL '!D22/100/3.6*1000000+C34*'E Balans VL '!E22/100/3.6*1000000</f>
        <v>0</v>
      </c>
      <c r="K12" s="33"/>
      <c r="L12" s="33"/>
      <c r="M12" s="33"/>
      <c r="N12" s="33">
        <f>C34*'E Balans VL '!Y22/100/3.6*1000000</f>
        <v>8145.8828914858059</v>
      </c>
      <c r="O12" s="33"/>
      <c r="P12" s="33"/>
      <c r="R12" s="32"/>
    </row>
    <row r="13" spans="1:18">
      <c r="A13" s="6" t="s">
        <v>38</v>
      </c>
      <c r="B13" s="37">
        <f t="shared" si="0"/>
        <v>13557.3895623506</v>
      </c>
      <c r="C13" s="33"/>
      <c r="D13" s="37">
        <f>IF( ISERROR(IND_papier_gas_kWh/1000),0,IND_papier_gas_kWh/1000)*0.903</f>
        <v>12643.930869382577</v>
      </c>
      <c r="E13" s="33">
        <f>C35*'E Balans VL '!I23/100/3.6*1000000</f>
        <v>0</v>
      </c>
      <c r="F13" s="33">
        <f>C35*'E Balans VL '!L23/100/3.6*1000000+C35*'E Balans VL '!N23/100/3.6*1000000</f>
        <v>1.6608657983860859</v>
      </c>
      <c r="G13" s="34"/>
      <c r="H13" s="33"/>
      <c r="I13" s="33"/>
      <c r="J13" s="40">
        <f>C35*'E Balans VL '!D23/100/3.6*1000000+C35*'E Balans VL '!E23/100/3.6*1000000</f>
        <v>1.0563218393376215</v>
      </c>
      <c r="K13" s="33"/>
      <c r="L13" s="33"/>
      <c r="M13" s="33"/>
      <c r="N13" s="33">
        <f>C35*'E Balans VL '!Y23/100/3.6*1000000</f>
        <v>-1244.1073299243396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5.0595240934693999</v>
      </c>
      <c r="C15" s="33"/>
      <c r="D15" s="37">
        <f>IF( ISERROR(IND_rest_gas_kWh/1000),0,IND_rest_gas_kWh/1000)*0.903</f>
        <v>37.757003550769987</v>
      </c>
      <c r="E15" s="33">
        <f>C37*'E Balans VL '!I15/100/3.6*1000000</f>
        <v>0.27391927867618115</v>
      </c>
      <c r="F15" s="33">
        <f>C37*'E Balans VL '!L15/100/3.6*1000000+C37*'E Balans VL '!N15/100/3.6*1000000</f>
        <v>0.77215429494921961</v>
      </c>
      <c r="G15" s="34"/>
      <c r="H15" s="33"/>
      <c r="I15" s="33"/>
      <c r="J15" s="40">
        <f>C37*'E Balans VL '!D15/100/3.6*1000000+C37*'E Balans VL '!E15/100/3.6*1000000</f>
        <v>2.2200740723735575E-2</v>
      </c>
      <c r="K15" s="33"/>
      <c r="L15" s="33"/>
      <c r="M15" s="33"/>
      <c r="N15" s="33">
        <f>C37*'E Balans VL '!Y15/100/3.6*1000000</f>
        <v>0.14342025373330516</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114082.52787464856</v>
      </c>
      <c r="C18" s="21">
        <f>C5+C16</f>
        <v>0</v>
      </c>
      <c r="D18" s="21">
        <f>MAX((D5+D16),0)</f>
        <v>172252.51069989277</v>
      </c>
      <c r="E18" s="21">
        <f>MAX((E5+E16),0)</f>
        <v>588.52061234535472</v>
      </c>
      <c r="F18" s="21">
        <f>MAX((F5+F16),0)</f>
        <v>16833.474080229131</v>
      </c>
      <c r="G18" s="21"/>
      <c r="H18" s="21"/>
      <c r="I18" s="21"/>
      <c r="J18" s="21">
        <f>MAX((J5+J16),0)</f>
        <v>1260.303049566571</v>
      </c>
      <c r="K18" s="21"/>
      <c r="L18" s="21">
        <f>MAX((L5+L16),0)</f>
        <v>0</v>
      </c>
      <c r="M18" s="21"/>
      <c r="N18" s="21">
        <f>MAX((N5+N16),0)</f>
        <v>8704.213039944867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0.20096409150462816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22926.491570880164</v>
      </c>
      <c r="C22" s="23">
        <f ca="1">C18*C20</f>
        <v>0</v>
      </c>
      <c r="D22" s="23">
        <f>D18*D20</f>
        <v>34795.007161378344</v>
      </c>
      <c r="E22" s="23">
        <f>E18*E20</f>
        <v>133.59417900239552</v>
      </c>
      <c r="F22" s="23">
        <f>F18*F20</f>
        <v>4494.5375794211777</v>
      </c>
      <c r="G22" s="23"/>
      <c r="H22" s="23"/>
      <c r="I22" s="23"/>
      <c r="J22" s="23">
        <f>J18*J20</f>
        <v>446.1472795465661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3604.7598542928899</v>
      </c>
      <c r="C29" s="39">
        <f>IF(ISERROR(B29*3.6/1000000/'E Balans VL '!Z17*100),0,B29*3.6/1000000/'E Balans VL '!Z17*100)</f>
        <v>2.3002196082638537</v>
      </c>
      <c r="D29" s="232" t="s">
        <v>660</v>
      </c>
    </row>
    <row r="30" spans="1:18">
      <c r="A30" s="167" t="s">
        <v>35</v>
      </c>
      <c r="B30" s="37">
        <f>IF( ISERROR(IND_metaal_ele_kWh/1000),0,IND_metaal_ele_kWh/1000)</f>
        <v>47818.2731587827</v>
      </c>
      <c r="C30" s="39">
        <f>IF(ISERROR(B30*3.6/1000000/'E Balans VL '!Z18*100),0,B30*3.6/1000000/'E Balans VL '!Z18*100)</f>
        <v>2.6680385405536229</v>
      </c>
      <c r="D30" s="232" t="s">
        <v>660</v>
      </c>
    </row>
    <row r="31" spans="1:18">
      <c r="A31" s="6" t="s">
        <v>32</v>
      </c>
      <c r="B31" s="37">
        <f>IF( ISERROR(IND_ander_ele_kWh/1000),0,IND_ander_ele_kWh/1000)</f>
        <v>17058.2813904754</v>
      </c>
      <c r="C31" s="39">
        <f>IF(ISERROR(B31*3.6/1000000/'E Balans VL '!Z19*100),0,B31*3.6/1000000/'E Balans VL '!Z19*100)</f>
        <v>0.69432469018029219</v>
      </c>
      <c r="D31" s="232" t="s">
        <v>660</v>
      </c>
    </row>
    <row r="32" spans="1:18">
      <c r="A32" s="167" t="s">
        <v>40</v>
      </c>
      <c r="B32" s="37">
        <f>IF( ISERROR(IND_voed_ele_kWh/1000),0,IND_voed_ele_kWh/1000)</f>
        <v>11879.697273833801</v>
      </c>
      <c r="C32" s="39">
        <f>IF(ISERROR(B32*3.6/1000000/'E Balans VL '!Z20*100),0,B32*3.6/1000000/'E Balans VL '!Z20*100)</f>
        <v>0.3455191078331305</v>
      </c>
      <c r="D32" s="232" t="s">
        <v>660</v>
      </c>
    </row>
    <row r="33" spans="1:5">
      <c r="A33" s="167" t="s">
        <v>39</v>
      </c>
      <c r="B33" s="37">
        <f>IF( ISERROR(IND_textiel_ele_kWh/1000),0,IND_textiel_ele_kWh/1000)</f>
        <v>3270.4892805457102</v>
      </c>
      <c r="C33" s="39">
        <f>IF(ISERROR(B33*3.6/1000000/'E Balans VL '!Z21*100),0,B33*3.6/1000000/'E Balans VL '!Z21*100)</f>
        <v>0.48174544447306505</v>
      </c>
      <c r="D33" s="232" t="s">
        <v>660</v>
      </c>
    </row>
    <row r="34" spans="1:5">
      <c r="A34" s="167" t="s">
        <v>36</v>
      </c>
      <c r="B34" s="37">
        <f>IF( ISERROR(IND_min_ele_kWh/1000),0,IND_min_ele_kWh/1000)</f>
        <v>16888.577830274</v>
      </c>
      <c r="C34" s="39">
        <f>IF(ISERROR(B34*3.6/1000000/'E Balans VL '!Z22*100),0,B34*3.6/1000000/'E Balans VL '!Z22*100)</f>
        <v>6.775001180709042</v>
      </c>
      <c r="D34" s="232" t="s">
        <v>660</v>
      </c>
    </row>
    <row r="35" spans="1:5">
      <c r="A35" s="167" t="s">
        <v>38</v>
      </c>
      <c r="B35" s="37">
        <f>IF( ISERROR(IND_papier_ele_kWh/1000),0,IND_papier_ele_kWh/1000)</f>
        <v>13557.3895623506</v>
      </c>
      <c r="C35" s="39">
        <f>IF(ISERROR(B35*3.6/1000000/'E Balans VL '!Z22*100),0,B35*3.6/1000000/'E Balans VL '!Z22*100)</f>
        <v>5.4386657784533865</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5.0595240934693999</v>
      </c>
      <c r="C37" s="39">
        <f>IF(ISERROR(B37*3.6/1000000/'E Balans VL '!Z15*100),0,B37*3.6/1000000/'E Balans VL '!Z15*100)</f>
        <v>4.0752144810623554E-5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2878.674161634</v>
      </c>
      <c r="C5" s="17">
        <f>'Eigen informatie GS &amp; warmtenet'!B62</f>
        <v>0</v>
      </c>
      <c r="D5" s="30">
        <f>IF(ISERROR(SUM(LB_lb_gas_kWh,LB_rest_gas_kWh)/1000),0,SUM(LB_lb_gas_kWh,LB_rest_gas_kWh)/1000)*0.903</f>
        <v>760.24819197139732</v>
      </c>
      <c r="E5" s="17">
        <f>B17*'E Balans VL '!I25/3.6*1000000/100</f>
        <v>84.871452670590273</v>
      </c>
      <c r="F5" s="17">
        <f>B17*('E Balans VL '!L25/3.6*1000000+'E Balans VL '!N25/3.6*1000000)/100</f>
        <v>9149.4495352523754</v>
      </c>
      <c r="G5" s="18"/>
      <c r="H5" s="17"/>
      <c r="I5" s="17"/>
      <c r="J5" s="17">
        <f>('E Balans VL '!D25+'E Balans VL '!E25)/3.6*1000000*landbouw!B17/100</f>
        <v>725.9839463560088</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2878.674161634</v>
      </c>
      <c r="C8" s="21">
        <f>C5+C6</f>
        <v>0</v>
      </c>
      <c r="D8" s="21">
        <f>MAX((D5+D6),0)</f>
        <v>760.24819197139732</v>
      </c>
      <c r="E8" s="21">
        <f>MAX((E5+E6),0)</f>
        <v>84.871452670590273</v>
      </c>
      <c r="F8" s="21">
        <f>MAX((F5+F6),0)</f>
        <v>9149.4495352523754</v>
      </c>
      <c r="G8" s="21"/>
      <c r="H8" s="21"/>
      <c r="I8" s="21"/>
      <c r="J8" s="21">
        <f>MAX((J5+J6),0)</f>
        <v>725.9839463560088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0.20096409150462816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578.51013763062394</v>
      </c>
      <c r="C12" s="23">
        <f ca="1">C8*C10</f>
        <v>0</v>
      </c>
      <c r="D12" s="23">
        <f>D8*D10</f>
        <v>153.57013477822227</v>
      </c>
      <c r="E12" s="23">
        <f>E8*E10</f>
        <v>19.265819756223994</v>
      </c>
      <c r="F12" s="23">
        <f>F8*F10</f>
        <v>2442.9030259123842</v>
      </c>
      <c r="G12" s="23"/>
      <c r="H12" s="23"/>
      <c r="I12" s="23"/>
      <c r="J12" s="23">
        <f>J8*J10</f>
        <v>256.99831701002711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0.3953783841473697</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352.93988952152546</v>
      </c>
      <c r="C26" s="242">
        <f>B26*'GWP N2O_CH4'!B5</f>
        <v>7411.7376799520343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98.52143011874692</v>
      </c>
      <c r="C27" s="242">
        <f>B27*'GWP N2O_CH4'!B5</f>
        <v>2068.9500324936853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5.3287965465088343</v>
      </c>
      <c r="C28" s="242">
        <f>B28*'GWP N2O_CH4'!B4</f>
        <v>1651.9269294177386</v>
      </c>
      <c r="D28" s="50"/>
    </row>
    <row r="29" spans="1:4">
      <c r="A29" s="41" t="s">
        <v>266</v>
      </c>
      <c r="B29" s="242">
        <f>B34*'ha_N2O bodem landbouw'!B4</f>
        <v>23.07477649563705</v>
      </c>
      <c r="C29" s="242">
        <f>B29*'GWP N2O_CH4'!B4</f>
        <v>7153.1807136474854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5.2588074605764397E-3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3.3466783432060743E-3</v>
      </c>
      <c r="C5" s="430" t="s">
        <v>204</v>
      </c>
      <c r="D5" s="415">
        <f>SUM(D6:D11)</f>
        <v>5.5438320589230438E-3</v>
      </c>
      <c r="E5" s="415">
        <f>SUM(E6:E11)</f>
        <v>3.3114024992973784E-3</v>
      </c>
      <c r="F5" s="428" t="s">
        <v>204</v>
      </c>
      <c r="G5" s="415">
        <f>SUM(G6:G11)</f>
        <v>1.9436610836577182</v>
      </c>
      <c r="H5" s="415">
        <f>SUM(H6:H11)</f>
        <v>0.37263859484183703</v>
      </c>
      <c r="I5" s="430" t="s">
        <v>204</v>
      </c>
      <c r="J5" s="430" t="s">
        <v>204</v>
      </c>
      <c r="K5" s="430" t="s">
        <v>204</v>
      </c>
      <c r="L5" s="430" t="s">
        <v>204</v>
      </c>
      <c r="M5" s="415">
        <f>SUM(M6:M11)</f>
        <v>0.13533509781234346</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1.1210690490319778E-3</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1.9564295397938138E-3</v>
      </c>
      <c r="E6" s="844">
        <f>vkm_GW_PW*SUMIFS(TableVerdeelsleutelVkm[LPG],TableVerdeelsleutelVkm[Voertuigtype],"Lichte voertuigen")*SUMIFS(TableECFTransport[EnergieConsumptieFactor (PJ per km)],TableECFTransport[Index],CONCATENATE($A6,"_LPG_LPG"))</f>
        <v>1.0757048804803943E-3</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0.33107433864151986</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0.12917157813684491</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2.761960387002561E-2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6.5179793680956298E-6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0.26976251450874295</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2.9564631648129422E-6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1.5188060207158712E-2</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5.6878449758589178E-4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1.2724738414133028E-3</v>
      </c>
      <c r="E8" s="418">
        <f>vkm_NGW_PW*SUMIFS(TableVerdeelsleutelVkm[LPG],TableVerdeelsleutelVkm[Voertuigtype],"Lichte voertuigen")*SUMIFS(TableECFTransport[EnergieConsumptieFactor (PJ per km)],TableECFTransport[Index],CONCATENATE($A8,"_LPG_LPG"))</f>
        <v>6.6823893845987311E-4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0.19005711133475339</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8.270306890440729E-2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1.6449785173818267E-2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5.7373047566503343E-7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3.0578335653031193E-2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3.1411151448116976E-7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1.7216076508329641E-3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1.6321142122946082E-3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2.3149286777159276E-3</v>
      </c>
      <c r="E10" s="418">
        <f>vkm_SW_PW*SUMIFS(TableVerdeelsleutelVkm[LPG],TableVerdeelsleutelVkm[Voertuigtype],"Lichte voertuigen")*SUMIFS(TableECFTransport[EnergieConsumptieFactor (PJ per km)],TableECFTransport[Index],CONCATENATE($A10,"_LPG_LPG"))</f>
        <v>1.567458680357111E-3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0.43329801373258381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0.16075245161634732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3.5570343873718296E-2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1.7618874449835997E-5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0.68889076978708708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8.2256095581933308E-6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3.87856970367896E-2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929.63287311279839</v>
      </c>
      <c r="C14" s="21"/>
      <c r="D14" s="21">
        <f t="shared" ref="D14:M14" si="0">((D5)*10^9/3600)+D12</f>
        <v>1539.9533497008456</v>
      </c>
      <c r="E14" s="21">
        <f t="shared" si="0"/>
        <v>919.83402758260513</v>
      </c>
      <c r="F14" s="21"/>
      <c r="G14" s="21">
        <f t="shared" si="0"/>
        <v>539905.85657158843</v>
      </c>
      <c r="H14" s="21">
        <f t="shared" si="0"/>
        <v>103510.72078939919</v>
      </c>
      <c r="I14" s="21"/>
      <c r="J14" s="21"/>
      <c r="K14" s="21"/>
      <c r="L14" s="21"/>
      <c r="M14" s="21">
        <f t="shared" si="0"/>
        <v>37593.082725650958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0.20096409150462816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186.82282577795078</v>
      </c>
      <c r="C18" s="23"/>
      <c r="D18" s="23">
        <f t="shared" ref="D18:M18" si="1">D14*D16</f>
        <v>311.07057663957085</v>
      </c>
      <c r="E18" s="23">
        <f t="shared" si="1"/>
        <v>208.80232426125139</v>
      </c>
      <c r="F18" s="23"/>
      <c r="G18" s="23">
        <f t="shared" si="1"/>
        <v>144154.86370461411</v>
      </c>
      <c r="H18" s="23">
        <f t="shared" si="1"/>
        <v>25774.169476560397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4.8987140867286553E-4</v>
      </c>
      <c r="C50" s="313">
        <f t="shared" ref="C50:P50" si="2">SUM(C51:C52)</f>
        <v>0</v>
      </c>
      <c r="D50" s="313">
        <f t="shared" si="2"/>
        <v>0</v>
      </c>
      <c r="E50" s="313">
        <f t="shared" si="2"/>
        <v>0</v>
      </c>
      <c r="F50" s="313">
        <f t="shared" si="2"/>
        <v>0</v>
      </c>
      <c r="G50" s="313">
        <f t="shared" si="2"/>
        <v>3.4966138569385415E-2</v>
      </c>
      <c r="H50" s="313">
        <f t="shared" si="2"/>
        <v>0</v>
      </c>
      <c r="I50" s="313">
        <f t="shared" si="2"/>
        <v>0</v>
      </c>
      <c r="J50" s="313">
        <f t="shared" si="2"/>
        <v>0</v>
      </c>
      <c r="K50" s="313">
        <f t="shared" si="2"/>
        <v>0</v>
      </c>
      <c r="L50" s="313">
        <f t="shared" si="2"/>
        <v>0</v>
      </c>
      <c r="M50" s="313">
        <f t="shared" si="2"/>
        <v>1.9307810052565186E-3</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4.8987140867286553E-4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3.4966138569385415E-2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1.9307810052565186E-3</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136.07539129801822</v>
      </c>
      <c r="C54" s="21">
        <f t="shared" ref="C54:P54" si="3">(C50)*10^9/3600</f>
        <v>0</v>
      </c>
      <c r="D54" s="21">
        <f t="shared" si="3"/>
        <v>0</v>
      </c>
      <c r="E54" s="21">
        <f t="shared" si="3"/>
        <v>0</v>
      </c>
      <c r="F54" s="21">
        <f t="shared" si="3"/>
        <v>0</v>
      </c>
      <c r="G54" s="21">
        <f t="shared" si="3"/>
        <v>9712.816269273726</v>
      </c>
      <c r="H54" s="21">
        <f t="shared" si="3"/>
        <v>0</v>
      </c>
      <c r="I54" s="21">
        <f t="shared" si="3"/>
        <v>0</v>
      </c>
      <c r="J54" s="21">
        <f t="shared" si="3"/>
        <v>0</v>
      </c>
      <c r="K54" s="21">
        <f t="shared" si="3"/>
        <v>0</v>
      </c>
      <c r="L54" s="21">
        <f t="shared" si="3"/>
        <v>0</v>
      </c>
      <c r="M54" s="21">
        <f t="shared" si="3"/>
        <v>536.32805701569964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0.20096409150462816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27.346267388343016</v>
      </c>
      <c r="C58" s="23">
        <f t="shared" ref="C58:P58" ca="1" si="4">C54*C56</f>
        <v>0</v>
      </c>
      <c r="D58" s="23">
        <f t="shared" si="4"/>
        <v>0</v>
      </c>
      <c r="E58" s="23">
        <f t="shared" si="4"/>
        <v>0</v>
      </c>
      <c r="F58" s="23">
        <f t="shared" si="4"/>
        <v>0</v>
      </c>
      <c r="G58" s="23">
        <f t="shared" si="4"/>
        <v>2593.321943896085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11190.43567878051</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28510.312928489839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3854.25</v>
      </c>
      <c r="C8" s="540">
        <f>B49</f>
        <v>4534.4117647058829</v>
      </c>
      <c r="D8" s="541"/>
      <c r="E8" s="541">
        <f>E49</f>
        <v>0</v>
      </c>
      <c r="F8" s="542"/>
      <c r="G8" s="543"/>
      <c r="H8" s="541">
        <f>I49</f>
        <v>0</v>
      </c>
      <c r="I8" s="541">
        <f>G49+F49</f>
        <v>0</v>
      </c>
      <c r="J8" s="541">
        <f>H49+D49+C49</f>
        <v>0</v>
      </c>
      <c r="K8" s="541"/>
      <c r="L8" s="541"/>
      <c r="M8" s="541"/>
      <c r="N8" s="544"/>
      <c r="O8" s="545">
        <f>C8*$C$12+D8*$D$12+E8*$E$12+F8*$F$12+G8*$G$12+H8*$H$12+I8*$I$12+J8*$J$12</f>
        <v>915.95117647058839</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43554.998607270347</v>
      </c>
      <c r="C10" s="555">
        <f t="shared" ref="C10:L10" si="0">SUM(C8:C9)</f>
        <v>4534.4117647058829</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915.95117647058839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5506.0714285714284</v>
      </c>
      <c r="C17" s="571">
        <f>B50</f>
        <v>6477.7310924369749</v>
      </c>
      <c r="D17" s="572"/>
      <c r="E17" s="572">
        <f>E50</f>
        <v>0</v>
      </c>
      <c r="F17" s="573"/>
      <c r="G17" s="574"/>
      <c r="H17" s="571">
        <f>I50</f>
        <v>0</v>
      </c>
      <c r="I17" s="572">
        <f>G50+F50</f>
        <v>0</v>
      </c>
      <c r="J17" s="572">
        <f>H50+D50+C50</f>
        <v>0</v>
      </c>
      <c r="K17" s="572"/>
      <c r="L17" s="572"/>
      <c r="M17" s="572"/>
      <c r="N17" s="918"/>
      <c r="O17" s="575">
        <f>C17*$C$22+E17*$E$22+H17*$H$22+I17*$I$22+J17*$J$22+D17*$D$22+F17*$F$22+G17*$G$22+K17*$K$22+L17*$L$22</f>
        <v>1308.501680672269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5506.0714285714284</v>
      </c>
      <c r="C20" s="554">
        <f>SUM(C17:C19)</f>
        <v>6477.7310924369749</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1308.501680672269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34022</v>
      </c>
      <c r="C28" s="746">
        <v>8500</v>
      </c>
      <c r="D28" s="632"/>
      <c r="E28" s="631"/>
      <c r="F28" s="631"/>
      <c r="G28" s="631" t="s">
        <v>861</v>
      </c>
      <c r="H28" s="631" t="s">
        <v>862</v>
      </c>
      <c r="I28" s="631"/>
      <c r="J28" s="745"/>
      <c r="K28" s="745"/>
      <c r="L28" s="631" t="s">
        <v>863</v>
      </c>
      <c r="M28" s="631">
        <v>142.5</v>
      </c>
      <c r="N28" s="631">
        <v>641.25</v>
      </c>
      <c r="O28" s="631">
        <v>916.07142857142856</v>
      </c>
      <c r="P28" s="631">
        <v>1832.1428571428573</v>
      </c>
      <c r="Q28" s="631">
        <v>0</v>
      </c>
      <c r="R28" s="631">
        <v>0</v>
      </c>
      <c r="S28" s="631">
        <v>0</v>
      </c>
      <c r="T28" s="631">
        <v>0</v>
      </c>
      <c r="U28" s="631">
        <v>0</v>
      </c>
      <c r="V28" s="631">
        <v>0</v>
      </c>
      <c r="W28" s="631">
        <v>0</v>
      </c>
      <c r="X28" s="631"/>
      <c r="Y28" s="631">
        <v>1500</v>
      </c>
      <c r="Z28" s="631" t="s">
        <v>50</v>
      </c>
      <c r="AA28" s="633" t="s">
        <v>149</v>
      </c>
    </row>
    <row r="29" spans="1:27" s="585" customFormat="1" ht="25.5" hidden="1">
      <c r="A29" s="584"/>
      <c r="B29" s="746">
        <v>34022</v>
      </c>
      <c r="C29" s="746">
        <v>500</v>
      </c>
      <c r="D29" s="632"/>
      <c r="E29" s="631"/>
      <c r="F29" s="631"/>
      <c r="G29" s="631" t="s">
        <v>864</v>
      </c>
      <c r="H29" s="631" t="s">
        <v>862</v>
      </c>
      <c r="I29" s="631"/>
      <c r="J29" s="745"/>
      <c r="K29" s="745"/>
      <c r="L29" s="631" t="s">
        <v>865</v>
      </c>
      <c r="M29" s="631">
        <v>714</v>
      </c>
      <c r="N29" s="631">
        <v>3213</v>
      </c>
      <c r="O29" s="631">
        <v>4590</v>
      </c>
      <c r="P29" s="631">
        <v>9180</v>
      </c>
      <c r="Q29" s="631">
        <v>0</v>
      </c>
      <c r="R29" s="631">
        <v>0</v>
      </c>
      <c r="S29" s="631">
        <v>0</v>
      </c>
      <c r="T29" s="631">
        <v>0</v>
      </c>
      <c r="U29" s="631">
        <v>0</v>
      </c>
      <c r="V29" s="631">
        <v>0</v>
      </c>
      <c r="W29" s="631">
        <v>0</v>
      </c>
      <c r="X29" s="631"/>
      <c r="Y29" s="631">
        <v>1400</v>
      </c>
      <c r="Z29" s="631" t="s">
        <v>152</v>
      </c>
      <c r="AA29" s="633" t="s">
        <v>149</v>
      </c>
    </row>
    <row r="30" spans="1:27" s="565" customFormat="1" hidden="1">
      <c r="A30" s="587" t="s">
        <v>269</v>
      </c>
      <c r="B30" s="588"/>
      <c r="C30" s="588"/>
      <c r="D30" s="588"/>
      <c r="E30" s="588"/>
      <c r="F30" s="588"/>
      <c r="G30" s="588"/>
      <c r="H30" s="588"/>
      <c r="I30" s="588"/>
      <c r="J30" s="588"/>
      <c r="K30" s="588"/>
      <c r="L30" s="589"/>
      <c r="M30" s="589">
        <f>SUM(M28:M29)</f>
        <v>856.5</v>
      </c>
      <c r="N30" s="589">
        <f>SUM(N28:N29)</f>
        <v>3854.25</v>
      </c>
      <c r="O30" s="589">
        <f>SUM(O28:O29)</f>
        <v>5506.0714285714284</v>
      </c>
      <c r="P30" s="589">
        <f>SUM(P28:P29)</f>
        <v>11012.142857142857</v>
      </c>
      <c r="Q30" s="589">
        <f>SUM(Q28:Q29)</f>
        <v>0</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856.5</v>
      </c>
      <c r="N32" s="589">
        <f ca="1">SUMIF($AA$28:AE29,"tertiair",N28:N29)</f>
        <v>3854.25</v>
      </c>
      <c r="O32" s="589">
        <f ca="1">SUMIF($AA$28:AF29,"tertiair",O28:O29)</f>
        <v>5506.0714285714284</v>
      </c>
      <c r="P32" s="589">
        <f ca="1">SUMIF($AA$28:AG29,"tertiair",P28:P29)</f>
        <v>11012.142857142857</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0</v>
      </c>
      <c r="N33" s="594">
        <f>SUMIF($AA$28:$AA$29,"landbouw",N28:N29)</f>
        <v>0</v>
      </c>
      <c r="O33" s="594">
        <f>SUMIF($AA$28:$AA$29,"landbouw",O28:O29)</f>
        <v>0</v>
      </c>
      <c r="P33" s="594">
        <f>SUMIF($AA$28:$AA$29,"landbouw",P28:P29)</f>
        <v>0</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0.41176470588235298</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4534.4117647058829</v>
      </c>
      <c r="C49" s="623">
        <f t="shared" si="2"/>
        <v>0</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6477.7310924369749</v>
      </c>
      <c r="C50" s="626">
        <f t="shared" si="3"/>
        <v>0</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195114.28257982005</v>
      </c>
      <c r="D10" s="642">
        <f ca="1">tertiair!C16</f>
        <v>5506.0714285714284</v>
      </c>
      <c r="E10" s="642">
        <f ca="1">tertiair!D16</f>
        <v>213261.75065465676</v>
      </c>
      <c r="F10" s="642">
        <f>tertiair!E16</f>
        <v>466.6004076768707</v>
      </c>
      <c r="G10" s="642">
        <f ca="1">tertiair!F16</f>
        <v>34427.860498696355</v>
      </c>
      <c r="H10" s="642">
        <f>tertiair!G16</f>
        <v>0</v>
      </c>
      <c r="I10" s="642">
        <f>tertiair!H16</f>
        <v>0</v>
      </c>
      <c r="J10" s="642">
        <f>tertiair!I16</f>
        <v>0</v>
      </c>
      <c r="K10" s="642">
        <f>tertiair!J16</f>
        <v>0.19666732992570657</v>
      </c>
      <c r="L10" s="642">
        <f>tertiair!K16</f>
        <v>0</v>
      </c>
      <c r="M10" s="642">
        <f ca="1">tertiair!L16</f>
        <v>0</v>
      </c>
      <c r="N10" s="642">
        <f>tertiair!M16</f>
        <v>0</v>
      </c>
      <c r="O10" s="642">
        <f ca="1">tertiair!N16</f>
        <v>7120.8420850162538</v>
      </c>
      <c r="P10" s="642">
        <f>tertiair!O16</f>
        <v>78.356172253458467</v>
      </c>
      <c r="Q10" s="643">
        <f>tertiair!P16</f>
        <v>893.16535121041511</v>
      </c>
      <c r="R10" s="645">
        <f ca="1">SUM(C10:Q10)</f>
        <v>456869.12584523147</v>
      </c>
      <c r="S10" s="67"/>
    </row>
    <row r="11" spans="1:19" s="441" customFormat="1">
      <c r="A11" s="762" t="s">
        <v>214</v>
      </c>
      <c r="B11" s="767"/>
      <c r="C11" s="642">
        <f>huishoudens!B8</f>
        <v>116985.93316212362</v>
      </c>
      <c r="D11" s="642">
        <f>huishoudens!C8</f>
        <v>0</v>
      </c>
      <c r="E11" s="642">
        <f>huishoudens!D8</f>
        <v>324362.96342212916</v>
      </c>
      <c r="F11" s="642">
        <f>huishoudens!E8</f>
        <v>6430.6873258409105</v>
      </c>
      <c r="G11" s="642">
        <f>huishoudens!F8</f>
        <v>105384.05843132413</v>
      </c>
      <c r="H11" s="642">
        <f>huishoudens!G8</f>
        <v>0</v>
      </c>
      <c r="I11" s="642">
        <f>huishoudens!H8</f>
        <v>0</v>
      </c>
      <c r="J11" s="642">
        <f>huishoudens!I8</f>
        <v>0</v>
      </c>
      <c r="K11" s="642">
        <f>huishoudens!J8</f>
        <v>581.66718605866038</v>
      </c>
      <c r="L11" s="642">
        <f>huishoudens!K8</f>
        <v>0</v>
      </c>
      <c r="M11" s="642">
        <f>huishoudens!L8</f>
        <v>0</v>
      </c>
      <c r="N11" s="642">
        <f>huishoudens!M8</f>
        <v>0</v>
      </c>
      <c r="O11" s="642">
        <f>huishoudens!N8</f>
        <v>39641.448913439512</v>
      </c>
      <c r="P11" s="642">
        <f>huishoudens!O8</f>
        <v>1525.6638707086274</v>
      </c>
      <c r="Q11" s="643">
        <f>huishoudens!P8</f>
        <v>1622.2297333834936</v>
      </c>
      <c r="R11" s="645">
        <f>SUM(C11:Q11)</f>
        <v>596534.65204500826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114082.52787464856</v>
      </c>
      <c r="D13" s="642">
        <f>industrie!C18</f>
        <v>0</v>
      </c>
      <c r="E13" s="642">
        <f>industrie!D18</f>
        <v>172252.51069989277</v>
      </c>
      <c r="F13" s="642">
        <f>industrie!E18</f>
        <v>588.52061234535472</v>
      </c>
      <c r="G13" s="642">
        <f>industrie!F18</f>
        <v>16833.474080229131</v>
      </c>
      <c r="H13" s="642">
        <f>industrie!G18</f>
        <v>0</v>
      </c>
      <c r="I13" s="642">
        <f>industrie!H18</f>
        <v>0</v>
      </c>
      <c r="J13" s="642">
        <f>industrie!I18</f>
        <v>0</v>
      </c>
      <c r="K13" s="642">
        <f>industrie!J18</f>
        <v>1260.303049566571</v>
      </c>
      <c r="L13" s="642">
        <f>industrie!K18</f>
        <v>0</v>
      </c>
      <c r="M13" s="642">
        <f>industrie!L18</f>
        <v>0</v>
      </c>
      <c r="N13" s="642">
        <f>industrie!M18</f>
        <v>0</v>
      </c>
      <c r="O13" s="642">
        <f>industrie!N18</f>
        <v>8704.213039944867</v>
      </c>
      <c r="P13" s="642">
        <f>industrie!O18</f>
        <v>0</v>
      </c>
      <c r="Q13" s="643">
        <f>industrie!P18</f>
        <v>0</v>
      </c>
      <c r="R13" s="645">
        <f>SUM(C13:Q13)</f>
        <v>313721.54935662728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426182.74361659226</v>
      </c>
      <c r="D16" s="678">
        <f t="shared" ref="D16:R16" ca="1" si="0">SUM(D9:D15)</f>
        <v>5506.0714285714284</v>
      </c>
      <c r="E16" s="678">
        <f t="shared" ca="1" si="0"/>
        <v>709877.22477667872</v>
      </c>
      <c r="F16" s="678">
        <f t="shared" si="0"/>
        <v>7485.8083458631354</v>
      </c>
      <c r="G16" s="678">
        <f t="shared" ca="1" si="0"/>
        <v>156645.39301024959</v>
      </c>
      <c r="H16" s="678">
        <f t="shared" si="0"/>
        <v>0</v>
      </c>
      <c r="I16" s="678">
        <f t="shared" si="0"/>
        <v>0</v>
      </c>
      <c r="J16" s="678">
        <f t="shared" si="0"/>
        <v>0</v>
      </c>
      <c r="K16" s="678">
        <f t="shared" si="0"/>
        <v>1842.1669029551572</v>
      </c>
      <c r="L16" s="678">
        <f t="shared" si="0"/>
        <v>0</v>
      </c>
      <c r="M16" s="678">
        <f t="shared" ca="1" si="0"/>
        <v>0</v>
      </c>
      <c r="N16" s="678">
        <f t="shared" si="0"/>
        <v>0</v>
      </c>
      <c r="O16" s="678">
        <f t="shared" ca="1" si="0"/>
        <v>55466.504038400628</v>
      </c>
      <c r="P16" s="678">
        <f t="shared" si="0"/>
        <v>1604.0200429620859</v>
      </c>
      <c r="Q16" s="678">
        <f t="shared" si="0"/>
        <v>2515.3950845939089</v>
      </c>
      <c r="R16" s="678">
        <f t="shared" ca="1" si="0"/>
        <v>1367125.3272468671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136.07539129801822</v>
      </c>
      <c r="D19" s="642">
        <f>transport!C54</f>
        <v>0</v>
      </c>
      <c r="E19" s="642">
        <f>transport!D54</f>
        <v>0</v>
      </c>
      <c r="F19" s="642">
        <f>transport!E54</f>
        <v>0</v>
      </c>
      <c r="G19" s="642">
        <f>transport!F54</f>
        <v>0</v>
      </c>
      <c r="H19" s="642">
        <f>transport!G54</f>
        <v>9712.816269273726</v>
      </c>
      <c r="I19" s="642">
        <f>transport!H54</f>
        <v>0</v>
      </c>
      <c r="J19" s="642">
        <f>transport!I54</f>
        <v>0</v>
      </c>
      <c r="K19" s="642">
        <f>transport!J54</f>
        <v>0</v>
      </c>
      <c r="L19" s="642">
        <f>transport!K54</f>
        <v>0</v>
      </c>
      <c r="M19" s="642">
        <f>transport!L54</f>
        <v>0</v>
      </c>
      <c r="N19" s="642">
        <f>transport!M54</f>
        <v>536.32805701569964</v>
      </c>
      <c r="O19" s="642">
        <f>transport!N54</f>
        <v>0</v>
      </c>
      <c r="P19" s="642">
        <f>transport!O54</f>
        <v>0</v>
      </c>
      <c r="Q19" s="643">
        <f>transport!P54</f>
        <v>0</v>
      </c>
      <c r="R19" s="645">
        <f>SUM(C19:Q19)</f>
        <v>10385.219717587444</v>
      </c>
      <c r="S19" s="67"/>
    </row>
    <row r="20" spans="1:19" s="441" customFormat="1">
      <c r="A20" s="762" t="s">
        <v>296</v>
      </c>
      <c r="B20" s="767"/>
      <c r="C20" s="642">
        <f>transport!B14</f>
        <v>929.63287311279839</v>
      </c>
      <c r="D20" s="642">
        <f>transport!C14</f>
        <v>0</v>
      </c>
      <c r="E20" s="642">
        <f>transport!D14</f>
        <v>1539.9533497008456</v>
      </c>
      <c r="F20" s="642">
        <f>transport!E14</f>
        <v>919.83402758260513</v>
      </c>
      <c r="G20" s="642">
        <f>transport!F14</f>
        <v>0</v>
      </c>
      <c r="H20" s="642">
        <f>transport!G14</f>
        <v>539905.85657158843</v>
      </c>
      <c r="I20" s="642">
        <f>transport!H14</f>
        <v>103510.72078939919</v>
      </c>
      <c r="J20" s="642">
        <f>transport!I14</f>
        <v>0</v>
      </c>
      <c r="K20" s="642">
        <f>transport!J14</f>
        <v>0</v>
      </c>
      <c r="L20" s="642">
        <f>transport!K14</f>
        <v>0</v>
      </c>
      <c r="M20" s="642">
        <f>transport!L14</f>
        <v>0</v>
      </c>
      <c r="N20" s="642">
        <f>transport!M14</f>
        <v>37593.082725650958</v>
      </c>
      <c r="O20" s="642">
        <f>transport!N14</f>
        <v>0</v>
      </c>
      <c r="P20" s="642">
        <f>transport!O14</f>
        <v>0</v>
      </c>
      <c r="Q20" s="643">
        <f>transport!P14</f>
        <v>0</v>
      </c>
      <c r="R20" s="645">
        <f>SUM(C20:Q20)</f>
        <v>684399.08033703489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1065.7082644108166</v>
      </c>
      <c r="D22" s="765">
        <f t="shared" ref="D22:R22" si="1">SUM(D18:D21)</f>
        <v>0</v>
      </c>
      <c r="E22" s="765">
        <f t="shared" si="1"/>
        <v>1539.9533497008456</v>
      </c>
      <c r="F22" s="765">
        <f t="shared" si="1"/>
        <v>919.83402758260513</v>
      </c>
      <c r="G22" s="765">
        <f t="shared" si="1"/>
        <v>0</v>
      </c>
      <c r="H22" s="765">
        <f t="shared" si="1"/>
        <v>549618.67284086219</v>
      </c>
      <c r="I22" s="765">
        <f t="shared" si="1"/>
        <v>103510.72078939919</v>
      </c>
      <c r="J22" s="765">
        <f t="shared" si="1"/>
        <v>0</v>
      </c>
      <c r="K22" s="765">
        <f t="shared" si="1"/>
        <v>0</v>
      </c>
      <c r="L22" s="765">
        <f t="shared" si="1"/>
        <v>0</v>
      </c>
      <c r="M22" s="765">
        <f t="shared" si="1"/>
        <v>0</v>
      </c>
      <c r="N22" s="765">
        <f t="shared" si="1"/>
        <v>38129.410782666659</v>
      </c>
      <c r="O22" s="765">
        <f t="shared" si="1"/>
        <v>0</v>
      </c>
      <c r="P22" s="765">
        <f t="shared" si="1"/>
        <v>0</v>
      </c>
      <c r="Q22" s="765">
        <f t="shared" si="1"/>
        <v>0</v>
      </c>
      <c r="R22" s="765">
        <f t="shared" si="1"/>
        <v>694784.30005462235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2878.674161634</v>
      </c>
      <c r="D24" s="642">
        <f>+landbouw!C8</f>
        <v>0</v>
      </c>
      <c r="E24" s="642">
        <f>+landbouw!D8</f>
        <v>760.24819197139732</v>
      </c>
      <c r="F24" s="642">
        <f>+landbouw!E8</f>
        <v>84.871452670590273</v>
      </c>
      <c r="G24" s="642">
        <f>+landbouw!F8</f>
        <v>9149.4495352523754</v>
      </c>
      <c r="H24" s="642">
        <f>+landbouw!G8</f>
        <v>0</v>
      </c>
      <c r="I24" s="642">
        <f>+landbouw!H8</f>
        <v>0</v>
      </c>
      <c r="J24" s="642">
        <f>+landbouw!I8</f>
        <v>0</v>
      </c>
      <c r="K24" s="642">
        <f>+landbouw!J8</f>
        <v>725.9839463560088</v>
      </c>
      <c r="L24" s="642">
        <f>+landbouw!K8</f>
        <v>0</v>
      </c>
      <c r="M24" s="642">
        <f>+landbouw!L8</f>
        <v>0</v>
      </c>
      <c r="N24" s="642">
        <f>+landbouw!M8</f>
        <v>0</v>
      </c>
      <c r="O24" s="642">
        <f>+landbouw!N8</f>
        <v>0</v>
      </c>
      <c r="P24" s="642">
        <f>+landbouw!O8</f>
        <v>0</v>
      </c>
      <c r="Q24" s="643">
        <f>+landbouw!P8</f>
        <v>0</v>
      </c>
      <c r="R24" s="645">
        <f>SUM(C24:Q24)</f>
        <v>13599.227287884372</v>
      </c>
      <c r="S24" s="67"/>
    </row>
    <row r="25" spans="1:19" s="441" customFormat="1" ht="15" thickBot="1">
      <c r="A25" s="784" t="s">
        <v>672</v>
      </c>
      <c r="B25" s="895"/>
      <c r="C25" s="896">
        <f>IF(Onbekend_ele_kWh="---",0,Onbekend_ele_kWh)/1000+IF(REST_rest_ele_kWh="---",0,REST_rest_ele_kWh)/1000</f>
        <v>4577.5701655754701</v>
      </c>
      <c r="D25" s="896"/>
      <c r="E25" s="896">
        <f>IF(onbekend_gas_kWh="---",0,onbekend_gas_kWh)/1000+IF(REST_rest_gas_kWh="---",0,REST_rest_gas_kWh)/1000</f>
        <v>15942.155803374199</v>
      </c>
      <c r="F25" s="896"/>
      <c r="G25" s="896"/>
      <c r="H25" s="896"/>
      <c r="I25" s="896"/>
      <c r="J25" s="896"/>
      <c r="K25" s="896"/>
      <c r="L25" s="896"/>
      <c r="M25" s="896"/>
      <c r="N25" s="896"/>
      <c r="O25" s="896"/>
      <c r="P25" s="896"/>
      <c r="Q25" s="897"/>
      <c r="R25" s="645">
        <f>SUM(C25:Q25)</f>
        <v>20519.725968949668</v>
      </c>
      <c r="S25" s="67"/>
    </row>
    <row r="26" spans="1:19" s="441" customFormat="1" ht="15.75" thickBot="1">
      <c r="A26" s="650" t="s">
        <v>673</v>
      </c>
      <c r="B26" s="770"/>
      <c r="C26" s="765">
        <f>SUM(C24:C25)</f>
        <v>7456.2443272094697</v>
      </c>
      <c r="D26" s="765">
        <f t="shared" ref="D26:R26" si="2">SUM(D24:D25)</f>
        <v>0</v>
      </c>
      <c r="E26" s="765">
        <f t="shared" si="2"/>
        <v>16702.403995345594</v>
      </c>
      <c r="F26" s="765">
        <f t="shared" si="2"/>
        <v>84.871452670590273</v>
      </c>
      <c r="G26" s="765">
        <f t="shared" si="2"/>
        <v>9149.4495352523754</v>
      </c>
      <c r="H26" s="765">
        <f t="shared" si="2"/>
        <v>0</v>
      </c>
      <c r="I26" s="765">
        <f t="shared" si="2"/>
        <v>0</v>
      </c>
      <c r="J26" s="765">
        <f t="shared" si="2"/>
        <v>0</v>
      </c>
      <c r="K26" s="765">
        <f t="shared" si="2"/>
        <v>725.9839463560088</v>
      </c>
      <c r="L26" s="765">
        <f t="shared" si="2"/>
        <v>0</v>
      </c>
      <c r="M26" s="765">
        <f t="shared" si="2"/>
        <v>0</v>
      </c>
      <c r="N26" s="765">
        <f t="shared" si="2"/>
        <v>0</v>
      </c>
      <c r="O26" s="765">
        <f t="shared" si="2"/>
        <v>0</v>
      </c>
      <c r="P26" s="765">
        <f t="shared" si="2"/>
        <v>0</v>
      </c>
      <c r="Q26" s="765">
        <f t="shared" si="2"/>
        <v>0</v>
      </c>
      <c r="R26" s="765">
        <f t="shared" si="2"/>
        <v>34118.953256834036</v>
      </c>
      <c r="S26" s="67"/>
    </row>
    <row r="27" spans="1:19" s="441" customFormat="1" ht="17.25" thickTop="1" thickBot="1">
      <c r="A27" s="651" t="s">
        <v>109</v>
      </c>
      <c r="B27" s="757"/>
      <c r="C27" s="652">
        <f ca="1">C22+C16+C26</f>
        <v>434704.69620821258</v>
      </c>
      <c r="D27" s="652">
        <f t="shared" ref="D27:R27" ca="1" si="3">D22+D16+D26</f>
        <v>5506.0714285714284</v>
      </c>
      <c r="E27" s="652">
        <f t="shared" ca="1" si="3"/>
        <v>728119.58212172519</v>
      </c>
      <c r="F27" s="652">
        <f t="shared" si="3"/>
        <v>8490.5138261163302</v>
      </c>
      <c r="G27" s="652">
        <f t="shared" ca="1" si="3"/>
        <v>165794.84254550198</v>
      </c>
      <c r="H27" s="652">
        <f t="shared" si="3"/>
        <v>549618.67284086219</v>
      </c>
      <c r="I27" s="652">
        <f t="shared" si="3"/>
        <v>103510.72078939919</v>
      </c>
      <c r="J27" s="652">
        <f t="shared" si="3"/>
        <v>0</v>
      </c>
      <c r="K27" s="652">
        <f t="shared" si="3"/>
        <v>2568.150849311166</v>
      </c>
      <c r="L27" s="652">
        <f t="shared" si="3"/>
        <v>0</v>
      </c>
      <c r="M27" s="652">
        <f t="shared" ca="1" si="3"/>
        <v>0</v>
      </c>
      <c r="N27" s="652">
        <f t="shared" si="3"/>
        <v>38129.410782666659</v>
      </c>
      <c r="O27" s="652">
        <f t="shared" ca="1" si="3"/>
        <v>55466.504038400628</v>
      </c>
      <c r="P27" s="652">
        <f t="shared" si="3"/>
        <v>1604.0200429620859</v>
      </c>
      <c r="Q27" s="652">
        <f t="shared" si="3"/>
        <v>2515.3950845939089</v>
      </c>
      <c r="R27" s="652">
        <f t="shared" ca="1" si="3"/>
        <v>2096028.5805583235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39210.964538230837</v>
      </c>
      <c r="D40" s="642">
        <f ca="1">tertiair!C20</f>
        <v>1308.501680672269</v>
      </c>
      <c r="E40" s="642">
        <f ca="1">tertiair!D20</f>
        <v>43078.873632240669</v>
      </c>
      <c r="F40" s="642">
        <f>tertiair!E20</f>
        <v>105.91829254264965</v>
      </c>
      <c r="G40" s="642">
        <f ca="1">tertiair!F20</f>
        <v>9192.2387531519271</v>
      </c>
      <c r="H40" s="642">
        <f>tertiair!G20</f>
        <v>0</v>
      </c>
      <c r="I40" s="642">
        <f>tertiair!H20</f>
        <v>0</v>
      </c>
      <c r="J40" s="642">
        <f>tertiair!I20</f>
        <v>0</v>
      </c>
      <c r="K40" s="642">
        <f>tertiair!J20</f>
        <v>6.9620234793700123E-2</v>
      </c>
      <c r="L40" s="642">
        <f>tertiair!K20</f>
        <v>0</v>
      </c>
      <c r="M40" s="642">
        <f ca="1">tertiair!L20</f>
        <v>0</v>
      </c>
      <c r="N40" s="642">
        <f>tertiair!M20</f>
        <v>0</v>
      </c>
      <c r="O40" s="642">
        <f ca="1">tertiair!N20</f>
        <v>0</v>
      </c>
      <c r="P40" s="642">
        <f>tertiair!O20</f>
        <v>0</v>
      </c>
      <c r="Q40" s="725">
        <f>tertiair!P20</f>
        <v>0</v>
      </c>
      <c r="R40" s="803">
        <f t="shared" ca="1" si="4"/>
        <v>92896.566517073123</v>
      </c>
    </row>
    <row r="41" spans="1:18">
      <c r="A41" s="775" t="s">
        <v>214</v>
      </c>
      <c r="B41" s="782"/>
      <c r="C41" s="642">
        <f ca="1">huishoudens!B12</f>
        <v>23509.971776747323</v>
      </c>
      <c r="D41" s="642">
        <f ca="1">huishoudens!C12</f>
        <v>0</v>
      </c>
      <c r="E41" s="642">
        <f>huishoudens!D12</f>
        <v>65521.318611270093</v>
      </c>
      <c r="F41" s="642">
        <f>huishoudens!E12</f>
        <v>1459.7660229658868</v>
      </c>
      <c r="G41" s="642">
        <f>huishoudens!F12</f>
        <v>28137.543601163543</v>
      </c>
      <c r="H41" s="642">
        <f>huishoudens!G12</f>
        <v>0</v>
      </c>
      <c r="I41" s="642">
        <f>huishoudens!H12</f>
        <v>0</v>
      </c>
      <c r="J41" s="642">
        <f>huishoudens!I12</f>
        <v>0</v>
      </c>
      <c r="K41" s="642">
        <f>huishoudens!J12</f>
        <v>205.91018386476577</v>
      </c>
      <c r="L41" s="642">
        <f>huishoudens!K12</f>
        <v>0</v>
      </c>
      <c r="M41" s="642">
        <f>huishoudens!L12</f>
        <v>0</v>
      </c>
      <c r="N41" s="642">
        <f>huishoudens!M12</f>
        <v>0</v>
      </c>
      <c r="O41" s="642">
        <f>huishoudens!N12</f>
        <v>0</v>
      </c>
      <c r="P41" s="642">
        <f>huishoudens!O12</f>
        <v>0</v>
      </c>
      <c r="Q41" s="725">
        <f>huishoudens!P12</f>
        <v>0</v>
      </c>
      <c r="R41" s="803">
        <f t="shared" ca="1" si="4"/>
        <v>118834.5101960116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22926.491570880164</v>
      </c>
      <c r="D43" s="642">
        <f ca="1">industrie!C22</f>
        <v>0</v>
      </c>
      <c r="E43" s="642">
        <f>industrie!D22</f>
        <v>34795.007161378344</v>
      </c>
      <c r="F43" s="642">
        <f>industrie!E22</f>
        <v>133.59417900239552</v>
      </c>
      <c r="G43" s="642">
        <f>industrie!F22</f>
        <v>4494.5375794211777</v>
      </c>
      <c r="H43" s="642">
        <f>industrie!G22</f>
        <v>0</v>
      </c>
      <c r="I43" s="642">
        <f>industrie!H22</f>
        <v>0</v>
      </c>
      <c r="J43" s="642">
        <f>industrie!I22</f>
        <v>0</v>
      </c>
      <c r="K43" s="642">
        <f>industrie!J22</f>
        <v>446.1472795465661</v>
      </c>
      <c r="L43" s="642">
        <f>industrie!K22</f>
        <v>0</v>
      </c>
      <c r="M43" s="642">
        <f>industrie!L22</f>
        <v>0</v>
      </c>
      <c r="N43" s="642">
        <f>industrie!M22</f>
        <v>0</v>
      </c>
      <c r="O43" s="642">
        <f>industrie!N22</f>
        <v>0</v>
      </c>
      <c r="P43" s="642">
        <f>industrie!O22</f>
        <v>0</v>
      </c>
      <c r="Q43" s="725">
        <f>industrie!P22</f>
        <v>0</v>
      </c>
      <c r="R43" s="802">
        <f t="shared" ca="1" si="4"/>
        <v>62795.777770228648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85647.427885858313</v>
      </c>
      <c r="D46" s="678">
        <f t="shared" ref="D46:Q46" ca="1" si="5">SUM(D39:D45)</f>
        <v>1308.501680672269</v>
      </c>
      <c r="E46" s="678">
        <f t="shared" ca="1" si="5"/>
        <v>143395.19940488911</v>
      </c>
      <c r="F46" s="678">
        <f t="shared" si="5"/>
        <v>1699.278494510932</v>
      </c>
      <c r="G46" s="678">
        <f t="shared" ca="1" si="5"/>
        <v>41824.319933736646</v>
      </c>
      <c r="H46" s="678">
        <f t="shared" si="5"/>
        <v>0</v>
      </c>
      <c r="I46" s="678">
        <f t="shared" si="5"/>
        <v>0</v>
      </c>
      <c r="J46" s="678">
        <f t="shared" si="5"/>
        <v>0</v>
      </c>
      <c r="K46" s="678">
        <f t="shared" si="5"/>
        <v>652.12708364612558</v>
      </c>
      <c r="L46" s="678">
        <f t="shared" si="5"/>
        <v>0</v>
      </c>
      <c r="M46" s="678">
        <f t="shared" ca="1" si="5"/>
        <v>0</v>
      </c>
      <c r="N46" s="678">
        <f t="shared" si="5"/>
        <v>0</v>
      </c>
      <c r="O46" s="678">
        <f t="shared" ca="1" si="5"/>
        <v>0</v>
      </c>
      <c r="P46" s="678">
        <f t="shared" si="5"/>
        <v>0</v>
      </c>
      <c r="Q46" s="678">
        <f t="shared" si="5"/>
        <v>0</v>
      </c>
      <c r="R46" s="678">
        <f ca="1">SUM(R39:R45)</f>
        <v>274526.85448331333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27.346267388343016</v>
      </c>
      <c r="D49" s="642">
        <f ca="1">transport!C58</f>
        <v>0</v>
      </c>
      <c r="E49" s="642">
        <f>transport!D58</f>
        <v>0</v>
      </c>
      <c r="F49" s="642">
        <f>transport!E58</f>
        <v>0</v>
      </c>
      <c r="G49" s="642">
        <f>transport!F58</f>
        <v>0</v>
      </c>
      <c r="H49" s="642">
        <f>transport!G58</f>
        <v>2593.321943896085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2620.6682112844283</v>
      </c>
    </row>
    <row r="50" spans="1:18">
      <c r="A50" s="778" t="s">
        <v>296</v>
      </c>
      <c r="B50" s="788"/>
      <c r="C50" s="648">
        <f ca="1">transport!B18</f>
        <v>186.82282577795078</v>
      </c>
      <c r="D50" s="648">
        <f>transport!C18</f>
        <v>0</v>
      </c>
      <c r="E50" s="648">
        <f>transport!D18</f>
        <v>311.07057663957085</v>
      </c>
      <c r="F50" s="648">
        <f>transport!E18</f>
        <v>208.80232426125139</v>
      </c>
      <c r="G50" s="648">
        <f>transport!F18</f>
        <v>0</v>
      </c>
      <c r="H50" s="648">
        <f>transport!G18</f>
        <v>144154.86370461411</v>
      </c>
      <c r="I50" s="648">
        <f>transport!H18</f>
        <v>25774.169476560397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170635.72890785328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214.16909316629381</v>
      </c>
      <c r="D52" s="678">
        <f t="shared" ref="D52:Q52" ca="1" si="6">SUM(D48:D51)</f>
        <v>0</v>
      </c>
      <c r="E52" s="678">
        <f t="shared" si="6"/>
        <v>311.07057663957085</v>
      </c>
      <c r="F52" s="678">
        <f t="shared" si="6"/>
        <v>208.80232426125139</v>
      </c>
      <c r="G52" s="678">
        <f t="shared" si="6"/>
        <v>0</v>
      </c>
      <c r="H52" s="678">
        <f t="shared" si="6"/>
        <v>146748.1856485102</v>
      </c>
      <c r="I52" s="678">
        <f t="shared" si="6"/>
        <v>25774.169476560397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173256.39711913769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578.51013763062394</v>
      </c>
      <c r="D54" s="648">
        <f ca="1">+landbouw!C12</f>
        <v>0</v>
      </c>
      <c r="E54" s="648">
        <f>+landbouw!D12</f>
        <v>153.57013477822227</v>
      </c>
      <c r="F54" s="648">
        <f>+landbouw!E12</f>
        <v>19.265819756223994</v>
      </c>
      <c r="G54" s="648">
        <f>+landbouw!F12</f>
        <v>2442.9030259123842</v>
      </c>
      <c r="H54" s="648">
        <f>+landbouw!G12</f>
        <v>0</v>
      </c>
      <c r="I54" s="648">
        <f>+landbouw!H12</f>
        <v>0</v>
      </c>
      <c r="J54" s="648">
        <f>+landbouw!I12</f>
        <v>0</v>
      </c>
      <c r="K54" s="648">
        <f>+landbouw!J12</f>
        <v>256.99831701002711</v>
      </c>
      <c r="L54" s="648">
        <f>+landbouw!K12</f>
        <v>0</v>
      </c>
      <c r="M54" s="648">
        <f>+landbouw!L12</f>
        <v>0</v>
      </c>
      <c r="N54" s="648">
        <f>+landbouw!M12</f>
        <v>0</v>
      </c>
      <c r="O54" s="648">
        <f>+landbouw!N12</f>
        <v>0</v>
      </c>
      <c r="P54" s="648">
        <f>+landbouw!O12</f>
        <v>0</v>
      </c>
      <c r="Q54" s="649">
        <f>+landbouw!P12</f>
        <v>0</v>
      </c>
      <c r="R54" s="677">
        <f ca="1">SUM(C54:Q54)</f>
        <v>3451.2474350874818</v>
      </c>
    </row>
    <row r="55" spans="1:18" ht="15" thickBot="1">
      <c r="A55" s="778" t="s">
        <v>672</v>
      </c>
      <c r="B55" s="788"/>
      <c r="C55" s="648">
        <f ca="1">C25*'EF ele_warmte'!B12</f>
        <v>919.92722962356459</v>
      </c>
      <c r="D55" s="648"/>
      <c r="E55" s="648">
        <f>E25*EF_CO2_aardgas</f>
        <v>3220.3154722815884</v>
      </c>
      <c r="F55" s="648"/>
      <c r="G55" s="648"/>
      <c r="H55" s="648"/>
      <c r="I55" s="648"/>
      <c r="J55" s="648"/>
      <c r="K55" s="648"/>
      <c r="L55" s="648"/>
      <c r="M55" s="648"/>
      <c r="N55" s="648"/>
      <c r="O55" s="648"/>
      <c r="P55" s="648"/>
      <c r="Q55" s="649"/>
      <c r="R55" s="677">
        <f ca="1">SUM(C55:Q55)</f>
        <v>4140.2427019051529</v>
      </c>
    </row>
    <row r="56" spans="1:18" ht="15.75" thickBot="1">
      <c r="A56" s="776" t="s">
        <v>673</v>
      </c>
      <c r="B56" s="789"/>
      <c r="C56" s="678">
        <f ca="1">SUM(C54:C55)</f>
        <v>1498.4373672541885</v>
      </c>
      <c r="D56" s="678">
        <f t="shared" ref="D56:Q56" ca="1" si="7">SUM(D54:D55)</f>
        <v>0</v>
      </c>
      <c r="E56" s="678">
        <f t="shared" si="7"/>
        <v>3373.8856070598108</v>
      </c>
      <c r="F56" s="678">
        <f t="shared" si="7"/>
        <v>19.265819756223994</v>
      </c>
      <c r="G56" s="678">
        <f t="shared" si="7"/>
        <v>2442.9030259123842</v>
      </c>
      <c r="H56" s="678">
        <f t="shared" si="7"/>
        <v>0</v>
      </c>
      <c r="I56" s="678">
        <f t="shared" si="7"/>
        <v>0</v>
      </c>
      <c r="J56" s="678">
        <f t="shared" si="7"/>
        <v>0</v>
      </c>
      <c r="K56" s="678">
        <f t="shared" si="7"/>
        <v>256.99831701002711</v>
      </c>
      <c r="L56" s="678">
        <f t="shared" si="7"/>
        <v>0</v>
      </c>
      <c r="M56" s="678">
        <f t="shared" si="7"/>
        <v>0</v>
      </c>
      <c r="N56" s="678">
        <f t="shared" si="7"/>
        <v>0</v>
      </c>
      <c r="O56" s="678">
        <f t="shared" si="7"/>
        <v>0</v>
      </c>
      <c r="P56" s="678">
        <f t="shared" si="7"/>
        <v>0</v>
      </c>
      <c r="Q56" s="679">
        <f t="shared" si="7"/>
        <v>0</v>
      </c>
      <c r="R56" s="680">
        <f ca="1">SUM(R54:R55)</f>
        <v>7591.4901369926347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87360.034346278786</v>
      </c>
      <c r="D61" s="686">
        <f t="shared" ref="D61:Q61" ca="1" si="8">D46+D52+D56</f>
        <v>1308.501680672269</v>
      </c>
      <c r="E61" s="686">
        <f t="shared" ca="1" si="8"/>
        <v>147080.1555885885</v>
      </c>
      <c r="F61" s="686">
        <f t="shared" si="8"/>
        <v>1927.3466385284073</v>
      </c>
      <c r="G61" s="686">
        <f t="shared" ca="1" si="8"/>
        <v>44267.222959649029</v>
      </c>
      <c r="H61" s="686">
        <f t="shared" si="8"/>
        <v>146748.1856485102</v>
      </c>
      <c r="I61" s="686">
        <f t="shared" si="8"/>
        <v>25774.169476560397</v>
      </c>
      <c r="J61" s="686">
        <f t="shared" si="8"/>
        <v>0</v>
      </c>
      <c r="K61" s="686">
        <f t="shared" si="8"/>
        <v>909.12540065615269</v>
      </c>
      <c r="L61" s="686">
        <f t="shared" si="8"/>
        <v>0</v>
      </c>
      <c r="M61" s="686">
        <f t="shared" ca="1" si="8"/>
        <v>0</v>
      </c>
      <c r="N61" s="686">
        <f t="shared" si="8"/>
        <v>0</v>
      </c>
      <c r="O61" s="686">
        <f t="shared" ca="1" si="8"/>
        <v>0</v>
      </c>
      <c r="P61" s="686">
        <f t="shared" si="8"/>
        <v>0</v>
      </c>
      <c r="Q61" s="686">
        <f t="shared" si="8"/>
        <v>0</v>
      </c>
      <c r="R61" s="686">
        <f ca="1">R46+R52+R56</f>
        <v>455374.74173944368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0.20096409150462807</v>
      </c>
      <c r="D63" s="732">
        <f t="shared" ca="1" si="9"/>
        <v>0.23764705882352943</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11190.43567878051</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28510.312928489839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3854.25</v>
      </c>
      <c r="D76" s="904">
        <f>'lokale energieproductie'!C8</f>
        <v>4534.4117647058829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915.95117647058839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39700.748607270347</v>
      </c>
      <c r="C78" s="704">
        <f>SUM(C72:C77)</f>
        <v>3854.25</v>
      </c>
      <c r="D78" s="705">
        <f t="shared" ref="D78:H78" si="10">SUM(D76:D77)</f>
        <v>4534.4117647058829</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915.95117647058839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5506.0714285714284</v>
      </c>
      <c r="D87" s="728">
        <f>'lokale energieproductie'!C17</f>
        <v>6477.7310924369749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1308.501680672269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5506.0714285714284</v>
      </c>
      <c r="D90" s="704">
        <f t="shared" ref="D90:H90" si="12">SUM(D87:D89)</f>
        <v>6477.7310924369749</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1308.501680672269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116985.93316212362</v>
      </c>
      <c r="C4" s="445">
        <f>huishoudens!C8</f>
        <v>0</v>
      </c>
      <c r="D4" s="445">
        <f>huishoudens!D8</f>
        <v>324362.96342212916</v>
      </c>
      <c r="E4" s="445">
        <f>huishoudens!E8</f>
        <v>6430.6873258409105</v>
      </c>
      <c r="F4" s="445">
        <f>huishoudens!F8</f>
        <v>105384.05843132413</v>
      </c>
      <c r="G4" s="445">
        <f>huishoudens!G8</f>
        <v>0</v>
      </c>
      <c r="H4" s="445">
        <f>huishoudens!H8</f>
        <v>0</v>
      </c>
      <c r="I4" s="445">
        <f>huishoudens!I8</f>
        <v>0</v>
      </c>
      <c r="J4" s="445">
        <f>huishoudens!J8</f>
        <v>581.66718605866038</v>
      </c>
      <c r="K4" s="445">
        <f>huishoudens!K8</f>
        <v>0</v>
      </c>
      <c r="L4" s="445">
        <f>huishoudens!L8</f>
        <v>0</v>
      </c>
      <c r="M4" s="445">
        <f>huishoudens!M8</f>
        <v>0</v>
      </c>
      <c r="N4" s="445">
        <f>huishoudens!N8</f>
        <v>39641.448913439512</v>
      </c>
      <c r="O4" s="445">
        <f>huishoudens!O8</f>
        <v>1525.6638707086274</v>
      </c>
      <c r="P4" s="446">
        <f>huishoudens!P8</f>
        <v>1622.2297333834936</v>
      </c>
      <c r="Q4" s="447">
        <f>SUM(B4:P4)</f>
        <v>596534.65204500826</v>
      </c>
    </row>
    <row r="5" spans="1:17">
      <c r="A5" s="444" t="s">
        <v>149</v>
      </c>
      <c r="B5" s="445">
        <f ca="1">tertiair!B16</f>
        <v>189103.08957982005</v>
      </c>
      <c r="C5" s="445">
        <f ca="1">tertiair!C16</f>
        <v>5506.0714285714284</v>
      </c>
      <c r="D5" s="445">
        <f ca="1">tertiair!D16</f>
        <v>213261.75065465676</v>
      </c>
      <c r="E5" s="445">
        <f>tertiair!E16</f>
        <v>466.6004076768707</v>
      </c>
      <c r="F5" s="445">
        <f ca="1">tertiair!F16</f>
        <v>34427.860498696355</v>
      </c>
      <c r="G5" s="445">
        <f>tertiair!G16</f>
        <v>0</v>
      </c>
      <c r="H5" s="445">
        <f>tertiair!H16</f>
        <v>0</v>
      </c>
      <c r="I5" s="445">
        <f>tertiair!I16</f>
        <v>0</v>
      </c>
      <c r="J5" s="445">
        <f>tertiair!J16</f>
        <v>0.19666732992570657</v>
      </c>
      <c r="K5" s="445">
        <f>tertiair!K16</f>
        <v>0</v>
      </c>
      <c r="L5" s="445">
        <f ca="1">tertiair!L16</f>
        <v>0</v>
      </c>
      <c r="M5" s="445">
        <f>tertiair!M16</f>
        <v>0</v>
      </c>
      <c r="N5" s="445">
        <f ca="1">tertiair!N16</f>
        <v>7120.8420850162538</v>
      </c>
      <c r="O5" s="445">
        <f>tertiair!O16</f>
        <v>78.356172253458467</v>
      </c>
      <c r="P5" s="446">
        <f>tertiair!P16</f>
        <v>893.16535121041511</v>
      </c>
      <c r="Q5" s="444">
        <f t="shared" ref="Q5:Q14" ca="1" si="0">SUM(B5:P5)</f>
        <v>450857.93284523144</v>
      </c>
    </row>
    <row r="6" spans="1:17">
      <c r="A6" s="444" t="s">
        <v>187</v>
      </c>
      <c r="B6" s="445">
        <f>'openbare verlichting'!B8</f>
        <v>6011.1930000000002</v>
      </c>
      <c r="C6" s="445"/>
      <c r="D6" s="445"/>
      <c r="E6" s="445"/>
      <c r="F6" s="445"/>
      <c r="G6" s="445"/>
      <c r="H6" s="445"/>
      <c r="I6" s="445"/>
      <c r="J6" s="445"/>
      <c r="K6" s="445"/>
      <c r="L6" s="445"/>
      <c r="M6" s="445"/>
      <c r="N6" s="445"/>
      <c r="O6" s="445"/>
      <c r="P6" s="446"/>
      <c r="Q6" s="444">
        <f t="shared" si="0"/>
        <v>6011.1930000000002</v>
      </c>
    </row>
    <row r="7" spans="1:17">
      <c r="A7" s="444" t="s">
        <v>105</v>
      </c>
      <c r="B7" s="445">
        <f>landbouw!B8</f>
        <v>2878.674161634</v>
      </c>
      <c r="C7" s="445">
        <f>landbouw!C8</f>
        <v>0</v>
      </c>
      <c r="D7" s="445">
        <f>landbouw!D8</f>
        <v>760.24819197139732</v>
      </c>
      <c r="E7" s="445">
        <f>landbouw!E8</f>
        <v>84.871452670590273</v>
      </c>
      <c r="F7" s="445">
        <f>landbouw!F8</f>
        <v>9149.4495352523754</v>
      </c>
      <c r="G7" s="445">
        <f>landbouw!G8</f>
        <v>0</v>
      </c>
      <c r="H7" s="445">
        <f>landbouw!H8</f>
        <v>0</v>
      </c>
      <c r="I7" s="445">
        <f>landbouw!I8</f>
        <v>0</v>
      </c>
      <c r="J7" s="445">
        <f>landbouw!J8</f>
        <v>725.9839463560088</v>
      </c>
      <c r="K7" s="445">
        <f>landbouw!K8</f>
        <v>0</v>
      </c>
      <c r="L7" s="445">
        <f>landbouw!L8</f>
        <v>0</v>
      </c>
      <c r="M7" s="445">
        <f>landbouw!M8</f>
        <v>0</v>
      </c>
      <c r="N7" s="445">
        <f>landbouw!N8</f>
        <v>0</v>
      </c>
      <c r="O7" s="445">
        <f>landbouw!O8</f>
        <v>0</v>
      </c>
      <c r="P7" s="446">
        <f>landbouw!P8</f>
        <v>0</v>
      </c>
      <c r="Q7" s="444">
        <f t="shared" si="0"/>
        <v>13599.227287884372</v>
      </c>
    </row>
    <row r="8" spans="1:17">
      <c r="A8" s="444" t="s">
        <v>587</v>
      </c>
      <c r="B8" s="445">
        <f>industrie!B18</f>
        <v>114082.52787464856</v>
      </c>
      <c r="C8" s="445">
        <f>industrie!C18</f>
        <v>0</v>
      </c>
      <c r="D8" s="445">
        <f>industrie!D18</f>
        <v>172252.51069989277</v>
      </c>
      <c r="E8" s="445">
        <f>industrie!E18</f>
        <v>588.52061234535472</v>
      </c>
      <c r="F8" s="445">
        <f>industrie!F18</f>
        <v>16833.474080229131</v>
      </c>
      <c r="G8" s="445">
        <f>industrie!G18</f>
        <v>0</v>
      </c>
      <c r="H8" s="445">
        <f>industrie!H18</f>
        <v>0</v>
      </c>
      <c r="I8" s="445">
        <f>industrie!I18</f>
        <v>0</v>
      </c>
      <c r="J8" s="445">
        <f>industrie!J18</f>
        <v>1260.303049566571</v>
      </c>
      <c r="K8" s="445">
        <f>industrie!K18</f>
        <v>0</v>
      </c>
      <c r="L8" s="445">
        <f>industrie!L18</f>
        <v>0</v>
      </c>
      <c r="M8" s="445">
        <f>industrie!M18</f>
        <v>0</v>
      </c>
      <c r="N8" s="445">
        <f>industrie!N18</f>
        <v>8704.213039944867</v>
      </c>
      <c r="O8" s="445">
        <f>industrie!O18</f>
        <v>0</v>
      </c>
      <c r="P8" s="446">
        <f>industrie!P18</f>
        <v>0</v>
      </c>
      <c r="Q8" s="444">
        <f t="shared" si="0"/>
        <v>313721.54935662728</v>
      </c>
    </row>
    <row r="9" spans="1:17" s="450" customFormat="1">
      <c r="A9" s="448" t="s">
        <v>536</v>
      </c>
      <c r="B9" s="449">
        <f>transport!B14</f>
        <v>929.63287311279839</v>
      </c>
      <c r="C9" s="449">
        <f>transport!C14</f>
        <v>0</v>
      </c>
      <c r="D9" s="449">
        <f>transport!D14</f>
        <v>1539.9533497008456</v>
      </c>
      <c r="E9" s="449">
        <f>transport!E14</f>
        <v>919.83402758260513</v>
      </c>
      <c r="F9" s="449">
        <f>transport!F14</f>
        <v>0</v>
      </c>
      <c r="G9" s="449">
        <f>transport!G14</f>
        <v>539905.85657158843</v>
      </c>
      <c r="H9" s="449">
        <f>transport!H14</f>
        <v>103510.72078939919</v>
      </c>
      <c r="I9" s="449">
        <f>transport!I14</f>
        <v>0</v>
      </c>
      <c r="J9" s="449">
        <f>transport!J14</f>
        <v>0</v>
      </c>
      <c r="K9" s="449">
        <f>transport!K14</f>
        <v>0</v>
      </c>
      <c r="L9" s="449">
        <f>transport!L14</f>
        <v>0</v>
      </c>
      <c r="M9" s="449">
        <f>transport!M14</f>
        <v>37593.082725650958</v>
      </c>
      <c r="N9" s="449">
        <f>transport!N14</f>
        <v>0</v>
      </c>
      <c r="O9" s="449">
        <f>transport!O14</f>
        <v>0</v>
      </c>
      <c r="P9" s="449">
        <f>transport!P14</f>
        <v>0</v>
      </c>
      <c r="Q9" s="448">
        <f>SUM(B9:P9)</f>
        <v>684399.08033703489</v>
      </c>
    </row>
    <row r="10" spans="1:17">
      <c r="A10" s="444" t="s">
        <v>526</v>
      </c>
      <c r="B10" s="445">
        <f>transport!B54</f>
        <v>136.07539129801822</v>
      </c>
      <c r="C10" s="445">
        <f>transport!C54</f>
        <v>0</v>
      </c>
      <c r="D10" s="445">
        <f>transport!D54</f>
        <v>0</v>
      </c>
      <c r="E10" s="445">
        <f>transport!E54</f>
        <v>0</v>
      </c>
      <c r="F10" s="445">
        <f>transport!F54</f>
        <v>0</v>
      </c>
      <c r="G10" s="445">
        <f>transport!G54</f>
        <v>9712.816269273726</v>
      </c>
      <c r="H10" s="445">
        <f>transport!H54</f>
        <v>0</v>
      </c>
      <c r="I10" s="445">
        <f>transport!I54</f>
        <v>0</v>
      </c>
      <c r="J10" s="445">
        <f>transport!J54</f>
        <v>0</v>
      </c>
      <c r="K10" s="445">
        <f>transport!K54</f>
        <v>0</v>
      </c>
      <c r="L10" s="445">
        <f>transport!L54</f>
        <v>0</v>
      </c>
      <c r="M10" s="445">
        <f>transport!M54</f>
        <v>536.32805701569964</v>
      </c>
      <c r="N10" s="445">
        <f>transport!N54</f>
        <v>0</v>
      </c>
      <c r="O10" s="445">
        <f>transport!O54</f>
        <v>0</v>
      </c>
      <c r="P10" s="446">
        <f>transport!P54</f>
        <v>0</v>
      </c>
      <c r="Q10" s="444">
        <f t="shared" si="0"/>
        <v>10385.219717587444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4577.5701655754701</v>
      </c>
      <c r="C14" s="452"/>
      <c r="D14" s="452">
        <f>'SEAP template'!E25</f>
        <v>15942.155803374199</v>
      </c>
      <c r="E14" s="452"/>
      <c r="F14" s="452"/>
      <c r="G14" s="452"/>
      <c r="H14" s="452"/>
      <c r="I14" s="452"/>
      <c r="J14" s="452"/>
      <c r="K14" s="452"/>
      <c r="L14" s="452"/>
      <c r="M14" s="452"/>
      <c r="N14" s="452"/>
      <c r="O14" s="452"/>
      <c r="P14" s="453"/>
      <c r="Q14" s="444">
        <f t="shared" si="0"/>
        <v>20519.725968949668</v>
      </c>
    </row>
    <row r="15" spans="1:17" s="456" customFormat="1">
      <c r="A15" s="454" t="s">
        <v>530</v>
      </c>
      <c r="B15" s="455">
        <f ca="1">SUM(B4:B14)</f>
        <v>434704.69620821258</v>
      </c>
      <c r="C15" s="455">
        <f t="shared" ref="C15:Q15" ca="1" si="1">SUM(C4:C14)</f>
        <v>5506.0714285714284</v>
      </c>
      <c r="D15" s="455">
        <f t="shared" ca="1" si="1"/>
        <v>728119.58212172531</v>
      </c>
      <c r="E15" s="455">
        <f t="shared" si="1"/>
        <v>8490.5138261163302</v>
      </c>
      <c r="F15" s="455">
        <f t="shared" ca="1" si="1"/>
        <v>165794.84254550198</v>
      </c>
      <c r="G15" s="455">
        <f t="shared" si="1"/>
        <v>549618.67284086219</v>
      </c>
      <c r="H15" s="455">
        <f t="shared" si="1"/>
        <v>103510.72078939919</v>
      </c>
      <c r="I15" s="455">
        <f t="shared" si="1"/>
        <v>0</v>
      </c>
      <c r="J15" s="455">
        <f t="shared" si="1"/>
        <v>2568.150849311166</v>
      </c>
      <c r="K15" s="455">
        <f t="shared" si="1"/>
        <v>0</v>
      </c>
      <c r="L15" s="455">
        <f t="shared" ca="1" si="1"/>
        <v>0</v>
      </c>
      <c r="M15" s="455">
        <f t="shared" si="1"/>
        <v>38129.410782666659</v>
      </c>
      <c r="N15" s="455">
        <f t="shared" ca="1" si="1"/>
        <v>55466.504038400628</v>
      </c>
      <c r="O15" s="455">
        <f t="shared" si="1"/>
        <v>1604.0200429620859</v>
      </c>
      <c r="P15" s="455">
        <f t="shared" si="1"/>
        <v>2515.3950845939089</v>
      </c>
      <c r="Q15" s="455">
        <f t="shared" ca="1" si="1"/>
        <v>2096028.5805583231</v>
      </c>
    </row>
    <row r="17" spans="1:17">
      <c r="A17" s="457" t="s">
        <v>531</v>
      </c>
      <c r="B17" s="737">
        <f ca="1">huishoudens!B10</f>
        <v>0.20096409150462816</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23509.971776747323</v>
      </c>
      <c r="C22" s="445">
        <f t="shared" ref="C22:C32" ca="1" si="3">C4*$C$17</f>
        <v>0</v>
      </c>
      <c r="D22" s="445">
        <f t="shared" ref="D22:D32" si="4">D4*$D$17</f>
        <v>65521.318611270093</v>
      </c>
      <c r="E22" s="445">
        <f t="shared" ref="E22:E32" si="5">E4*$E$17</f>
        <v>1459.7660229658868</v>
      </c>
      <c r="F22" s="445">
        <f t="shared" ref="F22:F32" si="6">F4*$F$17</f>
        <v>28137.543601163543</v>
      </c>
      <c r="G22" s="445">
        <f t="shared" ref="G22:G32" si="7">G4*$G$17</f>
        <v>0</v>
      </c>
      <c r="H22" s="445">
        <f t="shared" ref="H22:H32" si="8">H4*$H$17</f>
        <v>0</v>
      </c>
      <c r="I22" s="445">
        <f t="shared" ref="I22:I32" si="9">I4*$I$17</f>
        <v>0</v>
      </c>
      <c r="J22" s="445">
        <f t="shared" ref="J22:J32" si="10">J4*$J$17</f>
        <v>205.91018386476577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118834.5101960116</v>
      </c>
    </row>
    <row r="23" spans="1:17">
      <c r="A23" s="444" t="s">
        <v>149</v>
      </c>
      <c r="B23" s="445">
        <f t="shared" ca="1" si="2"/>
        <v>38002.930598126855</v>
      </c>
      <c r="C23" s="445">
        <f t="shared" ca="1" si="3"/>
        <v>1308.501680672269</v>
      </c>
      <c r="D23" s="445">
        <f t="shared" ca="1" si="4"/>
        <v>43078.873632240669</v>
      </c>
      <c r="E23" s="445">
        <f t="shared" si="5"/>
        <v>105.91829254264965</v>
      </c>
      <c r="F23" s="445">
        <f t="shared" ca="1" si="6"/>
        <v>9192.2387531519271</v>
      </c>
      <c r="G23" s="445">
        <f t="shared" si="7"/>
        <v>0</v>
      </c>
      <c r="H23" s="445">
        <f t="shared" si="8"/>
        <v>0</v>
      </c>
      <c r="I23" s="445">
        <f t="shared" si="9"/>
        <v>0</v>
      </c>
      <c r="J23" s="445">
        <f t="shared" si="10"/>
        <v>6.9620234793700123E-2</v>
      </c>
      <c r="K23" s="445">
        <f t="shared" si="11"/>
        <v>0</v>
      </c>
      <c r="L23" s="445">
        <f t="shared" ca="1" si="12"/>
        <v>0</v>
      </c>
      <c r="M23" s="445">
        <f t="shared" si="13"/>
        <v>0</v>
      </c>
      <c r="N23" s="445">
        <f t="shared" ca="1" si="14"/>
        <v>0</v>
      </c>
      <c r="O23" s="445">
        <f t="shared" si="15"/>
        <v>0</v>
      </c>
      <c r="P23" s="446">
        <f t="shared" si="16"/>
        <v>0</v>
      </c>
      <c r="Q23" s="444">
        <f t="shared" ref="Q23:Q31" ca="1" si="17">SUM(B23:P23)</f>
        <v>91688.532576969141</v>
      </c>
    </row>
    <row r="24" spans="1:17">
      <c r="A24" s="444" t="s">
        <v>187</v>
      </c>
      <c r="B24" s="445">
        <f t="shared" ca="1" si="2"/>
        <v>1208.0339401039803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1208.0339401039803</v>
      </c>
    </row>
    <row r="25" spans="1:17">
      <c r="A25" s="444" t="s">
        <v>105</v>
      </c>
      <c r="B25" s="445">
        <f t="shared" ca="1" si="2"/>
        <v>578.51013763062394</v>
      </c>
      <c r="C25" s="445">
        <f t="shared" ca="1" si="3"/>
        <v>0</v>
      </c>
      <c r="D25" s="445">
        <f t="shared" si="4"/>
        <v>153.57013477822227</v>
      </c>
      <c r="E25" s="445">
        <f t="shared" si="5"/>
        <v>19.265819756223994</v>
      </c>
      <c r="F25" s="445">
        <f t="shared" si="6"/>
        <v>2442.9030259123842</v>
      </c>
      <c r="G25" s="445">
        <f t="shared" si="7"/>
        <v>0</v>
      </c>
      <c r="H25" s="445">
        <f t="shared" si="8"/>
        <v>0</v>
      </c>
      <c r="I25" s="445">
        <f t="shared" si="9"/>
        <v>0</v>
      </c>
      <c r="J25" s="445">
        <f t="shared" si="10"/>
        <v>256.99831701002711</v>
      </c>
      <c r="K25" s="445">
        <f t="shared" si="11"/>
        <v>0</v>
      </c>
      <c r="L25" s="445">
        <f t="shared" si="12"/>
        <v>0</v>
      </c>
      <c r="M25" s="445">
        <f t="shared" si="13"/>
        <v>0</v>
      </c>
      <c r="N25" s="445">
        <f t="shared" si="14"/>
        <v>0</v>
      </c>
      <c r="O25" s="445">
        <f t="shared" si="15"/>
        <v>0</v>
      </c>
      <c r="P25" s="446">
        <f t="shared" si="16"/>
        <v>0</v>
      </c>
      <c r="Q25" s="444">
        <f t="shared" ca="1" si="17"/>
        <v>3451.2474350874818</v>
      </c>
    </row>
    <row r="26" spans="1:17">
      <c r="A26" s="444" t="s">
        <v>587</v>
      </c>
      <c r="B26" s="445">
        <f t="shared" ca="1" si="2"/>
        <v>22926.491570880164</v>
      </c>
      <c r="C26" s="445">
        <f t="shared" ca="1" si="3"/>
        <v>0</v>
      </c>
      <c r="D26" s="445">
        <f t="shared" si="4"/>
        <v>34795.007161378344</v>
      </c>
      <c r="E26" s="445">
        <f t="shared" si="5"/>
        <v>133.59417900239552</v>
      </c>
      <c r="F26" s="445">
        <f t="shared" si="6"/>
        <v>4494.5375794211777</v>
      </c>
      <c r="G26" s="445">
        <f t="shared" si="7"/>
        <v>0</v>
      </c>
      <c r="H26" s="445">
        <f t="shared" si="8"/>
        <v>0</v>
      </c>
      <c r="I26" s="445">
        <f t="shared" si="9"/>
        <v>0</v>
      </c>
      <c r="J26" s="445">
        <f t="shared" si="10"/>
        <v>446.1472795465661</v>
      </c>
      <c r="K26" s="445">
        <f t="shared" si="11"/>
        <v>0</v>
      </c>
      <c r="L26" s="445">
        <f t="shared" si="12"/>
        <v>0</v>
      </c>
      <c r="M26" s="445">
        <f t="shared" si="13"/>
        <v>0</v>
      </c>
      <c r="N26" s="445">
        <f t="shared" si="14"/>
        <v>0</v>
      </c>
      <c r="O26" s="445">
        <f t="shared" si="15"/>
        <v>0</v>
      </c>
      <c r="P26" s="446">
        <f t="shared" si="16"/>
        <v>0</v>
      </c>
      <c r="Q26" s="444">
        <f t="shared" ca="1" si="17"/>
        <v>62795.777770228648</v>
      </c>
    </row>
    <row r="27" spans="1:17" s="450" customFormat="1">
      <c r="A27" s="448" t="s">
        <v>536</v>
      </c>
      <c r="B27" s="731">
        <f t="shared" ca="1" si="2"/>
        <v>186.82282577795078</v>
      </c>
      <c r="C27" s="449">
        <f t="shared" ca="1" si="3"/>
        <v>0</v>
      </c>
      <c r="D27" s="449">
        <f t="shared" si="4"/>
        <v>311.07057663957085</v>
      </c>
      <c r="E27" s="449">
        <f t="shared" si="5"/>
        <v>208.80232426125139</v>
      </c>
      <c r="F27" s="449">
        <f t="shared" si="6"/>
        <v>0</v>
      </c>
      <c r="G27" s="449">
        <f t="shared" si="7"/>
        <v>144154.86370461411</v>
      </c>
      <c r="H27" s="449">
        <f t="shared" si="8"/>
        <v>25774.169476560397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170635.72890785328</v>
      </c>
    </row>
    <row r="28" spans="1:17" ht="16.5" customHeight="1">
      <c r="A28" s="444" t="s">
        <v>526</v>
      </c>
      <c r="B28" s="445">
        <f t="shared" ca="1" si="2"/>
        <v>27.346267388343016</v>
      </c>
      <c r="C28" s="445">
        <f t="shared" ca="1" si="3"/>
        <v>0</v>
      </c>
      <c r="D28" s="445">
        <f t="shared" si="4"/>
        <v>0</v>
      </c>
      <c r="E28" s="445">
        <f t="shared" si="5"/>
        <v>0</v>
      </c>
      <c r="F28" s="445">
        <f t="shared" si="6"/>
        <v>0</v>
      </c>
      <c r="G28" s="445">
        <f t="shared" si="7"/>
        <v>2593.321943896085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2620.6682112844283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919.92722962356459</v>
      </c>
      <c r="C32" s="445">
        <f t="shared" ca="1" si="3"/>
        <v>0</v>
      </c>
      <c r="D32" s="445">
        <f t="shared" si="4"/>
        <v>3220.3154722815884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4140.2427019051529</v>
      </c>
    </row>
    <row r="33" spans="1:17" s="456" customFormat="1">
      <c r="A33" s="454" t="s">
        <v>530</v>
      </c>
      <c r="B33" s="455">
        <f ca="1">SUM(B22:B32)</f>
        <v>87360.034346278801</v>
      </c>
      <c r="C33" s="455">
        <f t="shared" ref="C33:Q33" ca="1" si="19">SUM(C22:C32)</f>
        <v>1308.501680672269</v>
      </c>
      <c r="D33" s="455">
        <f t="shared" ca="1" si="19"/>
        <v>147080.1555885885</v>
      </c>
      <c r="E33" s="455">
        <f t="shared" si="19"/>
        <v>1927.3466385284073</v>
      </c>
      <c r="F33" s="455">
        <f t="shared" ca="1" si="19"/>
        <v>44267.222959649029</v>
      </c>
      <c r="G33" s="455">
        <f t="shared" si="19"/>
        <v>146748.1856485102</v>
      </c>
      <c r="H33" s="455">
        <f t="shared" si="19"/>
        <v>25774.169476560397</v>
      </c>
      <c r="I33" s="455">
        <f t="shared" si="19"/>
        <v>0</v>
      </c>
      <c r="J33" s="455">
        <f t="shared" si="19"/>
        <v>909.12540065615269</v>
      </c>
      <c r="K33" s="455">
        <f t="shared" si="19"/>
        <v>0</v>
      </c>
      <c r="L33" s="455">
        <f t="shared" ca="1" si="19"/>
        <v>0</v>
      </c>
      <c r="M33" s="455">
        <f t="shared" si="19"/>
        <v>0</v>
      </c>
      <c r="N33" s="455">
        <f t="shared" ca="1" si="19"/>
        <v>0</v>
      </c>
      <c r="O33" s="455">
        <f t="shared" si="19"/>
        <v>0</v>
      </c>
      <c r="P33" s="455">
        <f t="shared" si="19"/>
        <v>0</v>
      </c>
      <c r="Q33" s="455">
        <f t="shared" ca="1" si="19"/>
        <v>455374.74173944368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11190.43567878051</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28510.312928489839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3854.25</v>
      </c>
      <c r="D8" s="972">
        <f>'SEAP template'!D76</f>
        <v>4534.4117647058829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915.95117647058839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39700.748607270347</v>
      </c>
      <c r="C10" s="974">
        <f>SUM(C4:C9)</f>
        <v>3854.25</v>
      </c>
      <c r="D10" s="974">
        <f t="shared" ref="D10:H10" si="0">SUM(D8:D9)</f>
        <v>4534.4117647058829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915.95117647058839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0.20096409150462816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5506.0714285714284</v>
      </c>
      <c r="D17" s="973">
        <f>'SEAP template'!D87</f>
        <v>6477.7310924369749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1308.501680672269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5506.0714285714284</v>
      </c>
      <c r="D20" s="974">
        <f t="shared" ref="D20:H20" si="2">SUM(D17:D19)</f>
        <v>6477.7310924369749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1308.501680672269</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0.20096409150462816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2022-07-26T09:50:55Z</dcterms:modified>
</cp:coreProperties>
</file>