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EB314CA-0B76-44F5-B61E-69E1EDDDA8B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<sst xmlns="http://schemas.openxmlformats.org/spreadsheetml/2006/main" count="2397" uniqueCount="866">
  <si>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</si>
  <si>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</si>
  <si>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</si>
  <si>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</si>
  <si>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</si>
  <si>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</si>
  <si>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</si>
  <si>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</si>
  <si>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</si>
  <si>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</si>
  <si>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</si>
  <si>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</si>
  <si>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</si>
  <si>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</si>
  <si>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</si>
  <si>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</si>
  <si>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</si>
  <si>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</si>
  <si>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</si>
  <si>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</si>
  <si>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</si>
  <si>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</si>
  <si>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</si>
  <si>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</si>
  <si>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</si>
  <si>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</si>
  <si>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</si>
  <si>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</si>
  <si>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</si>
  <si>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</si>
  <si>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</si>
  <si>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</si>
  <si>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</si>
  <si>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</si>
  <si>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</si>
  <si>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</si>
  <si>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</si>
  <si>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</si>
  <si>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</si>
  <si>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</si>
  <si>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</si>
  <si>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</si>
  <si>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</si>
  <si>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</si>
  <si>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</si>
  <si>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</si>
  <si>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</si>
  <si>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</si>
  <si>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</si>
  <si>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</si>
  <si>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</si>
  <si>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</si>
  <si>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</si>
  <si>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</si>
  <si>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</si>
  <si>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</si>
  <si>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</si>
  <si>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</si>
  <si>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</si>
  <si>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</si>
  <si>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</si>
  <si>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</si>
  <si>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</si>
  <si>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</si>
  <si>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</si>
  <si>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</si>
  <si>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</si>
  <si>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</si>
  <si>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</si>
  <si>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</si>
  <si>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</si>
  <si>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</si>
  <si>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</si>
  <si>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</si>
  <si>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</si>
  <si>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</si>
  <si>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</si>
  <si>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</si>
  <si>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</si>
  <si>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</si>
  <si>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</si>
  <si>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</si>
  <si>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</si>
  <si>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</si>
  <si>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</si>
  <si>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</si>
  <si>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</si>
  <si>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</si>
  <si>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</si>
  <si>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</si>
  <si>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</si>
  <si>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</si>
  <si>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</si>
  <si>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</si>
  <si>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</si>
  <si>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</si>
  <si>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</si>
  <si>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</si>
  <si>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</si>
  <si>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</si>
  <si>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</si>
  <si>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</si>
  <si>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</si>
  <si>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</si>
  <si>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</si>
  <si>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</si>
  <si>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</si>
  <si>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</si>
  <si>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</si>
  <si>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</si>
  <si>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</si>
  <si>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</si>
  <si>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</si>
  <si>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</si>
  <si>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</si>
  <si>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</si>
  <si>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</si>
  <si>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</si>
  <si>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</si>
  <si>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</si>
  <si>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</si>
  <si>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</si>
  <si>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</si>
  <si>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</si>
  <si>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</si>
  <si>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</si>
  <si>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</si>
  <si>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</si>
  <si>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</si>
  <si>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</si>
  <si>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</si>
  <si>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</si>
  <si>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</si>
  <si>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</si>
  <si>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</si>
  <si>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</si>
  <si>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</si>
  <si>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</si>
  <si>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</si>
  <si>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</si>
  <si>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</si>
  <si>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</si>
  <si>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</si>
  <si>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</si>
  <si>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</si>
  <si>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</si>
  <si>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</si>
  <si>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</si>
  <si>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</si>
  <si>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</si>
  <si>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</si>
  <si>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</si>
  <si>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</si>
  <si>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</si>
  <si>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</si>
  <si>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</si>
  <si>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</si>
  <si>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</si>
  <si>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</si>
  <si>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</si>
  <si>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</si>
  <si>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</si>
  <si>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</si>
  <si>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</si>
  <si>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</si>
  <si>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</si>
  <si>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</si>
  <si>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</si>
  <si>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</si>
  <si>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</si>
  <si>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</si>
  <si>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</si>
  <si>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</si>
  <si>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</si>
  <si>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</si>
  <si>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</si>
  <si>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</si>
  <si>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</si>
  <si>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</si>
  <si>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</si>
  <si>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</si>
  <si>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</si>
  <si>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</si>
  <si>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</si>
  <si>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</si>
  <si>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</si>
  <si>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</si>
  <si>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</si>
  <si>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</si>
  <si>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</si>
  <si>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</si>
  <si>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</si>
  <si>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</si>
  <si>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</si>
  <si>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</si>
  <si>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</si>
  <si>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</si>
  <si>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</si>
  <si>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</si>
  <si>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</si>
  <si>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</si>
  <si>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</si>
  <si>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</si>
  <si>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</si>
  <si>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</si>
  <si>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</si>
  <si>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</si>
  <si>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</si>
  <si>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</si>
  <si>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</si>
  <si>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</si>
  <si>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</si>
  <si>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</si>
  <si>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</si>
  <si>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</si>
  <si>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</si>
  <si>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</si>
  <si>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</si>
  <si>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</si>
  <si>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</si>
  <si>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</si>
  <si>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</si>
  <si>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</si>
  <si>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</si>
  <si>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</si>
  <si>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</si>
  <si>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</si>
  <si>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</si>
  <si>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</si>
  <si>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</si>
  <si>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</si>
  <si>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</si>
  <si>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</si>
  <si>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</si>
  <si>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</si>
  <si>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</si>
  <si>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</si>
  <si>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</si>
  <si>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</si>
  <si>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</si>
  <si>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</si>
  <si>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</si>
  <si>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</si>
  <si>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</si>
  <si>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</si>
  <si>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</si>
  <si>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</si>
  <si>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</si>
  <si>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</si>
  <si>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</si>
  <si>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</si>
  <si>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</si>
  <si>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</si>
  <si>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</si>
  <si>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</si>
  <si>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</si>
  <si>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</si>
  <si>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</si>
  <si>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</si>
  <si>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</si>
  <si>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</si>
  <si>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</si>
  <si>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</si>
  <si>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</si>
  <si>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</si>
  <si>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</si>
  <si>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</si>
  <si>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</si>
  <si>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</si>
  <si>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</si>
  <si>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</si>
  <si>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</si>
  <si>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</si>
  <si>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</si>
  <si>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</si>
  <si>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</si>
  <si>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</si>
  <si>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</si>
  <si>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</si>
  <si>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</si>
  <si>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</si>
  <si>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</si>
  <si>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</si>
  <si>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</si>
  <si>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</si>
  <si>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</si>
  <si>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</si>
  <si>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</si>
  <si>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</si>
  <si>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</si>
  <si>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</si>
  <si>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</si>
  <si>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</si>
  <si>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</si>
  <si>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</si>
  <si>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</si>
  <si>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</si>
  <si>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</si>
  <si>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</si>
  <si>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</si>
  <si>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</si>
  <si>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</si>
  <si>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</si>
  <si>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</si>
  <si>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</si>
  <si>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</si>
  <si>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</si>
  <si>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</si>
  <si>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</si>
  <si>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</si>
  <si>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</si>
  <si>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</si>
  <si>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</si>
  <si>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</si>
  <si>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</si>
  <si>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</si>
  <si>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</si>
  <si>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</si>
  <si>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</si>
  <si>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</si>
  <si>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</si>
  <si>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</si>
  <si>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</si>
  <si>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</si>
  <si>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</si>
  <si>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</si>
  <si>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</si>
  <si>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</si>
  <si>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</si>
  <si>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</si>
  <si>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</si>
  <si>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</si>
  <si>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</si>
  <si>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</si>
  <si>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</si>
  <si>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</si>
  <si>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</si>
  <si>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</si>
  <si>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</si>
  <si>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</si>
  <si>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</si>
  <si>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</si>
  <si>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</si>
  <si>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</si>
  <si>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</si>
  <si>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</si>
  <si>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</si>
  <si>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</si>
  <si>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</si>
  <si>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</si>
  <si>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</si>
  <si>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</si>
  <si>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</si>
  <si>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</si>
  <si>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</si>
  <si>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</si>
  <si>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</si>
  <si>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</si>
  <si>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</si>
  <si>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</si>
  <si>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</si>
  <si>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</si>
  <si>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</si>
  <si>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</si>
  <si>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</si>
  <si>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</si>
  <si>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</si>
  <si>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</si>
  <si>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</si>
  <si>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</si>
  <si>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</si>
  <si>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</si>
  <si>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</si>
  <si>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</si>
  <si>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</si>
  <si>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</si>
  <si>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</si>
  <si>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</si>
  <si>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</si>
  <si>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</si>
  <si>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</si>
  <si>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</si>
  <si>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</si>
  <si>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</si>
  <si>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</si>
  <si>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</si>
  <si>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</si>
  <si>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</si>
  <si>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</si>
  <si>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</si>
  <si>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</si>
  <si>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</si>
  <si>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</si>
  <si>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</si>
  <si>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</si>
  <si>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</si>
  <si>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</si>
  <si>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</si>
  <si>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</si>
  <si>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</si>
  <si>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</si>
  <si>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</si>
  <si>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</si>
  <si>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</si>
  <si>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</si>
  <si>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</si>
  <si>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</si>
  <si>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</si>
  <si>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</si>
  <si>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</si>
  <si>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</si>
  <si>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</si>
  <si>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</si>
  <si>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</si>
  <si>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</si>
  <si>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</si>
  <si>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</si>
  <si>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</si>
  <si>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</si>
  <si>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</si>
  <si>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</si>
  <si>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</si>
  <si>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</si>
  <si>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</si>
  <si>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</si>
  <si>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</si>
  <si>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</si>
  <si>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</si>
  <si>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</si>
  <si>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</si>
  <si>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</si>
  <si>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</si>
  <si>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</si>
  <si>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</si>
  <si>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</si>
  <si>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</si>
  <si>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</si>
  <si>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</si>
  <si>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</si>
  <si>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</si>
  <si>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</si>
  <si>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</si>
  <si>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</si>
  <si>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</si>
  <si>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</si>
  <si>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</si>
  <si>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</si>
  <si>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</si>
  <si>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</si>
  <si>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</si>
  <si>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</si>
  <si>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</si>
  <si>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</si>
  <si>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</si>
  <si>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</si>
  <si>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</si>
  <si>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</si>
  <si>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</si>
  <si>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</si>
  <si>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</si>
  <si>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</si>
  <si>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</si>
  <si>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</si>
  <si>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</si>
  <si>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</si>
  <si>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</si>
  <si>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</si>
  <si>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</si>
  <si>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</si>
  <si>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</si>
  <si>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</si>
  <si>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</si>
  <si>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</si>
  <si>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</si>
  <si>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</si>
  <si>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</si>
  <si>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</si>
  <si>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</si>
  <si>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</si>
  <si>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</si>
  <si>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</si>
  <si>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</si>
  <si>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</si>
  <si>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</si>
  <si>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</si>
  <si>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</si>
  <si>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</si>
  <si>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</si>
  <si>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</si>
  <si>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</si>
  <si>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</si>
  <si>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</si>
  <si>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</si>
  <si>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</si>
  <si>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</si>
  <si>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</si>
  <si>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</si>
  <si>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</si>
  <si>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</si>
  <si>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</si>
  <si>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</si>
  <si>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</si>
  <si>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</si>
  <si>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</si>
  <si>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</si>
  <si>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</si>
  <si>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</si>
  <si>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</si>
  <si>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</si>
  <si>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</si>
  <si>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</si>
  <si>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</si>
  <si>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</si>
  <si>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</si>
  <si>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</si>
  <si>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</si>
  <si>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</si>
  <si>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</si>
  <si>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</si>
  <si>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</si>
  <si>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</si>
  <si>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</si>
  <si>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</si>
  <si>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</si>
  <si>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</si>
  <si>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</si>
  <si>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</si>
  <si>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</si>
  <si>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</si>
  <si>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</si>
  <si>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</si>
  <si>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</si>
  <si>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</si>
  <si>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</si>
  <si>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</si>
  <si>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</si>
  <si>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</si>
  <si>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</si>
  <si>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</si>
  <si>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</si>
  <si>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</si>
  <si>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</si>
  <si>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</si>
  <si>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</si>
  <si>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</si>
  <si>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</si>
  <si>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</si>
  <si>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</si>
  <si>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</si>
  <si>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</si>
  <si>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</si>
  <si>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</si>
  <si>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</si>
  <si>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</si>
  <si>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</si>
  <si>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</si>
  <si>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</si>
  <si>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</si>
  <si>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</si>
  <si>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</si>
  <si>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</si>
  <si>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</si>
  <si>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</si>
  <si>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</si>
  <si>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</si>
  <si>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</si>
  <si>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</si>
  <si>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</si>
  <si>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</si>
  <si>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</si>
  <si>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</si>
  <si>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</si>
  <si>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</si>
  <si>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</si>
  <si>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</si>
  <si>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</si>
  <si>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</si>
  <si>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</si>
  <si>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</si>
  <si>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</si>
  <si>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</si>
  <si>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</si>
  <si>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</si>
  <si>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</si>
  <si>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</si>
  <si>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</si>
  <si>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</si>
  <si>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</si>
  <si>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</si>
  <si>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</si>
  <si>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</si>
  <si>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</si>
  <si>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</si>
  <si>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</si>
  <si>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</si>
  <si>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</si>
  <si>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</si>
  <si>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</si>
  <si>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</si>
  <si>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</si>
  <si>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</si>
  <si>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</si>
  <si>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</si>
  <si>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</si>
  <si>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</si>
  <si>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</si>
  <si>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</si>
  <si>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</si>
  <si>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</si>
  <si>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</si>
  <si>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</si>
  <si>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</si>
  <si>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</si>
  <si>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</si>
  <si>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</si>
  <si>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</si>
  <si>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</si>
  <si>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</si>
  <si>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</si>
  <si>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</si>
  <si>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</si>
  <si>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</si>
  <si>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</si>
  <si>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</si>
  <si>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</si>
  <si>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</si>
  <si>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</si>
  <si>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</si>
  <si>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</si>
  <si>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</si>
  <si>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</si>
  <si>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</si>
  <si>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</si>
  <si>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</si>
  <si>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</si>
  <si>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</si>
  <si>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</si>
  <si>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</si>
  <si>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</si>
  <si>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</si>
  <si>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</si>
  <si>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</si>
  <si>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</si>
  <si>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</si>
  <si>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</si>
  <si>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</si>
  <si>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</si>
  <si>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</si>
  <si>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</si>
  <si>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</si>
  <si>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</si>
  <si>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</si>
  <si>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</si>
  <si>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</si>
  <si>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</si>
  <si>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</si>
  <si>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</si>
  <si>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</si>
  <si>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</si>
  <si>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</si>
  <si>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</si>
  <si>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</si>
  <si>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</si>
  <si>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</si>
  <si>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</si>
  <si>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</si>
  <si>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</si>
  <si>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</si>
  <si>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</si>
  <si>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</si>
  <si>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</si>
  <si>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</si>
  <si>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</si>
  <si>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</si>
  <si>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</si>
  <si>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</si>
  <si>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</si>
  <si>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</si>
  <si>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</si>
  <si>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</si>
  <si>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</si>
  <si>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</si>
  <si>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</si>
  <si>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</si>
  <si>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</si>
  <si>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</si>
  <si>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</si>
  <si>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</si>
  <si>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</si>
  <si>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</si>
  <si>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</si>
  <si>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</si>
  <si>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</si>
  <si>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</si>
  <si>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</si>
  <si>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</si>
  <si>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</si>
  <si>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</si>
  <si>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</si>
  <si>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</si>
  <si>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</si>
  <si>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</si>
  <si>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</si>
  <si>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</si>
  <si>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</si>
  <si>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</si>
  <si>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</si>
  <si>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</si>
  <si>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</si>
  <si>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</si>
  <si>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</si>
  <si>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</si>
  <si>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</si>
  <si>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</si>
  <si>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</si>
  <si>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</si>
  <si>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</si>
  <si>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</si>
  <si>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</si>
  <si>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</si>
  <si>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</si>
  <si>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</si>
  <si>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</si>
  <si>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</si>
  <si>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</si>
  <si>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</si>
  <si>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</si>
  <si>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</si>
  <si>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</si>
  <si>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</si>
  <si>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</si>
  <si>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</si>
  <si>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</si>
  <si>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</si>
  <si>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</si>
  <si>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</si>
  <si>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</si>
  <si>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</si>
  <si>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</si>
  <si>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</si>
  <si>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</si>
  <si>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</si>
  <si>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</si>
  <si>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</si>
  <si>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</si>
  <si>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</si>
  <si>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</si>
  <si>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</si>
  <si>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</si>
  <si>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</si>
  <si>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</si>
  <si>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</si>
  <si>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</si>
  <si>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</si>
  <si>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</si>
  <si>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</si>
  <si>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</si>
  <si>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</si>
  <si>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</si>
  <si>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</si>
  <si>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</si>
  <si>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</si>
  <si>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</si>
  <si>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</si>
  <si>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</si>
  <si>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</si>
  <si>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</si>
  <si>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</si>
  <si>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</si>
  <si>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</si>
  <si>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</si>
  <si>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</si>
  <si>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</si>
  <si>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</si>
  <si>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</si>
  <si>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</si>
  <si>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</si>
  <si>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</si>
  <si>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</si>
  <si>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</si>
  <si>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</si>
  <si>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</si>
  <si>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</si>
  <si>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</si>
  <si>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</si>
  <si>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</si>
  <si>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</si>
  <si>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</si>
  <si>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</si>
  <si>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</si>
  <si>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</si>
  <si>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</si>
  <si>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</si>
  <si>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</si>
  <si>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</si>
  <si>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</si>
  <si>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</si>
  <si>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</si>
  <si>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</si>
  <si>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</si>
  <si>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</si>
  <si>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</si>
  <si>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</si>
  <si>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</si>
  <si>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</si>
  <si>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</si>
  <si>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</si>
  <si>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</si>
  <si>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</si>
  <si>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</si>
  <si>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</si>
  <si>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</si>
  <si>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</si>
  <si>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</si>
  <si>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</si>
  <si>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</si>
  <si>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</si>
  <si>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</si>
  <si>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</si>
  <si>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</si>
  <si>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</si>
  <si>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</si>
  <si>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</si>
  <si>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</si>
  <si>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</si>
  <si>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</si>
  <si>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</si>
  <si>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</si>
  <si>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</si>
  <si>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</si>
  <si>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</si>
  <si>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</si>
  <si>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</si>
  <si>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</si>
  <si>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</si>
  <si>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</si>
  <si>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</si>
  <si>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</si>
  <si>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</si>
  <si>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</si>
  <si>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</si>
  <si>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</si>
  <si>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</si>
  <si>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</si>
  <si>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</si>
  <si>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</si>
  <si>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</si>
  <si>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</si>
  <si>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</si>
  <si>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</si>
  <si>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</si>
  <si>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</si>
  <si>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</si>
  <si>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</si>
  <si>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</si>
  <si>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</si>
  <si>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</si>
  <si>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34013</t>
  </si>
  <si>
    <t>HARELBEKE</t>
  </si>
  <si>
    <t>waterkracht</t>
  </si>
  <si>
    <t>vloeibaar gas (MWh)</t>
  </si>
  <si>
    <t>interne verbrandingsmotor</t>
  </si>
  <si>
    <t>WKK interne verbrandinsgmotor (gas)</t>
  </si>
  <si>
    <t>Infrax West</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</si>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</sst>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6F0763E-9086-43A3-9876-9015BAFA526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214699.70648992711</c:v>
                </c:pt>
                <c:pt idx="1">
                  <c:v>179092.39667854208</c:v>
                </c:pt>
                <c:pt idx="2">
                  <c:v>1620.9087220000001</c:v>
                </c:pt>
                <c:pt idx="3">
                  <c:v>39866.335554956226</c:v>
                </c:pt>
                <c:pt idx="4">
                  <c:v>127846.30741698893</c:v>
                </c:pt>
                <c:pt idx="5">
                  <c:v>199116.22195346552</c:v>
                </c:pt>
                <c:pt idx="6">
                  <c:v>1403.7382058175174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214699.70648992711</c:v>
                </c:pt>
                <c:pt idx="1">
                  <c:v>179092.39667854208</c:v>
                </c:pt>
                <c:pt idx="2">
                  <c:v>1620.9087220000001</c:v>
                </c:pt>
                <c:pt idx="3">
                  <c:v>39866.335554956226</c:v>
                </c:pt>
                <c:pt idx="4">
                  <c:v>127846.30741698893</c:v>
                </c:pt>
                <c:pt idx="5">
                  <c:v>199116.22195346552</c:v>
                </c:pt>
                <c:pt idx="6">
                  <c:v>1403.7382058175174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41647.077662218828</c:v>
                </c:pt>
                <c:pt idx="1">
                  <c:v>35245.4875291805</c:v>
                </c:pt>
                <c:pt idx="2">
                  <c:v>282.83625487929822</c:v>
                </c:pt>
                <c:pt idx="3">
                  <c:v>8784.9302393147718</c:v>
                </c:pt>
                <c:pt idx="4">
                  <c:v>24641.168974641099</c:v>
                </c:pt>
                <c:pt idx="5">
                  <c:v>49607.516621807241</c:v>
                </c:pt>
                <c:pt idx="6">
                  <c:v>353.740770384249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41647.077662218828</c:v>
                </c:pt>
                <c:pt idx="1">
                  <c:v>35245.4875291805</c:v>
                </c:pt>
                <c:pt idx="2">
                  <c:v>282.83625487929822</c:v>
                </c:pt>
                <c:pt idx="3">
                  <c:v>8784.9302393147718</c:v>
                </c:pt>
                <c:pt idx="4">
                  <c:v>24641.168974641099</c:v>
                </c:pt>
                <c:pt idx="5">
                  <c:v>49607.516621807241</c:v>
                </c:pt>
                <c:pt idx="6">
                  <c:v>353.740770384249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34013</v>
      </c>
      <c r="B6" s="382"/>
      <c r="C6" s="383"/>
    </row>
    <row r="7" spans="1:7" s="380" customFormat="1" ht="15.75" customHeight="1">
      <c r="A7" s="384" t="str">
        <f>txtMunicipality</f>
        <v>HARELBEKE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0.1744924011083816</v>
      </c>
      <c r="C17" s="493">
        <f ca="1">'EF ele_warmte'!B22</f>
        <v>0.21027916892684595</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0.1744924011083816</v>
      </c>
      <c r="C29" s="494">
        <f ca="1">'EF ele_warmte'!B22</f>
        <v>0.21027916892684595</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12107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1138.45</v>
      </c>
      <c r="C14" s="324"/>
      <c r="D14" s="324"/>
      <c r="E14" s="324"/>
      <c r="F14" s="324"/>
    </row>
    <row r="15" spans="1:6">
      <c r="A15" s="1264" t="s">
        <v>177</v>
      </c>
      <c r="B15" s="1265">
        <v>14</v>
      </c>
      <c r="C15" s="324"/>
      <c r="D15" s="324"/>
      <c r="E15" s="324"/>
      <c r="F15" s="324"/>
    </row>
    <row r="16" spans="1:6">
      <c r="A16" s="1264" t="s">
        <v>6</v>
      </c>
      <c r="B16" s="1265">
        <v>417</v>
      </c>
      <c r="C16" s="324"/>
      <c r="D16" s="324"/>
      <c r="E16" s="324"/>
      <c r="F16" s="324"/>
    </row>
    <row r="17" spans="1:6">
      <c r="A17" s="1264" t="s">
        <v>7</v>
      </c>
      <c r="B17" s="1265">
        <v>356</v>
      </c>
      <c r="C17" s="324"/>
      <c r="D17" s="324"/>
      <c r="E17" s="324"/>
      <c r="F17" s="324"/>
    </row>
    <row r="18" spans="1:6">
      <c r="A18" s="1264" t="s">
        <v>8</v>
      </c>
      <c r="B18" s="1265">
        <v>530</v>
      </c>
      <c r="C18" s="324"/>
      <c r="D18" s="324"/>
      <c r="E18" s="324"/>
      <c r="F18" s="324"/>
    </row>
    <row r="19" spans="1:6">
      <c r="A19" s="1264" t="s">
        <v>9</v>
      </c>
      <c r="B19" s="1265">
        <v>528</v>
      </c>
      <c r="C19" s="324"/>
      <c r="D19" s="324"/>
      <c r="E19" s="324"/>
      <c r="F19" s="324"/>
    </row>
    <row r="20" spans="1:6">
      <c r="A20" s="1264" t="s">
        <v>10</v>
      </c>
      <c r="B20" s="1265">
        <v>514</v>
      </c>
      <c r="C20" s="324"/>
      <c r="D20" s="324"/>
      <c r="E20" s="324"/>
      <c r="F20" s="324"/>
    </row>
    <row r="21" spans="1:6">
      <c r="A21" s="1264" t="s">
        <v>11</v>
      </c>
      <c r="B21" s="1265">
        <v>1782</v>
      </c>
      <c r="C21" s="324"/>
      <c r="D21" s="324"/>
      <c r="E21" s="324"/>
      <c r="F21" s="324"/>
    </row>
    <row r="22" spans="1:6">
      <c r="A22" s="1264" t="s">
        <v>12</v>
      </c>
      <c r="B22" s="1265">
        <v>6273</v>
      </c>
      <c r="C22" s="324"/>
      <c r="D22" s="324"/>
      <c r="E22" s="324"/>
      <c r="F22" s="324"/>
    </row>
    <row r="23" spans="1:6">
      <c r="A23" s="1264" t="s">
        <v>13</v>
      </c>
      <c r="B23" s="1265">
        <v>91</v>
      </c>
      <c r="C23" s="324"/>
      <c r="D23" s="324"/>
      <c r="E23" s="324"/>
      <c r="F23" s="324"/>
    </row>
    <row r="24" spans="1:6">
      <c r="A24" s="1264" t="s">
        <v>14</v>
      </c>
      <c r="B24" s="1265">
        <v>4</v>
      </c>
      <c r="C24" s="324"/>
      <c r="D24" s="324"/>
      <c r="E24" s="324"/>
      <c r="F24" s="324"/>
    </row>
    <row r="25" spans="1:6">
      <c r="A25" s="1264" t="s">
        <v>15</v>
      </c>
      <c r="B25" s="1265">
        <v>461</v>
      </c>
      <c r="C25" s="324"/>
      <c r="D25" s="324"/>
      <c r="E25" s="324"/>
      <c r="F25" s="324"/>
    </row>
    <row r="26" spans="1:6">
      <c r="A26" s="1264" t="s">
        <v>16</v>
      </c>
      <c r="B26" s="1265">
        <v>111</v>
      </c>
      <c r="C26" s="324"/>
      <c r="D26" s="324"/>
      <c r="E26" s="324"/>
      <c r="F26" s="324"/>
    </row>
    <row r="27" spans="1:6">
      <c r="A27" s="1264" t="s">
        <v>17</v>
      </c>
      <c r="B27" s="1265">
        <v>762</v>
      </c>
      <c r="C27" s="324"/>
      <c r="D27" s="324"/>
      <c r="E27" s="324"/>
      <c r="F27" s="324"/>
    </row>
    <row r="28" spans="1:6">
      <c r="A28" s="1264" t="s">
        <v>18</v>
      </c>
      <c r="B28" s="1266">
        <v>134522</v>
      </c>
      <c r="C28" s="324"/>
      <c r="D28" s="324"/>
      <c r="E28" s="324"/>
      <c r="F28" s="324"/>
    </row>
    <row r="29" spans="1:6">
      <c r="A29" s="1264" t="s">
        <v>657</v>
      </c>
      <c r="B29" s="1266">
        <v>69</v>
      </c>
      <c r="C29" s="324"/>
      <c r="D29" s="324"/>
      <c r="E29" s="324"/>
      <c r="F29" s="324"/>
    </row>
    <row r="30" spans="1:6">
      <c r="A30" s="1259" t="s">
        <v>658</v>
      </c>
      <c r="B30" s="1267">
        <v>18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8</v>
      </c>
      <c r="D36" s="1265">
        <v>1641522.395</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103851</v>
      </c>
    </row>
    <row r="39" spans="1:6">
      <c r="A39" s="1264" t="s">
        <v>29</v>
      </c>
      <c r="B39" s="1264" t="s">
        <v>30</v>
      </c>
      <c r="C39" s="1265">
        <v>9423</v>
      </c>
      <c r="D39" s="1265">
        <v>125136512.63600101</v>
      </c>
      <c r="E39" s="1265">
        <v>12032</v>
      </c>
      <c r="F39" s="1265">
        <v>36704041.234000102</v>
      </c>
    </row>
    <row r="40" spans="1:6">
      <c r="A40" s="1264" t="s">
        <v>29</v>
      </c>
      <c r="B40" s="1264" t="s">
        <v>28</v>
      </c>
      <c r="C40" s="1265">
        <v>0</v>
      </c>
      <c r="D40" s="1265">
        <v>0</v>
      </c>
      <c r="E40" s="1265">
        <v>0</v>
      </c>
      <c r="F40" s="1265">
        <v>0</v>
      </c>
    </row>
    <row r="41" spans="1:6">
      <c r="A41" s="1264" t="s">
        <v>31</v>
      </c>
      <c r="B41" s="1264" t="s">
        <v>32</v>
      </c>
      <c r="C41" s="1265">
        <v>230</v>
      </c>
      <c r="D41" s="1265">
        <v>4953823.9550000001</v>
      </c>
      <c r="E41" s="1265">
        <v>499</v>
      </c>
      <c r="F41" s="1265">
        <v>7493216.9759999998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28</v>
      </c>
      <c r="D44" s="1265">
        <v>4753813.0240000002</v>
      </c>
      <c r="E44" s="1265">
        <v>58</v>
      </c>
      <c r="F44" s="1265">
        <v>3924163.1460000002</v>
      </c>
    </row>
    <row r="45" spans="1:6">
      <c r="A45" s="1264" t="s">
        <v>31</v>
      </c>
      <c r="B45" s="1264" t="s">
        <v>36</v>
      </c>
      <c r="C45" s="1265">
        <v>3</v>
      </c>
      <c r="D45" s="1265">
        <v>4470189.76</v>
      </c>
      <c r="E45" s="1265">
        <v>8</v>
      </c>
      <c r="F45" s="1265">
        <v>3458073</v>
      </c>
    </row>
    <row r="46" spans="1:6">
      <c r="A46" s="1264" t="s">
        <v>31</v>
      </c>
      <c r="B46" s="1264" t="s">
        <v>37</v>
      </c>
      <c r="C46" s="1265">
        <v>0</v>
      </c>
      <c r="D46" s="1265">
        <v>0</v>
      </c>
      <c r="E46" s="1265">
        <v>0</v>
      </c>
      <c r="F46" s="1265">
        <v>0</v>
      </c>
    </row>
    <row r="47" spans="1:6">
      <c r="A47" s="1264" t="s">
        <v>31</v>
      </c>
      <c r="B47" s="1264" t="s">
        <v>38</v>
      </c>
      <c r="C47" s="1265">
        <v>13</v>
      </c>
      <c r="D47" s="1265">
        <v>12537862.767999999</v>
      </c>
      <c r="E47" s="1265">
        <v>19</v>
      </c>
      <c r="F47" s="1265">
        <v>5126769.1270000003</v>
      </c>
    </row>
    <row r="48" spans="1:6">
      <c r="A48" s="1264" t="s">
        <v>31</v>
      </c>
      <c r="B48" s="1264" t="s">
        <v>28</v>
      </c>
      <c r="C48" s="1265">
        <v>1</v>
      </c>
      <c r="D48" s="1265">
        <v>8668.0889711324999</v>
      </c>
      <c r="E48" s="1265">
        <v>2</v>
      </c>
      <c r="F48" s="1265">
        <v>4929.951</v>
      </c>
    </row>
    <row r="49" spans="1:6">
      <c r="A49" s="1264" t="s">
        <v>31</v>
      </c>
      <c r="B49" s="1264" t="s">
        <v>39</v>
      </c>
      <c r="C49" s="1265">
        <v>16</v>
      </c>
      <c r="D49" s="1265">
        <v>47227466.57</v>
      </c>
      <c r="E49" s="1265">
        <v>26</v>
      </c>
      <c r="F49" s="1265">
        <v>20017418.445</v>
      </c>
    </row>
    <row r="50" spans="1:6">
      <c r="A50" s="1264" t="s">
        <v>31</v>
      </c>
      <c r="B50" s="1264" t="s">
        <v>40</v>
      </c>
      <c r="C50" s="1265">
        <v>20</v>
      </c>
      <c r="D50" s="1265">
        <v>9221598.7400000002</v>
      </c>
      <c r="E50" s="1265">
        <v>35</v>
      </c>
      <c r="F50" s="1265">
        <v>4808490.6090000002</v>
      </c>
    </row>
    <row r="51" spans="1:6">
      <c r="A51" s="1264" t="s">
        <v>41</v>
      </c>
      <c r="B51" s="1264" t="s">
        <v>42</v>
      </c>
      <c r="C51" s="1265">
        <v>17</v>
      </c>
      <c r="D51" s="1265">
        <v>33400853.193999998</v>
      </c>
      <c r="E51" s="1265">
        <v>66</v>
      </c>
      <c r="F51" s="1265">
        <v>2217451.986</v>
      </c>
    </row>
    <row r="52" spans="1:6">
      <c r="A52" s="1264" t="s">
        <v>41</v>
      </c>
      <c r="B52" s="1264" t="s">
        <v>28</v>
      </c>
      <c r="C52" s="1265">
        <v>0</v>
      </c>
      <c r="D52" s="1265">
        <v>0</v>
      </c>
      <c r="E52" s="1265">
        <v>0</v>
      </c>
      <c r="F52" s="1265">
        <v>0</v>
      </c>
    </row>
    <row r="53" spans="1:6">
      <c r="A53" s="1264" t="s">
        <v>43</v>
      </c>
      <c r="B53" s="1264" t="s">
        <v>44</v>
      </c>
      <c r="C53" s="1265">
        <v>141</v>
      </c>
      <c r="D53" s="1265">
        <v>3953223.6910000001</v>
      </c>
      <c r="E53" s="1265">
        <v>266</v>
      </c>
      <c r="F53" s="1265">
        <v>886781.39099999995</v>
      </c>
    </row>
    <row r="54" spans="1:6">
      <c r="A54" s="1264" t="s">
        <v>45</v>
      </c>
      <c r="B54" s="1264" t="s">
        <v>46</v>
      </c>
      <c r="C54" s="1265">
        <v>0</v>
      </c>
      <c r="D54" s="1265">
        <v>0</v>
      </c>
      <c r="E54" s="1265">
        <v>1</v>
      </c>
      <c r="F54" s="1265">
        <v>1620908.7220000001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110</v>
      </c>
      <c r="D57" s="1265">
        <v>12644277.104</v>
      </c>
      <c r="E57" s="1265">
        <v>152</v>
      </c>
      <c r="F57" s="1265">
        <v>12404256.386</v>
      </c>
    </row>
    <row r="58" spans="1:6">
      <c r="A58" s="1264" t="s">
        <v>48</v>
      </c>
      <c r="B58" s="1264" t="s">
        <v>50</v>
      </c>
      <c r="C58" s="1265">
        <v>48</v>
      </c>
      <c r="D58" s="1265">
        <v>4894329.2690000003</v>
      </c>
      <c r="E58" s="1265">
        <v>68</v>
      </c>
      <c r="F58" s="1265">
        <v>1739886.4669999999</v>
      </c>
    </row>
    <row r="59" spans="1:6">
      <c r="A59" s="1264" t="s">
        <v>48</v>
      </c>
      <c r="B59" s="1264" t="s">
        <v>51</v>
      </c>
      <c r="C59" s="1265">
        <v>222</v>
      </c>
      <c r="D59" s="1265">
        <v>69943923.106000006</v>
      </c>
      <c r="E59" s="1265">
        <v>377</v>
      </c>
      <c r="F59" s="1265">
        <v>38875663.950999998</v>
      </c>
    </row>
    <row r="60" spans="1:6">
      <c r="A60" s="1264" t="s">
        <v>48</v>
      </c>
      <c r="B60" s="1264" t="s">
        <v>52</v>
      </c>
      <c r="C60" s="1265">
        <v>78</v>
      </c>
      <c r="D60" s="1265">
        <v>4724334.8880000003</v>
      </c>
      <c r="E60" s="1265">
        <v>102</v>
      </c>
      <c r="F60" s="1265">
        <v>2284601.8199999998</v>
      </c>
    </row>
    <row r="61" spans="1:6">
      <c r="A61" s="1264" t="s">
        <v>48</v>
      </c>
      <c r="B61" s="1264" t="s">
        <v>53</v>
      </c>
      <c r="C61" s="1265">
        <v>332</v>
      </c>
      <c r="D61" s="1265">
        <v>12844219.415999999</v>
      </c>
      <c r="E61" s="1265">
        <v>629</v>
      </c>
      <c r="F61" s="1265">
        <v>9500364.1449999996</v>
      </c>
    </row>
    <row r="62" spans="1:6">
      <c r="A62" s="1264" t="s">
        <v>48</v>
      </c>
      <c r="B62" s="1264" t="s">
        <v>54</v>
      </c>
      <c r="C62" s="1265">
        <v>6</v>
      </c>
      <c r="D62" s="1265">
        <v>398238.47499999998</v>
      </c>
      <c r="E62" s="1265">
        <v>27</v>
      </c>
      <c r="F62" s="1265">
        <v>471262.32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57124.122000000003</v>
      </c>
      <c r="E65" s="1265">
        <v>1</v>
      </c>
      <c r="F65" s="1265">
        <v>2499.732</v>
      </c>
    </row>
    <row r="66" spans="1:6">
      <c r="A66" s="1264" t="s">
        <v>55</v>
      </c>
      <c r="B66" s="1264" t="s">
        <v>57</v>
      </c>
      <c r="C66" s="1265">
        <v>0</v>
      </c>
      <c r="D66" s="1265">
        <v>0</v>
      </c>
      <c r="E66" s="1265">
        <v>21</v>
      </c>
      <c r="F66" s="1265">
        <v>585205.06099999999</v>
      </c>
    </row>
    <row r="67" spans="1:6">
      <c r="A67" s="1264" t="s">
        <v>55</v>
      </c>
      <c r="B67" s="1264" t="s">
        <v>58</v>
      </c>
      <c r="C67" s="1265">
        <v>0</v>
      </c>
      <c r="D67" s="1265">
        <v>0</v>
      </c>
      <c r="E67" s="1265">
        <v>0</v>
      </c>
      <c r="F67" s="1265">
        <v>0</v>
      </c>
    </row>
    <row r="68" spans="1:6">
      <c r="A68" s="1259" t="s">
        <v>55</v>
      </c>
      <c r="B68" s="1259" t="s">
        <v>59</v>
      </c>
      <c r="C68" s="1267">
        <v>4</v>
      </c>
      <c r="D68" s="1267">
        <v>79833.521999999997</v>
      </c>
      <c r="E68" s="1267">
        <v>17</v>
      </c>
      <c r="F68" s="1267">
        <v>186394.878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56626011</v>
      </c>
      <c r="E73" s="443"/>
      <c r="F73" s="324"/>
    </row>
    <row r="74" spans="1:6">
      <c r="A74" s="1264" t="s">
        <v>63</v>
      </c>
      <c r="B74" s="1264" t="s">
        <v>608</v>
      </c>
      <c r="C74" s="1277" t="s">
        <v>610</v>
      </c>
      <c r="D74" s="1265">
        <v>7527101.3960089814</v>
      </c>
      <c r="E74" s="443"/>
      <c r="F74" s="324"/>
    </row>
    <row r="75" spans="1:6">
      <c r="A75" s="1264" t="s">
        <v>64</v>
      </c>
      <c r="B75" s="1264" t="s">
        <v>607</v>
      </c>
      <c r="C75" s="1277" t="s">
        <v>611</v>
      </c>
      <c r="D75" s="1265">
        <v>35314710</v>
      </c>
      <c r="E75" s="443"/>
      <c r="F75" s="324"/>
    </row>
    <row r="76" spans="1:6">
      <c r="A76" s="1264" t="s">
        <v>64</v>
      </c>
      <c r="B76" s="1264" t="s">
        <v>608</v>
      </c>
      <c r="C76" s="1277" t="s">
        <v>612</v>
      </c>
      <c r="D76" s="1265">
        <v>2632905.3960089809</v>
      </c>
      <c r="E76" s="443"/>
      <c r="F76" s="324"/>
    </row>
    <row r="77" spans="1:6">
      <c r="A77" s="1264" t="s">
        <v>65</v>
      </c>
      <c r="B77" s="1264" t="s">
        <v>607</v>
      </c>
      <c r="C77" s="1277" t="s">
        <v>613</v>
      </c>
      <c r="D77" s="1265">
        <v>76598324</v>
      </c>
      <c r="E77" s="443"/>
      <c r="F77" s="324"/>
    </row>
    <row r="78" spans="1:6">
      <c r="A78" s="1259" t="s">
        <v>65</v>
      </c>
      <c r="B78" s="1259" t="s">
        <v>608</v>
      </c>
      <c r="C78" s="1259" t="s">
        <v>614</v>
      </c>
      <c r="D78" s="1267">
        <v>18680801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388769.20798203797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11376.942940093519</v>
      </c>
      <c r="C90" s="324"/>
      <c r="D90" s="324"/>
      <c r="E90" s="324"/>
      <c r="F90" s="324"/>
    </row>
    <row r="91" spans="1:6">
      <c r="A91" s="1264" t="s">
        <v>67</v>
      </c>
      <c r="B91" s="1265">
        <v>6820.8336902856099</v>
      </c>
      <c r="C91" s="324"/>
      <c r="D91" s="324"/>
      <c r="E91" s="324"/>
      <c r="F91" s="324"/>
    </row>
    <row r="92" spans="1:6">
      <c r="A92" s="1259" t="s">
        <v>68</v>
      </c>
      <c r="B92" s="1260">
        <v>13112.914263669527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6352</v>
      </c>
      <c r="C97" s="324"/>
      <c r="D97" s="324"/>
      <c r="E97" s="324"/>
      <c r="F97" s="324"/>
    </row>
    <row r="98" spans="1:6">
      <c r="A98" s="1264" t="s">
        <v>71</v>
      </c>
      <c r="B98" s="1265">
        <v>0</v>
      </c>
      <c r="C98" s="324"/>
      <c r="D98" s="324"/>
      <c r="E98" s="324"/>
      <c r="F98" s="324"/>
    </row>
    <row r="99" spans="1:6">
      <c r="A99" s="1264" t="s">
        <v>72</v>
      </c>
      <c r="B99" s="1265">
        <v>112</v>
      </c>
      <c r="C99" s="324"/>
      <c r="D99" s="324"/>
      <c r="E99" s="324"/>
      <c r="F99" s="324"/>
    </row>
    <row r="100" spans="1:6">
      <c r="A100" s="1264" t="s">
        <v>73</v>
      </c>
      <c r="B100" s="1265">
        <v>800</v>
      </c>
      <c r="C100" s="324"/>
      <c r="D100" s="324"/>
      <c r="E100" s="324"/>
      <c r="F100" s="324"/>
    </row>
    <row r="101" spans="1:6">
      <c r="A101" s="1264" t="s">
        <v>74</v>
      </c>
      <c r="B101" s="1265">
        <v>112</v>
      </c>
      <c r="C101" s="324"/>
      <c r="D101" s="324"/>
      <c r="E101" s="324"/>
      <c r="F101" s="324"/>
    </row>
    <row r="102" spans="1:6">
      <c r="A102" s="1264" t="s">
        <v>75</v>
      </c>
      <c r="B102" s="1265">
        <v>177</v>
      </c>
      <c r="C102" s="324"/>
      <c r="D102" s="324"/>
      <c r="E102" s="324"/>
      <c r="F102" s="324"/>
    </row>
    <row r="103" spans="1:6">
      <c r="A103" s="1264" t="s">
        <v>76</v>
      </c>
      <c r="B103" s="1265">
        <v>204</v>
      </c>
      <c r="C103" s="324"/>
      <c r="D103" s="324"/>
      <c r="E103" s="324"/>
      <c r="F103" s="324"/>
    </row>
    <row r="104" spans="1:6">
      <c r="A104" s="1264" t="s">
        <v>77</v>
      </c>
      <c r="B104" s="1265">
        <v>2528</v>
      </c>
      <c r="C104" s="324"/>
      <c r="D104" s="324"/>
      <c r="E104" s="324"/>
      <c r="F104" s="324"/>
    </row>
    <row r="105" spans="1:6">
      <c r="A105" s="1259" t="s">
        <v>78</v>
      </c>
      <c r="B105" s="1267">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4</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34</v>
      </c>
      <c r="C123" s="1265">
        <v>69</v>
      </c>
      <c r="D123" s="324"/>
      <c r="E123" s="324"/>
      <c r="F123" s="324"/>
    </row>
    <row r="124" spans="1:6">
      <c r="A124" s="1264" t="s">
        <v>88</v>
      </c>
      <c r="B124" s="1265">
        <v>1</v>
      </c>
      <c r="C124" s="1265">
        <v>3</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254</v>
      </c>
      <c r="C129" s="324"/>
      <c r="D129" s="324"/>
      <c r="E129" s="324"/>
      <c r="F129" s="324"/>
    </row>
    <row r="130" spans="1:6">
      <c r="A130" s="1264" t="s">
        <v>284</v>
      </c>
      <c r="B130" s="1265">
        <v>4</v>
      </c>
      <c r="C130" s="324"/>
      <c r="D130" s="324"/>
      <c r="E130" s="324"/>
      <c r="F130" s="324"/>
    </row>
    <row r="131" spans="1:6">
      <c r="A131" s="1264" t="s">
        <v>285</v>
      </c>
      <c r="B131" s="1265">
        <v>6</v>
      </c>
      <c r="C131" s="324"/>
      <c r="D131" s="324"/>
      <c r="E131" s="324"/>
      <c r="F131" s="324"/>
    </row>
    <row r="132" spans="1:6">
      <c r="A132" s="1259" t="s">
        <v>286</v>
      </c>
      <c r="B132" s="1260">
        <v>22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159995.02067928287</v>
      </c>
      <c r="C3" s="43" t="s">
        <v>163</v>
      </c>
      <c r="D3" s="43"/>
      <c r="E3" s="153"/>
      <c r="F3" s="43"/>
      <c r="G3" s="43"/>
      <c r="H3" s="43"/>
      <c r="I3" s="43"/>
      <c r="J3" s="43"/>
      <c r="K3" s="96"/>
    </row>
    <row r="4" spans="1:11">
      <c r="A4" s="350" t="s">
        <v>164</v>
      </c>
      <c r="B4" s="49">
        <f>IF(ISERROR('SEAP template'!B78+'SEAP template'!C78),0,'SEAP template'!B78+'SEAP template'!C78)</f>
        <v>53635.190894048654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4412.3929411764711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0.1744924011083816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6303.4184873949598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29976.428571428572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0.21027916892684595</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1620.9087220000001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1620.9087220000001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0.1744924011083816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282.83625487929822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36704.041234000098</v>
      </c>
      <c r="C5" s="17">
        <f>IF(ISERROR('Eigen informatie GS &amp; warmtenet'!B59),0,'Eigen informatie GS &amp; warmtenet'!B59)</f>
        <v>0</v>
      </c>
      <c r="D5" s="30">
        <f>(SUM(HH_hh_gas_kWh,HH_rest_gas_kWh)/1000)*0.903</f>
        <v>112998.27091030891</v>
      </c>
      <c r="E5" s="17">
        <f>B32*B41</f>
        <v>2422.3954889665174</v>
      </c>
      <c r="F5" s="17">
        <f>B36*B45</f>
        <v>39697.446760815954</v>
      </c>
      <c r="G5" s="18"/>
      <c r="H5" s="17"/>
      <c r="I5" s="17"/>
      <c r="J5" s="17">
        <f>B35*B44+C35*C44</f>
        <v>219.11001051572583</v>
      </c>
      <c r="K5" s="17"/>
      <c r="L5" s="17"/>
      <c r="M5" s="17"/>
      <c r="N5" s="17">
        <f>B34*B43+C34*C43</f>
        <v>14590.402334976101</v>
      </c>
      <c r="O5" s="17">
        <f>B52*B53*B54</f>
        <v>646.77037952017236</v>
      </c>
      <c r="P5" s="17">
        <f>B60*B61*B62/1000-B60*B61*B62/1000/B63</f>
        <v>600.43568053804631</v>
      </c>
    </row>
    <row r="6" spans="1:16">
      <c r="A6" s="16" t="s">
        <v>573</v>
      </c>
      <c r="B6" s="739">
        <f>kWh_PV_kleiner_dan_10kW</f>
        <v>6820.8336902856099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43524.874924285708</v>
      </c>
      <c r="C8" s="21">
        <f>C5</f>
        <v>0</v>
      </c>
      <c r="D8" s="21">
        <f>D5</f>
        <v>112998.27091030891</v>
      </c>
      <c r="E8" s="21">
        <f>E5</f>
        <v>2422.3954889665174</v>
      </c>
      <c r="F8" s="21">
        <f>F5</f>
        <v>39697.446760815954</v>
      </c>
      <c r="G8" s="21"/>
      <c r="H8" s="21"/>
      <c r="I8" s="21"/>
      <c r="J8" s="21">
        <f>J5</f>
        <v>219.11001051572583</v>
      </c>
      <c r="K8" s="21"/>
      <c r="L8" s="21">
        <f>L5</f>
        <v>0</v>
      </c>
      <c r="M8" s="21">
        <f>M5</f>
        <v>0</v>
      </c>
      <c r="N8" s="21">
        <f>N5</f>
        <v>14590.402334976101</v>
      </c>
      <c r="O8" s="21">
        <f>O5</f>
        <v>646.77037952017236</v>
      </c>
      <c r="P8" s="21">
        <f>P5</f>
        <v>600.43568053804631</v>
      </c>
    </row>
    <row r="9" spans="1:16">
      <c r="B9" s="19"/>
      <c r="C9" s="19"/>
      <c r="D9" s="253"/>
      <c r="E9" s="19"/>
      <c r="F9" s="19"/>
      <c r="G9" s="19"/>
      <c r="H9" s="19"/>
      <c r="I9" s="19"/>
      <c r="J9" s="19"/>
      <c r="K9" s="19"/>
      <c r="L9" s="19"/>
      <c r="M9" s="19"/>
      <c r="N9" s="19"/>
      <c r="O9" s="19"/>
      <c r="P9" s="19"/>
    </row>
    <row r="10" spans="1:16">
      <c r="A10" s="24" t="s">
        <v>207</v>
      </c>
      <c r="B10" s="25">
        <f ca="1">'EF ele_warmte'!B12</f>
        <v>0.1744924011083816</v>
      </c>
      <c r="C10" s="25">
        <f ca="1">'EF ele_warmte'!B22</f>
        <v>0.21027916892684595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7594.7599334806018</v>
      </c>
      <c r="C12" s="23">
        <f ca="1">C10*C8</f>
        <v>0</v>
      </c>
      <c r="D12" s="23">
        <f>D8*D10</f>
        <v>22825.650723882402</v>
      </c>
      <c r="E12" s="23">
        <f>E10*E8</f>
        <v>549.88377599539945</v>
      </c>
      <c r="F12" s="23">
        <f>F10*F8</f>
        <v>10599.21828513786</v>
      </c>
      <c r="G12" s="23"/>
      <c r="H12" s="23"/>
      <c r="I12" s="23"/>
      <c r="J12" s="23">
        <f>J10*J8</f>
        <v>77.564943722566937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12107</v>
      </c>
      <c r="C26" s="36"/>
      <c r="D26" s="224"/>
    </row>
    <row r="27" spans="1:5" s="15" customFormat="1">
      <c r="A27" s="226" t="s">
        <v>784</v>
      </c>
      <c r="B27" s="37">
        <f>SUM(HH_hh_gas_aantal,HH_rest_gas_aantal)</f>
        <v>9423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8951.85</v>
      </c>
      <c r="C31" s="34" t="s">
        <v>104</v>
      </c>
      <c r="D31" s="170"/>
    </row>
    <row r="32" spans="1:5">
      <c r="A32" s="167" t="s">
        <v>72</v>
      </c>
      <c r="B32" s="33">
        <f>IF((B21*($B$26-($B$27-0.05*$B$27)-$B$60))&lt;0,0,B21*($B$26-($B$27-0.05*$B$27)-$B$60))</f>
        <v>47.788846595644642</v>
      </c>
      <c r="C32" s="34" t="s">
        <v>104</v>
      </c>
      <c r="D32" s="170"/>
    </row>
    <row r="33" spans="1:6">
      <c r="A33" s="167" t="s">
        <v>73</v>
      </c>
      <c r="B33" s="33">
        <f>IF((B22*($B$26-($B$27-0.05*$B$27)-$B$60))&lt;0,0,B22*($B$26-($B$27-0.05*$B$27)-$B$60))</f>
        <v>775.99622186375314</v>
      </c>
      <c r="C33" s="34" t="s">
        <v>104</v>
      </c>
      <c r="D33" s="170"/>
    </row>
    <row r="34" spans="1:6">
      <c r="A34" s="167" t="s">
        <v>74</v>
      </c>
      <c r="B34" s="33">
        <f>IF((B24*($B$26-($B$27-0.05*$B$27)-$B$60))&lt;0,0,B24*($B$26-($B$27-0.05*$B$27)-$B$60))</f>
        <v>339.31154267269181</v>
      </c>
      <c r="C34" s="33">
        <f>B26*C24</f>
        <v>2033.9751744550067</v>
      </c>
      <c r="D34" s="229"/>
    </row>
    <row r="35" spans="1:6">
      <c r="A35" s="167" t="s">
        <v>76</v>
      </c>
      <c r="B35" s="33">
        <f>IF((B19*($B$26-($B$27-0.05*$B$27)-$B$60))&lt;0,0,B19*($B$26-($B$27-0.05*$B$27)-$B$60))</f>
        <v>20.773697683397973</v>
      </c>
      <c r="C35" s="33">
        <f>B35/2</f>
        <v>10.386848841698987</v>
      </c>
      <c r="D35" s="229"/>
    </row>
    <row r="36" spans="1:6">
      <c r="A36" s="167" t="s">
        <v>77</v>
      </c>
      <c r="B36" s="33">
        <f>IF((B18*($B$26-($B$27-0.05*$B$27)-$B$60))&lt;0,0,B18*($B$26-($B$27-0.05*$B$27)-$B$60))</f>
        <v>1914.2796911845112</v>
      </c>
      <c r="C36" s="34" t="s">
        <v>104</v>
      </c>
      <c r="D36" s="170"/>
    </row>
    <row r="37" spans="1:6">
      <c r="A37" s="167" t="s">
        <v>78</v>
      </c>
      <c r="B37" s="33">
        <f>B60</f>
        <v>57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326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65276.03508899999</v>
      </c>
      <c r="C5" s="17">
        <f>IF(ISERROR('Eigen informatie GS &amp; warmtenet'!B60),0,'Eigen informatie GS &amp; warmtenet'!B60)</f>
        <v>0</v>
      </c>
      <c r="D5" s="30">
        <f>SUM(D6:D12)</f>
        <v>95220.737998974015</v>
      </c>
      <c r="E5" s="17">
        <f>SUM(E6:E12)</f>
        <v>317.7570172127302</v>
      </c>
      <c r="F5" s="17">
        <f>SUM(F6:F12)</f>
        <v>16159.392649060308</v>
      </c>
      <c r="G5" s="18"/>
      <c r="H5" s="17"/>
      <c r="I5" s="17"/>
      <c r="J5" s="17">
        <f>SUM(J6:J12)</f>
        <v>0.12250220463059767</v>
      </c>
      <c r="K5" s="17"/>
      <c r="L5" s="17"/>
      <c r="M5" s="17"/>
      <c r="N5" s="17">
        <f>SUM(N6:N12)</f>
        <v>4221.4169823101411</v>
      </c>
      <c r="O5" s="17">
        <f>B38*B39*B40</f>
        <v>19.589043063364617</v>
      </c>
      <c r="P5" s="17">
        <f>B46*B47*B48/1000-B46*B47*B48/1000/B49</f>
        <v>367.77396814546512</v>
      </c>
      <c r="R5" s="32"/>
    </row>
    <row r="6" spans="1:18">
      <c r="A6" s="32" t="s">
        <v>53</v>
      </c>
      <c r="B6" s="37">
        <f>B26</f>
        <v>9500.3641449999996</v>
      </c>
      <c r="C6" s="33"/>
      <c r="D6" s="37">
        <f>IF(ISERROR(TER_kantoor_gas_kWh/1000),0,TER_kantoor_gas_kWh/1000)*0.903</f>
        <v>11598.330132648</v>
      </c>
      <c r="E6" s="33">
        <f>$C$26*'E Balans VL '!I12/100/3.6*1000000</f>
        <v>2.3105557993159147</v>
      </c>
      <c r="F6" s="33">
        <f>$C$26*('E Balans VL '!L12+'E Balans VL '!N12)/100/3.6*1000000</f>
        <v>909.72002449485285</v>
      </c>
      <c r="G6" s="34"/>
      <c r="H6" s="33"/>
      <c r="I6" s="33"/>
      <c r="J6" s="33">
        <f>$C$26*('E Balans VL '!D12+'E Balans VL '!E12)/100/3.6*1000000</f>
        <v>0</v>
      </c>
      <c r="K6" s="33"/>
      <c r="L6" s="33"/>
      <c r="M6" s="33"/>
      <c r="N6" s="33">
        <f>$C$26*'E Balans VL '!Y12/100/3.6*1000000</f>
        <v>4.8230880085802417</v>
      </c>
      <c r="O6" s="33"/>
      <c r="P6" s="33"/>
      <c r="R6" s="32"/>
    </row>
    <row r="7" spans="1:18">
      <c r="A7" s="32" t="s">
        <v>52</v>
      </c>
      <c r="B7" s="37">
        <f t="shared" ref="B7:B12" si="0">B27</f>
        <v>2284.6018199999999</v>
      </c>
      <c r="C7" s="33"/>
      <c r="D7" s="37">
        <f>IF(ISERROR(TER_horeca_gas_kWh/1000),0,TER_horeca_gas_kWh/1000)*0.903</f>
        <v>4266.0744038640005</v>
      </c>
      <c r="E7" s="33">
        <f>$C$27*'E Balans VL '!I9/100/3.6*1000000</f>
        <v>0</v>
      </c>
      <c r="F7" s="33">
        <f>$C$27*('E Balans VL '!L9+'E Balans VL '!N9)/100/3.6*1000000</f>
        <v>187.38096011082379</v>
      </c>
      <c r="G7" s="34"/>
      <c r="H7" s="33"/>
      <c r="I7" s="33"/>
      <c r="J7" s="33">
        <f>$C$27*('E Balans VL '!D9+'E Balans VL '!E9)/100/3.6*1000000</f>
        <v>0</v>
      </c>
      <c r="K7" s="33"/>
      <c r="L7" s="33"/>
      <c r="M7" s="33"/>
      <c r="N7" s="33">
        <f>$C$27*'E Balans VL '!Y9/100/3.6*1000000</f>
        <v>15.004812068277285</v>
      </c>
      <c r="O7" s="33"/>
      <c r="P7" s="33"/>
      <c r="R7" s="32"/>
    </row>
    <row r="8" spans="1:18">
      <c r="A8" s="6" t="s">
        <v>51</v>
      </c>
      <c r="B8" s="37">
        <f t="shared" si="0"/>
        <v>38875.663950999995</v>
      </c>
      <c r="C8" s="33"/>
      <c r="D8" s="37">
        <f>IF(ISERROR(TER_handel_gas_kWh/1000),0,TER_handel_gas_kWh/1000)*0.903</f>
        <v>63159.362564718002</v>
      </c>
      <c r="E8" s="33">
        <f>$C$28*'E Balans VL '!I13/100/3.6*1000000</f>
        <v>137.4274860316649</v>
      </c>
      <c r="F8" s="33">
        <f>$C$28*('E Balans VL '!L13+'E Balans VL '!N13)/100/3.6*1000000</f>
        <v>3579.6170393826887</v>
      </c>
      <c r="G8" s="34"/>
      <c r="H8" s="33"/>
      <c r="I8" s="33"/>
      <c r="J8" s="33">
        <f>$C$28*('E Balans VL '!D13+'E Balans VL '!E13)/100/3.6*1000000</f>
        <v>0</v>
      </c>
      <c r="K8" s="33"/>
      <c r="L8" s="33"/>
      <c r="M8" s="33"/>
      <c r="N8" s="33">
        <f>$C$28*'E Balans VL '!Y13/100/3.6*1000000</f>
        <v>14.079091823082996</v>
      </c>
      <c r="O8" s="33"/>
      <c r="P8" s="33"/>
      <c r="R8" s="32"/>
    </row>
    <row r="9" spans="1:18">
      <c r="A9" s="32" t="s">
        <v>50</v>
      </c>
      <c r="B9" s="37">
        <f t="shared" si="0"/>
        <v>1739.886467</v>
      </c>
      <c r="C9" s="33"/>
      <c r="D9" s="37">
        <f>IF(ISERROR(TER_gezond_gas_kWh/1000),0,TER_gezond_gas_kWh/1000)*0.903</f>
        <v>4419.579329907001</v>
      </c>
      <c r="E9" s="33">
        <f>$C$29*'E Balans VL '!I10/100/3.6*1000000</f>
        <v>0</v>
      </c>
      <c r="F9" s="33">
        <f>$C$29*('E Balans VL '!L10+'E Balans VL '!N10)/100/3.6*1000000</f>
        <v>213.73794914006874</v>
      </c>
      <c r="G9" s="34"/>
      <c r="H9" s="33"/>
      <c r="I9" s="33"/>
      <c r="J9" s="33">
        <f>$C$29*('E Balans VL '!D10+'E Balans VL '!E10)/100/3.6*1000000</f>
        <v>0</v>
      </c>
      <c r="K9" s="33"/>
      <c r="L9" s="33"/>
      <c r="M9" s="33"/>
      <c r="N9" s="33">
        <f>$C$29*'E Balans VL '!Y10/100/3.6*1000000</f>
        <v>12.830450245827553</v>
      </c>
      <c r="O9" s="33"/>
      <c r="P9" s="33"/>
      <c r="R9" s="32"/>
    </row>
    <row r="10" spans="1:18">
      <c r="A10" s="32" t="s">
        <v>49</v>
      </c>
      <c r="B10" s="37">
        <f t="shared" si="0"/>
        <v>12404.256385999999</v>
      </c>
      <c r="C10" s="33"/>
      <c r="D10" s="37">
        <f>IF(ISERROR(TER_ander_gas_kWh/1000),0,TER_ander_gas_kWh/1000)*0.903</f>
        <v>11417.782224912002</v>
      </c>
      <c r="E10" s="33">
        <f>$C$30*'E Balans VL '!I14/100/3.6*1000000</f>
        <v>178.01897538174939</v>
      </c>
      <c r="F10" s="33">
        <f>$C$30*('E Balans VL '!L14+'E Balans VL '!N14)/100/3.6*1000000</f>
        <v>11213.840498737636</v>
      </c>
      <c r="G10" s="34"/>
      <c r="H10" s="33"/>
      <c r="I10" s="33"/>
      <c r="J10" s="33">
        <f>$C$30*('E Balans VL '!D14+'E Balans VL '!E14)/100/3.6*1000000</f>
        <v>0.12250220463059767</v>
      </c>
      <c r="K10" s="33"/>
      <c r="L10" s="33"/>
      <c r="M10" s="33"/>
      <c r="N10" s="33">
        <f>$C$30*'E Balans VL '!Y14/100/3.6*1000000</f>
        <v>4173.3525195868788</v>
      </c>
      <c r="O10" s="33"/>
      <c r="P10" s="33"/>
      <c r="R10" s="32"/>
    </row>
    <row r="11" spans="1:18">
      <c r="A11" s="32" t="s">
        <v>54</v>
      </c>
      <c r="B11" s="37">
        <f t="shared" si="0"/>
        <v>471.26231999999999</v>
      </c>
      <c r="C11" s="33"/>
      <c r="D11" s="37">
        <f>IF(ISERROR(TER_onderwijs_gas_kWh/1000),0,TER_onderwijs_gas_kWh/1000)*0.903</f>
        <v>359.60934292500002</v>
      </c>
      <c r="E11" s="33">
        <f>$C$31*'E Balans VL '!I11/100/3.6*1000000</f>
        <v>0</v>
      </c>
      <c r="F11" s="33">
        <f>$C$31*('E Balans VL '!L11+'E Balans VL '!N11)/100/3.6*1000000</f>
        <v>55.096177194238145</v>
      </c>
      <c r="G11" s="34"/>
      <c r="H11" s="33"/>
      <c r="I11" s="33"/>
      <c r="J11" s="33">
        <f>$C$31*('E Balans VL '!D11+'E Balans VL '!E11)/100/3.6*1000000</f>
        <v>0</v>
      </c>
      <c r="K11" s="33"/>
      <c r="L11" s="33"/>
      <c r="M11" s="33"/>
      <c r="N11" s="33">
        <f>$C$31*'E Balans VL '!Y11/100/3.6*1000000</f>
        <v>1.327020577494131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1341</v>
      </c>
      <c r="C13" s="242">
        <f ca="1">'lokale energieproductie'!O41+'lokale energieproductie'!O34</f>
        <v>0</v>
      </c>
      <c r="D13" s="302">
        <f ca="1">('lokale energieproductie'!P34+'lokale energieproductie'!P41)*(-1)</f>
        <v>0</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-3831.4285714285716</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66617.035088999983</v>
      </c>
      <c r="C16" s="21">
        <f t="shared" ca="1" si="1"/>
        <v>0</v>
      </c>
      <c r="D16" s="21">
        <f t="shared" ca="1" si="1"/>
        <v>95220.737998974015</v>
      </c>
      <c r="E16" s="21">
        <f t="shared" si="1"/>
        <v>317.7570172127302</v>
      </c>
      <c r="F16" s="21">
        <f t="shared" ca="1" si="1"/>
        <v>16159.392649060308</v>
      </c>
      <c r="G16" s="21">
        <f t="shared" si="1"/>
        <v>0</v>
      </c>
      <c r="H16" s="21">
        <f t="shared" si="1"/>
        <v>0</v>
      </c>
      <c r="I16" s="21">
        <f t="shared" si="1"/>
        <v>0</v>
      </c>
      <c r="J16" s="21">
        <f t="shared" si="1"/>
        <v>0.12250220463059767</v>
      </c>
      <c r="K16" s="21">
        <f t="shared" si="1"/>
        <v>0</v>
      </c>
      <c r="L16" s="21">
        <f t="shared" ca="1" si="1"/>
        <v>0</v>
      </c>
      <c r="M16" s="21">
        <f t="shared" si="1"/>
        <v>0</v>
      </c>
      <c r="N16" s="21">
        <f t="shared" ca="1" si="1"/>
        <v>389.98841088156951</v>
      </c>
      <c r="O16" s="21">
        <f>O5</f>
        <v>19.589043063364617</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0.1744924011083816</v>
      </c>
      <c r="C18" s="25">
        <f ca="1">'EF ele_warmte'!B22</f>
        <v>0.21027916892684595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11624.166407400917</v>
      </c>
      <c r="C20" s="23">
        <f t="shared" ref="C20:P20" ca="1" si="2">C16*C18</f>
        <v>0</v>
      </c>
      <c r="D20" s="23">
        <f t="shared" ca="1" si="2"/>
        <v>19234.589075792752</v>
      </c>
      <c r="E20" s="23">
        <f t="shared" si="2"/>
        <v>72.130842907289761</v>
      </c>
      <c r="F20" s="23">
        <f t="shared" ca="1" si="2"/>
        <v>4314.5578372991022</v>
      </c>
      <c r="G20" s="23">
        <f t="shared" si="2"/>
        <v>0</v>
      </c>
      <c r="H20" s="23">
        <f t="shared" si="2"/>
        <v>0</v>
      </c>
      <c r="I20" s="23">
        <f t="shared" si="2"/>
        <v>0</v>
      </c>
      <c r="J20" s="23">
        <f t="shared" si="2"/>
        <v>4.3365780439231574E-2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9500.3641449999996</v>
      </c>
      <c r="C26" s="39">
        <f>IF(ISERROR(B26*3.6/1000000/'E Balans VL '!Z12*100),0,B26*3.6/1000000/'E Balans VL '!Z12*100)</f>
        <v>0.26779075817596104</v>
      </c>
      <c r="D26" s="232" t="s">
        <v>660</v>
      </c>
      <c r="F26" s="6"/>
    </row>
    <row r="27" spans="1:18">
      <c r="A27" s="227" t="s">
        <v>52</v>
      </c>
      <c r="B27" s="33">
        <f>IF(ISERROR(TER_horeca_ele_kWh/1000),0,TER_horeca_ele_kWh/1000)</f>
        <v>2284.6018199999999</v>
      </c>
      <c r="C27" s="39">
        <f>IF(ISERROR(B27*3.6/1000000/'E Balans VL '!Z9*100),0,B27*3.6/1000000/'E Balans VL '!Z9*100)</f>
        <v>0.16937515935704148</v>
      </c>
      <c r="D27" s="232" t="s">
        <v>660</v>
      </c>
      <c r="F27" s="6"/>
    </row>
    <row r="28" spans="1:18">
      <c r="A28" s="167" t="s">
        <v>51</v>
      </c>
      <c r="B28" s="33">
        <f>IF(ISERROR(TER_handel_ele_kWh/1000),0,TER_handel_ele_kWh/1000)</f>
        <v>38875.663950999995</v>
      </c>
      <c r="C28" s="39">
        <f>IF(ISERROR(B28*3.6/1000000/'E Balans VL '!Z13*100),0,B28*3.6/1000000/'E Balans VL '!Z13*100)</f>
        <v>1.1646224616299559</v>
      </c>
      <c r="D28" s="232" t="s">
        <v>660</v>
      </c>
      <c r="F28" s="6"/>
    </row>
    <row r="29" spans="1:18">
      <c r="A29" s="227" t="s">
        <v>50</v>
      </c>
      <c r="B29" s="33">
        <f>IF(ISERROR(TER_gezond_ele_kWh/1000),0,TER_gezond_ele_kWh/1000)</f>
        <v>1739.886467</v>
      </c>
      <c r="C29" s="39">
        <f>IF(ISERROR(B29*3.6/1000000/'E Balans VL '!Z10*100),0,B29*3.6/1000000/'E Balans VL '!Z10*100)</f>
        <v>0.17204065580217567</v>
      </c>
      <c r="D29" s="232" t="s">
        <v>660</v>
      </c>
      <c r="F29" s="6"/>
    </row>
    <row r="30" spans="1:18">
      <c r="A30" s="227" t="s">
        <v>49</v>
      </c>
      <c r="B30" s="33">
        <f>IF(ISERROR(TER_ander_ele_kWh/1000),0,TER_ander_ele_kWh/1000)</f>
        <v>12404.256385999999</v>
      </c>
      <c r="C30" s="39">
        <f>IF(ISERROR(B30*3.6/1000000/'E Balans VL '!Z14*100),0,B30*3.6/1000000/'E Balans VL '!Z14*100)</f>
        <v>0.50171551384545121</v>
      </c>
      <c r="D30" s="232" t="s">
        <v>660</v>
      </c>
      <c r="F30" s="6"/>
    </row>
    <row r="31" spans="1:18">
      <c r="A31" s="227" t="s">
        <v>54</v>
      </c>
      <c r="B31" s="33">
        <f>IF(ISERROR(TER_onderwijs_ele_kWh/1000),0,TER_onderwijs_ele_kWh/1000)</f>
        <v>471.26231999999999</v>
      </c>
      <c r="C31" s="39">
        <f>IF(ISERROR(B31*3.6/1000000/'E Balans VL '!Z11*100),0,B31*3.6/1000000/'E Balans VL '!Z11*100)</f>
        <v>0.12947636979004382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7</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44833.061253999993</v>
      </c>
      <c r="C5" s="17">
        <f>IF(ISERROR('Eigen informatie GS &amp; warmtenet'!B61),0,'Eigen informatie GS &amp; warmtenet'!B61)</f>
        <v>0</v>
      </c>
      <c r="D5" s="30">
        <f>SUM(D6:D15)</f>
        <v>75105.600884091938</v>
      </c>
      <c r="E5" s="17">
        <f>SUM(E6:E15)</f>
        <v>140.72326493033734</v>
      </c>
      <c r="F5" s="17">
        <f>SUM(F6:F15)</f>
        <v>6042.4399202763434</v>
      </c>
      <c r="G5" s="18"/>
      <c r="H5" s="17"/>
      <c r="I5" s="17"/>
      <c r="J5" s="17">
        <f>SUM(J6:J15)</f>
        <v>4.3317767004172607</v>
      </c>
      <c r="K5" s="17"/>
      <c r="L5" s="17"/>
      <c r="M5" s="17"/>
      <c r="N5" s="17">
        <f>SUM(N6:N15)</f>
        <v>1720.1503169899117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3924.1631460000003</v>
      </c>
      <c r="C8" s="33"/>
      <c r="D8" s="37">
        <f>IF( ISERROR(IND_metaal_Gas_kWH/1000),0,IND_metaal_Gas_kWH/1000)*0.903</f>
        <v>4292.693160672</v>
      </c>
      <c r="E8" s="33">
        <f>C30*'E Balans VL '!I18/100/3.6*1000000</f>
        <v>21.4472560817578</v>
      </c>
      <c r="F8" s="33">
        <f>C30*'E Balans VL '!L18/100/3.6*1000000+C30*'E Balans VL '!N18/100/3.6*1000000</f>
        <v>268.60312350214969</v>
      </c>
      <c r="G8" s="34"/>
      <c r="H8" s="33"/>
      <c r="I8" s="33"/>
      <c r="J8" s="40">
        <f>C30*'E Balans VL '!D18/100/3.6*1000000+C30*'E Balans VL '!E18/100/3.6*1000000</f>
        <v>3.9106931183396201</v>
      </c>
      <c r="K8" s="33"/>
      <c r="L8" s="33"/>
      <c r="M8" s="33"/>
      <c r="N8" s="33">
        <f>C30*'E Balans VL '!Y18/100/3.6*1000000</f>
        <v>58.040262536710436</v>
      </c>
      <c r="O8" s="33"/>
      <c r="P8" s="33"/>
      <c r="R8" s="32"/>
    </row>
    <row r="9" spans="1:18">
      <c r="A9" s="6" t="s">
        <v>32</v>
      </c>
      <c r="B9" s="37">
        <f t="shared" si="0"/>
        <v>7493.2169759999997</v>
      </c>
      <c r="C9" s="33"/>
      <c r="D9" s="37">
        <f>IF( ISERROR(IND_andere_gas_kWh/1000),0,IND_andere_gas_kWh/1000)*0.903</f>
        <v>4473.3030313649997</v>
      </c>
      <c r="E9" s="33">
        <f>C31*'E Balans VL '!I19/100/3.6*1000000</f>
        <v>28.198957012501722</v>
      </c>
      <c r="F9" s="33">
        <f>C31*'E Balans VL '!L19/100/3.6*1000000+C31*'E Balans VL '!N19/100/3.6*1000000</f>
        <v>4822.837080842949</v>
      </c>
      <c r="G9" s="34"/>
      <c r="H9" s="33"/>
      <c r="I9" s="33"/>
      <c r="J9" s="40">
        <f>C31*'E Balans VL '!D19/100/3.6*1000000+C31*'E Balans VL '!E19/100/3.6*1000000</f>
        <v>0</v>
      </c>
      <c r="K9" s="33"/>
      <c r="L9" s="33"/>
      <c r="M9" s="33"/>
      <c r="N9" s="33">
        <f>C31*'E Balans VL '!Y19/100/3.6*1000000</f>
        <v>270.69747726709369</v>
      </c>
      <c r="O9" s="33"/>
      <c r="P9" s="33"/>
      <c r="R9" s="32"/>
    </row>
    <row r="10" spans="1:18">
      <c r="A10" s="6" t="s">
        <v>40</v>
      </c>
      <c r="B10" s="37">
        <f t="shared" si="0"/>
        <v>4808.4906090000004</v>
      </c>
      <c r="C10" s="33"/>
      <c r="D10" s="37">
        <f>IF( ISERROR(IND_voed_gas_kWh/1000),0,IND_voed_gas_kWh/1000)*0.903</f>
        <v>8327.103662219999</v>
      </c>
      <c r="E10" s="33">
        <f>C32*'E Balans VL '!I20/100/3.6*1000000</f>
        <v>9.5187673185047892</v>
      </c>
      <c r="F10" s="33">
        <f>C32*'E Balans VL '!L20/100/3.6*1000000+C32*'E Balans VL '!N20/100/3.6*1000000</f>
        <v>102.12644344368698</v>
      </c>
      <c r="G10" s="34"/>
      <c r="H10" s="33"/>
      <c r="I10" s="33"/>
      <c r="J10" s="40">
        <f>C32*'E Balans VL '!D20/100/3.6*1000000+C32*'E Balans VL '!E20/100/3.6*1000000</f>
        <v>0</v>
      </c>
      <c r="K10" s="33"/>
      <c r="L10" s="33"/>
      <c r="M10" s="33"/>
      <c r="N10" s="33">
        <f>C32*'E Balans VL '!Y20/100/3.6*1000000</f>
        <v>193.80044361535724</v>
      </c>
      <c r="O10" s="33"/>
      <c r="P10" s="33"/>
      <c r="R10" s="32"/>
    </row>
    <row r="11" spans="1:18">
      <c r="A11" s="6" t="s">
        <v>39</v>
      </c>
      <c r="B11" s="37">
        <f t="shared" si="0"/>
        <v>20017.418444999999</v>
      </c>
      <c r="C11" s="33"/>
      <c r="D11" s="37">
        <f>IF( ISERROR(IND_textiel_gas_kWh/1000),0,IND_textiel_gas_kWh/1000)*0.903</f>
        <v>42646.402312710001</v>
      </c>
      <c r="E11" s="33">
        <f>C33*'E Balans VL '!I21/100/3.6*1000000</f>
        <v>38.978592988919644</v>
      </c>
      <c r="F11" s="33">
        <f>C33*'E Balans VL '!L21/100/3.6*1000000+C33*'E Balans VL '!N21/100/3.6*1000000</f>
        <v>474.15024886817963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3458.0729999999999</v>
      </c>
      <c r="C12" s="33"/>
      <c r="D12" s="37">
        <f>IF( ISERROR(IND_min_gas_kWh/1000),0,IND_min_gas_kWh/1000)*0.903</f>
        <v>4036.5813532800003</v>
      </c>
      <c r="E12" s="33">
        <f>C34*'E Balans VL '!I22/100/3.6*1000000</f>
        <v>42.312787251317907</v>
      </c>
      <c r="F12" s="33">
        <f>C34*'E Balans VL '!L22/100/3.6*1000000+C34*'E Balans VL '!N22/100/3.6*1000000</f>
        <v>373.34258241542506</v>
      </c>
      <c r="G12" s="34"/>
      <c r="H12" s="33"/>
      <c r="I12" s="33"/>
      <c r="J12" s="40">
        <f>C34*'E Balans VL '!D22/100/3.6*1000000+C34*'E Balans VL '!E22/100/3.6*1000000</f>
        <v>0</v>
      </c>
      <c r="K12" s="33"/>
      <c r="L12" s="33"/>
      <c r="M12" s="33"/>
      <c r="N12" s="33">
        <f>C34*'E Balans VL '!Y22/100/3.6*1000000</f>
        <v>1667.9354514809361</v>
      </c>
      <c r="O12" s="33"/>
      <c r="P12" s="33"/>
      <c r="R12" s="32"/>
    </row>
    <row r="13" spans="1:18">
      <c r="A13" s="6" t="s">
        <v>38</v>
      </c>
      <c r="B13" s="37">
        <f t="shared" si="0"/>
        <v>5126.7691270000005</v>
      </c>
      <c r="C13" s="33"/>
      <c r="D13" s="37">
        <f>IF( ISERROR(IND_papier_gas_kWh/1000),0,IND_papier_gas_kWh/1000)*0.903</f>
        <v>11321.690079504</v>
      </c>
      <c r="E13" s="33">
        <f>C35*'E Balans VL '!I23/100/3.6*1000000</f>
        <v>0</v>
      </c>
      <c r="F13" s="33">
        <f>C35*'E Balans VL '!L23/100/3.6*1000000+C35*'E Balans VL '!N23/100/3.6*1000000</f>
        <v>0.62806157926612483</v>
      </c>
      <c r="G13" s="34"/>
      <c r="H13" s="33"/>
      <c r="I13" s="33"/>
      <c r="J13" s="40">
        <f>C35*'E Balans VL '!D23/100/3.6*1000000+C35*'E Balans VL '!E23/100/3.6*1000000</f>
        <v>0.39945139653809747</v>
      </c>
      <c r="K13" s="33"/>
      <c r="L13" s="33"/>
      <c r="M13" s="33"/>
      <c r="N13" s="33">
        <f>C35*'E Balans VL '!Y23/100/3.6*1000000</f>
        <v>-470.46306520859747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4.929951</v>
      </c>
      <c r="C15" s="33"/>
      <c r="D15" s="37">
        <f>IF( ISERROR(IND_rest_gas_kWh/1000),0,IND_rest_gas_kWh/1000)*0.903</f>
        <v>7.8272843409326471</v>
      </c>
      <c r="E15" s="33">
        <f>C37*'E Balans VL '!I15/100/3.6*1000000</f>
        <v>0.26690427733548361</v>
      </c>
      <c r="F15" s="33">
        <f>C37*'E Balans VL '!L15/100/3.6*1000000+C37*'E Balans VL '!N15/100/3.6*1000000</f>
        <v>0.75237962468697217</v>
      </c>
      <c r="G15" s="34"/>
      <c r="H15" s="33"/>
      <c r="I15" s="33"/>
      <c r="J15" s="40">
        <f>C37*'E Balans VL '!D15/100/3.6*1000000+C37*'E Balans VL '!E15/100/3.6*1000000</f>
        <v>2.1632185539543543E-2</v>
      </c>
      <c r="K15" s="33"/>
      <c r="L15" s="33"/>
      <c r="M15" s="33"/>
      <c r="N15" s="33">
        <f>C37*'E Balans VL '!Y15/100/3.6*1000000</f>
        <v>0.13974729841199793</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44833.061253999993</v>
      </c>
      <c r="C18" s="21">
        <f>C5+C16</f>
        <v>0</v>
      </c>
      <c r="D18" s="21">
        <f>MAX((D5+D16),0)</f>
        <v>75105.600884091938</v>
      </c>
      <c r="E18" s="21">
        <f>MAX((E5+E16),0)</f>
        <v>140.72326493033734</v>
      </c>
      <c r="F18" s="21">
        <f>MAX((F5+F16),0)</f>
        <v>6042.4399202763434</v>
      </c>
      <c r="G18" s="21"/>
      <c r="H18" s="21"/>
      <c r="I18" s="21"/>
      <c r="J18" s="21">
        <f>MAX((J5+J16),0)</f>
        <v>4.3317767004172607</v>
      </c>
      <c r="K18" s="21"/>
      <c r="L18" s="21">
        <f>MAX((L5+L16),0)</f>
        <v>0</v>
      </c>
      <c r="M18" s="21"/>
      <c r="N18" s="21">
        <f>MAX((N5+N16),0)</f>
        <v>1720.1503169899117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0.1744924011083816</v>
      </c>
      <c r="C20" s="25">
        <f ca="1">'EF ele_warmte'!B22</f>
        <v>0.21027916892684595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7823.028507249609</v>
      </c>
      <c r="C22" s="23">
        <f ca="1">C18*C20</f>
        <v>0</v>
      </c>
      <c r="D22" s="23">
        <f>D18*D20</f>
        <v>15171.331378586572</v>
      </c>
      <c r="E22" s="23">
        <f>E18*E20</f>
        <v>31.944181139186576</v>
      </c>
      <c r="F22" s="23">
        <f>F18*F20</f>
        <v>1613.3314587137838</v>
      </c>
      <c r="G22" s="23"/>
      <c r="H22" s="23"/>
      <c r="I22" s="23"/>
      <c r="J22" s="23">
        <f>J18*J20</f>
        <v>1.5334489519477101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3924.1631460000003</v>
      </c>
      <c r="C30" s="39">
        <f>IF(ISERROR(B30*3.6/1000000/'E Balans VL '!Z18*100),0,B30*3.6/1000000/'E Balans VL '!Z18*100)</f>
        <v>0.21895015903612114</v>
      </c>
      <c r="D30" s="232" t="s">
        <v>660</v>
      </c>
    </row>
    <row r="31" spans="1:18">
      <c r="A31" s="6" t="s">
        <v>32</v>
      </c>
      <c r="B31" s="37">
        <f>IF( ISERROR(IND_ander_ele_kWh/1000),0,IND_ander_ele_kWh/1000)</f>
        <v>7493.2169759999997</v>
      </c>
      <c r="C31" s="39">
        <f>IF(ISERROR(B31*3.6/1000000/'E Balans VL '!Z19*100),0,B31*3.6/1000000/'E Balans VL '!Z19*100)</f>
        <v>0.30499705311578934</v>
      </c>
      <c r="D31" s="232" t="s">
        <v>660</v>
      </c>
    </row>
    <row r="32" spans="1:18">
      <c r="A32" s="167" t="s">
        <v>40</v>
      </c>
      <c r="B32" s="37">
        <f>IF( ISERROR(IND_voed_ele_kWh/1000),0,IND_voed_ele_kWh/1000)</f>
        <v>4808.4906090000004</v>
      </c>
      <c r="C32" s="39">
        <f>IF(ISERROR(B32*3.6/1000000/'E Balans VL '!Z20*100),0,B32*3.6/1000000/'E Balans VL '!Z20*100)</f>
        <v>0.13985418541810143</v>
      </c>
      <c r="D32" s="232" t="s">
        <v>660</v>
      </c>
    </row>
    <row r="33" spans="1:5">
      <c r="A33" s="167" t="s">
        <v>39</v>
      </c>
      <c r="B33" s="37">
        <f>IF( ISERROR(IND_textiel_ele_kWh/1000),0,IND_textiel_ele_kWh/1000)</f>
        <v>20017.418444999999</v>
      </c>
      <c r="C33" s="39">
        <f>IF(ISERROR(B33*3.6/1000000/'E Balans VL '!Z21*100),0,B33*3.6/1000000/'E Balans VL '!Z21*100)</f>
        <v>2.9485802639233181</v>
      </c>
      <c r="D33" s="232" t="s">
        <v>660</v>
      </c>
    </row>
    <row r="34" spans="1:5">
      <c r="A34" s="167" t="s">
        <v>36</v>
      </c>
      <c r="B34" s="37">
        <f>IF( ISERROR(IND_min_ele_kWh/1000),0,IND_min_ele_kWh/1000)</f>
        <v>3458.0729999999999</v>
      </c>
      <c r="C34" s="39">
        <f>IF(ISERROR(B34*3.6/1000000/'E Balans VL '!Z22*100),0,B34*3.6/1000000/'E Balans VL '!Z22*100)</f>
        <v>1.3872363258427163</v>
      </c>
      <c r="D34" s="232" t="s">
        <v>660</v>
      </c>
    </row>
    <row r="35" spans="1:5">
      <c r="A35" s="167" t="s">
        <v>38</v>
      </c>
      <c r="B35" s="37">
        <f>IF( ISERROR(IND_papier_ele_kWh/1000),0,IND_papier_ele_kWh/1000)</f>
        <v>5126.7691270000005</v>
      </c>
      <c r="C35" s="39">
        <f>IF(ISERROR(B35*3.6/1000000/'E Balans VL '!Z22*100),0,B35*3.6/1000000/'E Balans VL '!Z22*100)</f>
        <v>2.0566484186954272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4.929951</v>
      </c>
      <c r="C37" s="39">
        <f>IF(ISERROR(B37*3.6/1000000/'E Balans VL '!Z15*100),0,B37*3.6/1000000/'E Balans VL '!Z15*100)</f>
        <v>3.9708493002454256E-5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2217.451986</v>
      </c>
      <c r="C5" s="17">
        <f>'Eigen informatie GS &amp; warmtenet'!B62</f>
        <v>0</v>
      </c>
      <c r="D5" s="30">
        <f>IF(ISERROR(SUM(LB_lb_gas_kWh,LB_rest_gas_kWh)/1000),0,SUM(LB_lb_gas_kWh,LB_rest_gas_kWh)/1000)*0.903</f>
        <v>30160.970434181996</v>
      </c>
      <c r="E5" s="17">
        <f>B17*'E Balans VL '!I25/3.6*1000000/100</f>
        <v>65.376753571956812</v>
      </c>
      <c r="F5" s="17">
        <f>B17*('E Balans VL '!L25/3.6*1000000+'E Balans VL '!N25/3.6*1000000)/100</f>
        <v>7047.8504698968663</v>
      </c>
      <c r="G5" s="18"/>
      <c r="H5" s="17"/>
      <c r="I5" s="17"/>
      <c r="J5" s="17">
        <f>('E Balans VL '!D25+'E Balans VL '!E25)/3.6*1000000*landbouw!B17/100</f>
        <v>559.2277740588296</v>
      </c>
      <c r="K5" s="17"/>
      <c r="L5" s="17">
        <f>L6*(-1)</f>
        <v>0</v>
      </c>
      <c r="M5" s="17"/>
      <c r="N5" s="17">
        <f>N6*(-1)</f>
        <v>6904.2857142857147</v>
      </c>
      <c r="O5" s="17"/>
      <c r="P5" s="17"/>
      <c r="R5" s="32"/>
    </row>
    <row r="6" spans="1:18">
      <c r="A6" s="16" t="s">
        <v>466</v>
      </c>
      <c r="B6" s="17" t="s">
        <v>204</v>
      </c>
      <c r="C6" s="17">
        <f>'lokale energieproductie'!O42+'lokale energieproductie'!O35</f>
        <v>29976.428571428572</v>
      </c>
      <c r="D6" s="302">
        <f>('lokale energieproductie'!P35+'lokale energieproductie'!P42)*(-1)</f>
        <v>-53048.571428571435</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-6904.2857142857147</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2217.451986</v>
      </c>
      <c r="C8" s="21">
        <f>C5+C6</f>
        <v>29976.428571428572</v>
      </c>
      <c r="D8" s="21">
        <f>MAX((D5+D6),0)</f>
        <v>0</v>
      </c>
      <c r="E8" s="21">
        <f>MAX((E5+E6),0)</f>
        <v>65.376753571956812</v>
      </c>
      <c r="F8" s="21">
        <f>MAX((F5+F6),0)</f>
        <v>7047.8504698968663</v>
      </c>
      <c r="G8" s="21"/>
      <c r="H8" s="21"/>
      <c r="I8" s="21"/>
      <c r="J8" s="21">
        <f>MAX((J5+J6),0)</f>
        <v>559.2277740588296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0.1744924011083816</v>
      </c>
      <c r="C10" s="31">
        <f ca="1">'EF ele_warmte'!B22</f>
        <v>0.21027916892684595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386.92852137968941</v>
      </c>
      <c r="C12" s="23">
        <f ca="1">C8*C10</f>
        <v>6303.4184873949598</v>
      </c>
      <c r="D12" s="23">
        <f>D8*D10</f>
        <v>0</v>
      </c>
      <c r="E12" s="23">
        <f>E8*E10</f>
        <v>14.840523060834197</v>
      </c>
      <c r="F12" s="23">
        <f>F8*F10</f>
        <v>1881.7760754624635</v>
      </c>
      <c r="G12" s="23"/>
      <c r="H12" s="23"/>
      <c r="I12" s="23"/>
      <c r="J12" s="23">
        <f>J8*J10</f>
        <v>197.96663201682566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0.30456124379544325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162.14135966228858</v>
      </c>
      <c r="C26" s="242">
        <f>B26*'GWP N2O_CH4'!B5</f>
        <v>3404.9685529080602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62.228105345088878</v>
      </c>
      <c r="C27" s="242">
        <f>B27*'GWP N2O_CH4'!B5</f>
        <v>1306.7902122468665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2.5779913089172974</v>
      </c>
      <c r="C28" s="242">
        <f>B28*'GWP N2O_CH4'!B4</f>
        <v>799.17730576436225</v>
      </c>
      <c r="D28" s="50"/>
    </row>
    <row r="29" spans="1:4">
      <c r="A29" s="41" t="s">
        <v>266</v>
      </c>
      <c r="B29" s="242">
        <f>B34*'ha_N2O bodem landbouw'!B4</f>
        <v>7.3904643119467934</v>
      </c>
      <c r="C29" s="242">
        <f>B29*'GWP N2O_CH4'!B4</f>
        <v>2291.043936703506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1.6843079224684266E-3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9.9545191525191512E-4</v>
      </c>
      <c r="C5" s="430" t="s">
        <v>204</v>
      </c>
      <c r="D5" s="415">
        <f>SUM(D6:D11)</f>
        <v>1.6859807656856855E-3</v>
      </c>
      <c r="E5" s="415">
        <f>SUM(E6:E11)</f>
        <v>9.9943979682463901E-4</v>
      </c>
      <c r="F5" s="428" t="s">
        <v>204</v>
      </c>
      <c r="G5" s="415">
        <f>SUM(G6:G11)</f>
        <v>0.5606408293679197</v>
      </c>
      <c r="H5" s="415">
        <f>SUM(H6:H11)</f>
        <v>0.11307156085880951</v>
      </c>
      <c r="I5" s="430" t="s">
        <v>204</v>
      </c>
      <c r="J5" s="430" t="s">
        <v>204</v>
      </c>
      <c r="K5" s="430" t="s">
        <v>204</v>
      </c>
      <c r="L5" s="430" t="s">
        <v>204</v>
      </c>
      <c r="M5" s="415">
        <f>SUM(M6:M11)</f>
        <v>3.94251363279845E-2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2.8263424247115565E-4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4.9323811178738871E-4</v>
      </c>
      <c r="E6" s="844">
        <f>vkm_GW_PW*SUMIFS(TableVerdeelsleutelVkm[LPG],TableVerdeelsleutelVkm[Voertuigtype],"Lichte voertuigen")*SUMIFS(TableECFTransport[EnergieConsumptieFactor (PJ per km)],TableECFTransport[Index],CONCATENATE($A6,"_LPG_LPG"))</f>
        <v>2.7119742024777726E-4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8.3467601736381292E-2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3.2565622221963124E-2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6.963215891027082E-3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1.7423883967439506E-6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7.2113004446934179E-2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7.903227093638433E-7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4.0600772692739829E-3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2.3348061150087678E-4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5.2233837573462192E-4</v>
      </c>
      <c r="E8" s="418">
        <f>vkm_NGW_PW*SUMIFS(TableVerdeelsleutelVkm[LPG],TableVerdeelsleutelVkm[Voertuigtype],"Lichte voertuigen")*SUMIFS(TableECFTransport[EnergieConsumptieFactor (PJ per km)],TableECFTransport[Index],CONCATENATE($A8,"_LPG_LPG"))</f>
        <v>2.7430571093711525E-4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7.8016631541241083E-2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3.3948821008231218E-2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6.7524799247208091E-3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6.0947017588510111E-7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3.248316831544322E-2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3.3367863151502728E-7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1.8288526795479259E-3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4.7266093375007706E-4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6.7040427816367491E-4</v>
      </c>
      <c r="E10" s="418">
        <f>vkm_SW_PW*SUMIFS(TableVerdeelsleutelVkm[LPG],TableVerdeelsleutelVkm[Voertuigtype],"Lichte voertuigen")*SUMIFS(TableECFTransport[EnergieConsumptieFactor (PJ per km)],TableECFTransport[Index],CONCATENATE($A10,"_LPG_LPG"))</f>
        <v>4.5393666563974645E-4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0.12548327942991308</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4.6553974783893143E-2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1.0301185923456815E-2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4.3242689571766667E-6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0.1690771438980069</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2.0188433811492533E-6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9.5193246399578879E-3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276.51442090330977</v>
      </c>
      <c r="C14" s="21"/>
      <c r="D14" s="21">
        <f t="shared" ref="D14:M14" si="0">((D5)*10^9/3600)+D12</f>
        <v>468.32799046824596</v>
      </c>
      <c r="E14" s="21">
        <f t="shared" si="0"/>
        <v>277.62216578462193</v>
      </c>
      <c r="F14" s="21"/>
      <c r="G14" s="21">
        <f t="shared" si="0"/>
        <v>155733.56371331101</v>
      </c>
      <c r="H14" s="21">
        <f t="shared" si="0"/>
        <v>31408.766905224864</v>
      </c>
      <c r="I14" s="21"/>
      <c r="J14" s="21"/>
      <c r="K14" s="21"/>
      <c r="L14" s="21"/>
      <c r="M14" s="21">
        <f t="shared" si="0"/>
        <v>10951.426757773472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0.1744924011083816</v>
      </c>
      <c r="C16" s="56">
        <f ca="1">'EF ele_warmte'!B22</f>
        <v>0.21027916892684595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48.249665244512187</v>
      </c>
      <c r="C18" s="23"/>
      <c r="D18" s="23">
        <f t="shared" ref="D18:M18" si="1">D14*D16</f>
        <v>94.602254074585687</v>
      </c>
      <c r="E18" s="23">
        <f t="shared" si="1"/>
        <v>63.020231633109177</v>
      </c>
      <c r="F18" s="23"/>
      <c r="G18" s="23">
        <f t="shared" si="1"/>
        <v>41580.861511454044</v>
      </c>
      <c r="H18" s="23">
        <f t="shared" si="1"/>
        <v>7820.7829594009909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6.6214411537890314E-5</v>
      </c>
      <c r="C50" s="313">
        <f t="shared" ref="C50:P50" si="2">SUM(C51:C52)</f>
        <v>0</v>
      </c>
      <c r="D50" s="313">
        <f t="shared" si="2"/>
        <v>0</v>
      </c>
      <c r="E50" s="313">
        <f t="shared" si="2"/>
        <v>0</v>
      </c>
      <c r="F50" s="313">
        <f t="shared" si="2"/>
        <v>0</v>
      </c>
      <c r="G50" s="313">
        <f t="shared" si="2"/>
        <v>4.7262653997231134E-3</v>
      </c>
      <c r="H50" s="313">
        <f t="shared" si="2"/>
        <v>0</v>
      </c>
      <c r="I50" s="313">
        <f t="shared" si="2"/>
        <v>0</v>
      </c>
      <c r="J50" s="313">
        <f t="shared" si="2"/>
        <v>0</v>
      </c>
      <c r="K50" s="313">
        <f t="shared" si="2"/>
        <v>0</v>
      </c>
      <c r="L50" s="313">
        <f t="shared" si="2"/>
        <v>0</v>
      </c>
      <c r="M50" s="313">
        <f t="shared" si="2"/>
        <v>2.6097772968205931E-4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6.6214411537890314E-5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4.7262653997231134E-3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2.6097772968205931E-4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18.392892093858418</v>
      </c>
      <c r="C54" s="21">
        <f t="shared" ref="C54:P54" si="3">(C50)*10^9/3600</f>
        <v>0</v>
      </c>
      <c r="D54" s="21">
        <f t="shared" si="3"/>
        <v>0</v>
      </c>
      <c r="E54" s="21">
        <f t="shared" si="3"/>
        <v>0</v>
      </c>
      <c r="F54" s="21">
        <f t="shared" si="3"/>
        <v>0</v>
      </c>
      <c r="G54" s="21">
        <f t="shared" si="3"/>
        <v>1312.851499923087</v>
      </c>
      <c r="H54" s="21">
        <f t="shared" si="3"/>
        <v>0</v>
      </c>
      <c r="I54" s="21">
        <f t="shared" si="3"/>
        <v>0</v>
      </c>
      <c r="J54" s="21">
        <f t="shared" si="3"/>
        <v>0</v>
      </c>
      <c r="K54" s="21">
        <f t="shared" si="3"/>
        <v>0</v>
      </c>
      <c r="L54" s="21">
        <f t="shared" si="3"/>
        <v>0</v>
      </c>
      <c r="M54" s="21">
        <f t="shared" si="3"/>
        <v>72.493813800572028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0.1744924011083816</v>
      </c>
      <c r="C56" s="56">
        <f ca="1">'EF ele_warmte'!B22</f>
        <v>0.21027916892684595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3.2094199047847236</v>
      </c>
      <c r="C58" s="23">
        <f t="shared" ref="C58:P58" ca="1" si="4">C54*C56</f>
        <v>0</v>
      </c>
      <c r="D58" s="23">
        <f t="shared" si="4"/>
        <v>0</v>
      </c>
      <c r="E58" s="23">
        <f t="shared" si="4"/>
        <v>0</v>
      </c>
      <c r="F58" s="23">
        <f t="shared" si="4"/>
        <v>0</v>
      </c>
      <c r="G58" s="23">
        <f t="shared" si="4"/>
        <v>350.53135047946427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11376.942940093519</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19933.747953955135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20983.5</v>
      </c>
      <c r="C8" s="540">
        <f>B51</f>
        <v>21843.529411764706</v>
      </c>
      <c r="D8" s="541"/>
      <c r="E8" s="541">
        <f>E51</f>
        <v>0</v>
      </c>
      <c r="F8" s="542"/>
      <c r="G8" s="543"/>
      <c r="H8" s="541">
        <f>I51</f>
        <v>0</v>
      </c>
      <c r="I8" s="541">
        <f>G51+F51</f>
        <v>0</v>
      </c>
      <c r="J8" s="541">
        <f>H51+D51+C51</f>
        <v>2842.9411764705883</v>
      </c>
      <c r="K8" s="541"/>
      <c r="L8" s="541"/>
      <c r="M8" s="541"/>
      <c r="N8" s="544"/>
      <c r="O8" s="545">
        <f>C8*$C$12+D8*$D$12+E8*$E$12+F8*$F$12+G8*$G$12+H8*$H$12+I8*$I$12+J8*$J$12</f>
        <v>4412.3929411764711</v>
      </c>
      <c r="P8" s="1210"/>
      <c r="Q8" s="1211"/>
      <c r="S8" s="535"/>
      <c r="T8" s="1198"/>
      <c r="U8" s="1198"/>
    </row>
    <row r="9" spans="1:21" s="526" customFormat="1" ht="17.45" customHeight="1" thickBot="1">
      <c r="A9" s="546" t="s">
        <v>237</v>
      </c>
      <c r="B9" s="547">
        <f>N39+'Eigen informatie GS &amp; warmtenet'!B12</f>
        <v>1341</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53635.190894048654</v>
      </c>
      <c r="C10" s="555">
        <f t="shared" ref="C10:L10" si="0">SUM(C8:C9)</f>
        <v>21843.529411764706</v>
      </c>
      <c r="D10" s="555">
        <f t="shared" si="0"/>
        <v>0</v>
      </c>
      <c r="E10" s="555">
        <f t="shared" si="0"/>
        <v>0</v>
      </c>
      <c r="F10" s="555">
        <f t="shared" si="0"/>
        <v>0</v>
      </c>
      <c r="G10" s="555">
        <f t="shared" si="0"/>
        <v>0</v>
      </c>
      <c r="H10" s="555">
        <f t="shared" si="0"/>
        <v>0</v>
      </c>
      <c r="I10" s="555">
        <f t="shared" si="0"/>
        <v>0</v>
      </c>
      <c r="J10" s="555">
        <f t="shared" si="0"/>
        <v>6674.3697478991598</v>
      </c>
      <c r="K10" s="555">
        <f t="shared" si="0"/>
        <v>0</v>
      </c>
      <c r="L10" s="555">
        <f t="shared" si="0"/>
        <v>0</v>
      </c>
      <c r="M10" s="917"/>
      <c r="N10" s="917"/>
      <c r="O10" s="556">
        <f>SUM(O4:O9)</f>
        <v>4412.3929411764711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29976.428571428572</v>
      </c>
      <c r="C17" s="571">
        <f>B52</f>
        <v>31205.042016806728</v>
      </c>
      <c r="D17" s="572"/>
      <c r="E17" s="572">
        <f>E52</f>
        <v>0</v>
      </c>
      <c r="F17" s="573"/>
      <c r="G17" s="574"/>
      <c r="H17" s="571">
        <f>I52</f>
        <v>0</v>
      </c>
      <c r="I17" s="572">
        <f>G52+F52</f>
        <v>0</v>
      </c>
      <c r="J17" s="572">
        <f>H52+D52+C52</f>
        <v>4061.3445378151264</v>
      </c>
      <c r="K17" s="572"/>
      <c r="L17" s="572"/>
      <c r="M17" s="572"/>
      <c r="N17" s="918"/>
      <c r="O17" s="575">
        <f>C17*$C$22+E17*$E$22+H17*$H$22+I17*$I$22+J17*$J$22+D17*$D$22+F17*$F$22+G17*$G$22+K17*$K$22+L17*$L$22</f>
        <v>6303.4184873949598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29976.428571428572</v>
      </c>
      <c r="C20" s="554">
        <f>SUM(C17:C19)</f>
        <v>31205.042016806728</v>
      </c>
      <c r="D20" s="554">
        <f t="shared" ref="D20:L20" si="1">SUM(D17:D19)</f>
        <v>0</v>
      </c>
      <c r="E20" s="554">
        <f t="shared" si="1"/>
        <v>0</v>
      </c>
      <c r="F20" s="554">
        <f t="shared" si="1"/>
        <v>0</v>
      </c>
      <c r="G20" s="554">
        <f t="shared" si="1"/>
        <v>0</v>
      </c>
      <c r="H20" s="554">
        <f t="shared" si="1"/>
        <v>0</v>
      </c>
      <c r="I20" s="554">
        <f t="shared" si="1"/>
        <v>0</v>
      </c>
      <c r="J20" s="554">
        <f t="shared" si="1"/>
        <v>4061.3445378151264</v>
      </c>
      <c r="K20" s="554">
        <f t="shared" si="1"/>
        <v>0</v>
      </c>
      <c r="L20" s="554">
        <f t="shared" si="1"/>
        <v>0</v>
      </c>
      <c r="M20" s="554"/>
      <c r="N20" s="554"/>
      <c r="O20" s="580">
        <f>SUM(O17:O19)</f>
        <v>6303.4184873949598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34013</v>
      </c>
      <c r="C28" s="746">
        <v>8531</v>
      </c>
      <c r="D28" s="632"/>
      <c r="E28" s="631"/>
      <c r="F28" s="631"/>
      <c r="G28" s="631" t="s">
        <v>861</v>
      </c>
      <c r="H28" s="631" t="s">
        <v>862</v>
      </c>
      <c r="I28" s="631"/>
      <c r="J28" s="745"/>
      <c r="K28" s="745"/>
      <c r="L28" s="631" t="s">
        <v>863</v>
      </c>
      <c r="M28" s="631">
        <v>2000</v>
      </c>
      <c r="N28" s="631">
        <v>9000</v>
      </c>
      <c r="O28" s="631">
        <v>12857.142857142857</v>
      </c>
      <c r="P28" s="631">
        <v>25714.285714285717</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34013</v>
      </c>
      <c r="C29" s="746">
        <v>8531</v>
      </c>
      <c r="D29" s="632"/>
      <c r="E29" s="631"/>
      <c r="F29" s="631"/>
      <c r="G29" s="631" t="s">
        <v>861</v>
      </c>
      <c r="H29" s="631" t="s">
        <v>862</v>
      </c>
      <c r="I29" s="631"/>
      <c r="J29" s="745"/>
      <c r="K29" s="745"/>
      <c r="L29" s="631" t="s">
        <v>863</v>
      </c>
      <c r="M29" s="631">
        <v>2056</v>
      </c>
      <c r="N29" s="631">
        <v>9252</v>
      </c>
      <c r="O29" s="631">
        <v>13217.142857142857</v>
      </c>
      <c r="P29" s="631">
        <v>26434.285714285717</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34013</v>
      </c>
      <c r="C30" s="746">
        <v>8530</v>
      </c>
      <c r="D30" s="632"/>
      <c r="E30" s="631"/>
      <c r="F30" s="631"/>
      <c r="G30" s="631" t="s">
        <v>861</v>
      </c>
      <c r="H30" s="631" t="s">
        <v>862</v>
      </c>
      <c r="I30" s="631"/>
      <c r="J30" s="745"/>
      <c r="K30" s="745"/>
      <c r="L30" s="631" t="s">
        <v>863</v>
      </c>
      <c r="M30" s="631">
        <v>537</v>
      </c>
      <c r="N30" s="631">
        <v>2416.5</v>
      </c>
      <c r="O30" s="631">
        <v>3452.1428571428573</v>
      </c>
      <c r="P30" s="631">
        <v>0</v>
      </c>
      <c r="Q30" s="631">
        <v>6904.2857142857147</v>
      </c>
      <c r="R30" s="631">
        <v>0</v>
      </c>
      <c r="S30" s="631">
        <v>0</v>
      </c>
      <c r="T30" s="631">
        <v>0</v>
      </c>
      <c r="U30" s="631">
        <v>0</v>
      </c>
      <c r="V30" s="631">
        <v>0</v>
      </c>
      <c r="W30" s="631">
        <v>0</v>
      </c>
      <c r="X30" s="631"/>
      <c r="Y30" s="631">
        <v>10</v>
      </c>
      <c r="Z30" s="631" t="s">
        <v>105</v>
      </c>
      <c r="AA30" s="633" t="s">
        <v>105</v>
      </c>
    </row>
    <row r="31" spans="1:27" s="585" customFormat="1" ht="25.5" hidden="1">
      <c r="A31" s="584"/>
      <c r="B31" s="746">
        <v>34013</v>
      </c>
      <c r="C31" s="746">
        <v>8530</v>
      </c>
      <c r="D31" s="632"/>
      <c r="E31" s="631"/>
      <c r="F31" s="631"/>
      <c r="G31" s="631" t="s">
        <v>861</v>
      </c>
      <c r="H31" s="631" t="s">
        <v>862</v>
      </c>
      <c r="I31" s="631"/>
      <c r="J31" s="745"/>
      <c r="K31" s="745"/>
      <c r="L31" s="631" t="s">
        <v>863</v>
      </c>
      <c r="M31" s="631">
        <v>70</v>
      </c>
      <c r="N31" s="631">
        <v>315.00000000000006</v>
      </c>
      <c r="O31" s="631">
        <v>450.00000000000011</v>
      </c>
      <c r="P31" s="631">
        <v>900.00000000000023</v>
      </c>
      <c r="Q31" s="631">
        <v>0</v>
      </c>
      <c r="R31" s="631">
        <v>0</v>
      </c>
      <c r="S31" s="631">
        <v>0</v>
      </c>
      <c r="T31" s="631">
        <v>0</v>
      </c>
      <c r="U31" s="631">
        <v>0</v>
      </c>
      <c r="V31" s="631">
        <v>0</v>
      </c>
      <c r="W31" s="631">
        <v>0</v>
      </c>
      <c r="X31" s="631"/>
      <c r="Y31" s="631">
        <v>10</v>
      </c>
      <c r="Z31" s="631" t="s">
        <v>105</v>
      </c>
      <c r="AA31" s="633" t="s">
        <v>105</v>
      </c>
    </row>
    <row r="32" spans="1:27" s="565" customFormat="1" hidden="1">
      <c r="A32" s="587" t="s">
        <v>269</v>
      </c>
      <c r="B32" s="588"/>
      <c r="C32" s="588"/>
      <c r="D32" s="588"/>
      <c r="E32" s="588"/>
      <c r="F32" s="588"/>
      <c r="G32" s="588"/>
      <c r="H32" s="588"/>
      <c r="I32" s="588"/>
      <c r="J32" s="588"/>
      <c r="K32" s="588"/>
      <c r="L32" s="589"/>
      <c r="M32" s="589">
        <f>SUM(M28:M31)</f>
        <v>4663</v>
      </c>
      <c r="N32" s="589">
        <f>SUM(N28:N31)</f>
        <v>20983.5</v>
      </c>
      <c r="O32" s="589">
        <f>SUM(O28:O31)</f>
        <v>29976.428571428572</v>
      </c>
      <c r="P32" s="589">
        <f>SUM(P28:P31)</f>
        <v>53048.571428571435</v>
      </c>
      <c r="Q32" s="589">
        <f>SUM(Q28:Q31)</f>
        <v>6904.2857142857147</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0</v>
      </c>
      <c r="N34" s="589">
        <f ca="1">SUMIF($AA$28:AE31,"tertiair",N28:N31)</f>
        <v>0</v>
      </c>
      <c r="O34" s="589">
        <f ca="1">SUMIF($AA$28:AF31,"tertiair",O28:O31)</f>
        <v>0</v>
      </c>
      <c r="P34" s="589">
        <f ca="1">SUMIF($AA$28:AG31,"tertiair",P28:P31)</f>
        <v>0</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4663</v>
      </c>
      <c r="N35" s="594">
        <f>SUMIF($AA$28:$AA$31,"landbouw",N28:N31)</f>
        <v>20983.5</v>
      </c>
      <c r="O35" s="594">
        <f>SUMIF($AA$28:$AA$31,"landbouw",O28:O31)</f>
        <v>29976.428571428572</v>
      </c>
      <c r="P35" s="594">
        <f>SUMIF($AA$28:$AA$31,"landbouw",P28:P31)</f>
        <v>53048.571428571435</v>
      </c>
      <c r="Q35" s="594">
        <f>SUMIF($AA$28:$AA$31,"landbouw",Q28:Q31)</f>
        <v>6904.2857142857147</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63.75" hidden="1">
      <c r="A38" s="586"/>
      <c r="B38" s="746">
        <v>34013</v>
      </c>
      <c r="C38" s="746">
        <v>8530</v>
      </c>
      <c r="D38" s="634"/>
      <c r="E38" s="634"/>
      <c r="F38" s="634"/>
      <c r="G38" s="634" t="s">
        <v>864</v>
      </c>
      <c r="H38" s="634" t="s">
        <v>865</v>
      </c>
      <c r="I38" s="634"/>
      <c r="J38" s="745"/>
      <c r="K38" s="745"/>
      <c r="L38" s="634" t="s">
        <v>863</v>
      </c>
      <c r="M38" s="634">
        <v>298</v>
      </c>
      <c r="N38" s="634">
        <v>1341</v>
      </c>
      <c r="O38" s="634">
        <v>0</v>
      </c>
      <c r="P38" s="634">
        <v>0</v>
      </c>
      <c r="Q38" s="634">
        <v>3831.4285714285716</v>
      </c>
      <c r="R38" s="634">
        <v>0</v>
      </c>
      <c r="S38" s="634">
        <v>0</v>
      </c>
      <c r="T38" s="634">
        <v>0</v>
      </c>
      <c r="U38" s="634">
        <v>0</v>
      </c>
      <c r="V38" s="634">
        <v>0</v>
      </c>
      <c r="W38" s="634">
        <v>0</v>
      </c>
      <c r="X38" s="634"/>
      <c r="Y38" s="634">
        <v>1600</v>
      </c>
      <c r="Z38" s="634" t="s">
        <v>49</v>
      </c>
      <c r="AA38" s="635" t="s">
        <v>149</v>
      </c>
    </row>
    <row r="39" spans="1:28" s="565" customFormat="1" hidden="1">
      <c r="A39" s="587" t="s">
        <v>269</v>
      </c>
      <c r="B39" s="588"/>
      <c r="C39" s="588"/>
      <c r="D39" s="588"/>
      <c r="E39" s="588"/>
      <c r="F39" s="588"/>
      <c r="G39" s="588"/>
      <c r="H39" s="588"/>
      <c r="I39" s="588"/>
      <c r="J39" s="588"/>
      <c r="K39" s="588"/>
      <c r="L39" s="589"/>
      <c r="M39" s="589">
        <f>SUM(M38:M38)</f>
        <v>298</v>
      </c>
      <c r="N39" s="589">
        <f>SUM(N38:N38)</f>
        <v>1341</v>
      </c>
      <c r="O39" s="589">
        <f>SUM(O38:O38)</f>
        <v>0</v>
      </c>
      <c r="P39" s="589">
        <f>SUM(P38:P38)</f>
        <v>0</v>
      </c>
      <c r="Q39" s="589">
        <f>SUM(Q38:Q38)</f>
        <v>3831.4285714285716</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298</v>
      </c>
      <c r="N41" s="589">
        <f>SUMIF($AA$38:$AA$39,"tertiair",N38:N39)</f>
        <v>1341</v>
      </c>
      <c r="O41" s="589">
        <f>SUMIF($AA$38:$AA$39,"tertiair",O38:O39)</f>
        <v>0</v>
      </c>
      <c r="P41" s="589">
        <f>SUMIF($AA$38:$AA$39,"tertiair",P38:P39)</f>
        <v>0</v>
      </c>
      <c r="Q41" s="589">
        <f>SUMIF($AA$38:$AA$39,"tertiair",Q38:Q39)</f>
        <v>3831.4285714285716</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0.58823529411764708</v>
      </c>
      <c r="C48" s="614">
        <f>IF(ISERROR(N32/(O32+N32)),0,N32/(N32+O32))</f>
        <v>0.41176470588235292</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21843.529411764706</v>
      </c>
      <c r="C51" s="623">
        <f t="shared" si="2"/>
        <v>2842.9411764705883</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31205.042016806728</v>
      </c>
      <c r="C52" s="626">
        <f t="shared" si="3"/>
        <v>4061.3445378151264</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68237.943810999976</v>
      </c>
      <c r="D10" s="642">
        <f ca="1">tertiair!C16</f>
        <v>0</v>
      </c>
      <c r="E10" s="642">
        <f ca="1">tertiair!D16</f>
        <v>95220.737998974015</v>
      </c>
      <c r="F10" s="642">
        <f>tertiair!E16</f>
        <v>317.7570172127302</v>
      </c>
      <c r="G10" s="642">
        <f ca="1">tertiair!F16</f>
        <v>16159.392649060308</v>
      </c>
      <c r="H10" s="642">
        <f>tertiair!G16</f>
        <v>0</v>
      </c>
      <c r="I10" s="642">
        <f>tertiair!H16</f>
        <v>0</v>
      </c>
      <c r="J10" s="642">
        <f>tertiair!I16</f>
        <v>0</v>
      </c>
      <c r="K10" s="642">
        <f>tertiair!J16</f>
        <v>0.12250220463059767</v>
      </c>
      <c r="L10" s="642">
        <f>tertiair!K16</f>
        <v>0</v>
      </c>
      <c r="M10" s="642">
        <f ca="1">tertiair!L16</f>
        <v>0</v>
      </c>
      <c r="N10" s="642">
        <f>tertiair!M16</f>
        <v>0</v>
      </c>
      <c r="O10" s="642">
        <f ca="1">tertiair!N16</f>
        <v>389.98841088156951</v>
      </c>
      <c r="P10" s="642">
        <f>tertiair!O16</f>
        <v>19.589043063364617</v>
      </c>
      <c r="Q10" s="643">
        <f>tertiair!P16</f>
        <v>367.77396814546512</v>
      </c>
      <c r="R10" s="645">
        <f ca="1">SUM(C10:Q10)</f>
        <v>180713.30540054207</v>
      </c>
      <c r="S10" s="67"/>
    </row>
    <row r="11" spans="1:19" s="441" customFormat="1">
      <c r="A11" s="762" t="s">
        <v>214</v>
      </c>
      <c r="B11" s="767"/>
      <c r="C11" s="642">
        <f>huishoudens!B8</f>
        <v>43524.874924285708</v>
      </c>
      <c r="D11" s="642">
        <f>huishoudens!C8</f>
        <v>0</v>
      </c>
      <c r="E11" s="642">
        <f>huishoudens!D8</f>
        <v>112998.27091030891</v>
      </c>
      <c r="F11" s="642">
        <f>huishoudens!E8</f>
        <v>2422.3954889665174</v>
      </c>
      <c r="G11" s="642">
        <f>huishoudens!F8</f>
        <v>39697.446760815954</v>
      </c>
      <c r="H11" s="642">
        <f>huishoudens!G8</f>
        <v>0</v>
      </c>
      <c r="I11" s="642">
        <f>huishoudens!H8</f>
        <v>0</v>
      </c>
      <c r="J11" s="642">
        <f>huishoudens!I8</f>
        <v>0</v>
      </c>
      <c r="K11" s="642">
        <f>huishoudens!J8</f>
        <v>219.11001051572583</v>
      </c>
      <c r="L11" s="642">
        <f>huishoudens!K8</f>
        <v>0</v>
      </c>
      <c r="M11" s="642">
        <f>huishoudens!L8</f>
        <v>0</v>
      </c>
      <c r="N11" s="642">
        <f>huishoudens!M8</f>
        <v>0</v>
      </c>
      <c r="O11" s="642">
        <f>huishoudens!N8</f>
        <v>14590.402334976101</v>
      </c>
      <c r="P11" s="642">
        <f>huishoudens!O8</f>
        <v>646.77037952017236</v>
      </c>
      <c r="Q11" s="643">
        <f>huishoudens!P8</f>
        <v>600.43568053804631</v>
      </c>
      <c r="R11" s="645">
        <f>SUM(C11:Q11)</f>
        <v>214699.70648992711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44833.061253999993</v>
      </c>
      <c r="D13" s="642">
        <f>industrie!C18</f>
        <v>0</v>
      </c>
      <c r="E13" s="642">
        <f>industrie!D18</f>
        <v>75105.600884091938</v>
      </c>
      <c r="F13" s="642">
        <f>industrie!E18</f>
        <v>140.72326493033734</v>
      </c>
      <c r="G13" s="642">
        <f>industrie!F18</f>
        <v>6042.4399202763434</v>
      </c>
      <c r="H13" s="642">
        <f>industrie!G18</f>
        <v>0</v>
      </c>
      <c r="I13" s="642">
        <f>industrie!H18</f>
        <v>0</v>
      </c>
      <c r="J13" s="642">
        <f>industrie!I18</f>
        <v>0</v>
      </c>
      <c r="K13" s="642">
        <f>industrie!J18</f>
        <v>4.3317767004172607</v>
      </c>
      <c r="L13" s="642">
        <f>industrie!K18</f>
        <v>0</v>
      </c>
      <c r="M13" s="642">
        <f>industrie!L18</f>
        <v>0</v>
      </c>
      <c r="N13" s="642">
        <f>industrie!M18</f>
        <v>0</v>
      </c>
      <c r="O13" s="642">
        <f>industrie!N18</f>
        <v>1720.1503169899117</v>
      </c>
      <c r="P13" s="642">
        <f>industrie!O18</f>
        <v>0</v>
      </c>
      <c r="Q13" s="643">
        <f>industrie!P18</f>
        <v>0</v>
      </c>
      <c r="R13" s="645">
        <f>SUM(C13:Q13)</f>
        <v>127846.30741698893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156595.87998928569</v>
      </c>
      <c r="D16" s="678">
        <f t="shared" ref="D16:R16" ca="1" si="0">SUM(D9:D15)</f>
        <v>0</v>
      </c>
      <c r="E16" s="678">
        <f t="shared" ca="1" si="0"/>
        <v>283324.60979337484</v>
      </c>
      <c r="F16" s="678">
        <f t="shared" si="0"/>
        <v>2880.875771109585</v>
      </c>
      <c r="G16" s="678">
        <f t="shared" ca="1" si="0"/>
        <v>61899.279330152611</v>
      </c>
      <c r="H16" s="678">
        <f t="shared" si="0"/>
        <v>0</v>
      </c>
      <c r="I16" s="678">
        <f t="shared" si="0"/>
        <v>0</v>
      </c>
      <c r="J16" s="678">
        <f t="shared" si="0"/>
        <v>0</v>
      </c>
      <c r="K16" s="678">
        <f t="shared" si="0"/>
        <v>223.56428942077369</v>
      </c>
      <c r="L16" s="678">
        <f t="shared" si="0"/>
        <v>0</v>
      </c>
      <c r="M16" s="678">
        <f t="shared" ca="1" si="0"/>
        <v>0</v>
      </c>
      <c r="N16" s="678">
        <f t="shared" si="0"/>
        <v>0</v>
      </c>
      <c r="O16" s="678">
        <f t="shared" ca="1" si="0"/>
        <v>16700.541062847584</v>
      </c>
      <c r="P16" s="678">
        <f t="shared" si="0"/>
        <v>666.35942258353703</v>
      </c>
      <c r="Q16" s="678">
        <f t="shared" si="0"/>
        <v>968.20964868351143</v>
      </c>
      <c r="R16" s="678">
        <f t="shared" ca="1" si="0"/>
        <v>523259.31930745812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18.392892093858418</v>
      </c>
      <c r="D19" s="642">
        <f>transport!C54</f>
        <v>0</v>
      </c>
      <c r="E19" s="642">
        <f>transport!D54</f>
        <v>0</v>
      </c>
      <c r="F19" s="642">
        <f>transport!E54</f>
        <v>0</v>
      </c>
      <c r="G19" s="642">
        <f>transport!F54</f>
        <v>0</v>
      </c>
      <c r="H19" s="642">
        <f>transport!G54</f>
        <v>1312.851499923087</v>
      </c>
      <c r="I19" s="642">
        <f>transport!H54</f>
        <v>0</v>
      </c>
      <c r="J19" s="642">
        <f>transport!I54</f>
        <v>0</v>
      </c>
      <c r="K19" s="642">
        <f>transport!J54</f>
        <v>0</v>
      </c>
      <c r="L19" s="642">
        <f>transport!K54</f>
        <v>0</v>
      </c>
      <c r="M19" s="642">
        <f>transport!L54</f>
        <v>0</v>
      </c>
      <c r="N19" s="642">
        <f>transport!M54</f>
        <v>72.493813800572028</v>
      </c>
      <c r="O19" s="642">
        <f>transport!N54</f>
        <v>0</v>
      </c>
      <c r="P19" s="642">
        <f>transport!O54</f>
        <v>0</v>
      </c>
      <c r="Q19" s="643">
        <f>transport!P54</f>
        <v>0</v>
      </c>
      <c r="R19" s="645">
        <f>SUM(C19:Q19)</f>
        <v>1403.7382058175174</v>
      </c>
      <c r="S19" s="67"/>
    </row>
    <row r="20" spans="1:19" s="441" customFormat="1">
      <c r="A20" s="762" t="s">
        <v>296</v>
      </c>
      <c r="B20" s="767"/>
      <c r="C20" s="642">
        <f>transport!B14</f>
        <v>276.51442090330977</v>
      </c>
      <c r="D20" s="642">
        <f>transport!C14</f>
        <v>0</v>
      </c>
      <c r="E20" s="642">
        <f>transport!D14</f>
        <v>468.32799046824596</v>
      </c>
      <c r="F20" s="642">
        <f>transport!E14</f>
        <v>277.62216578462193</v>
      </c>
      <c r="G20" s="642">
        <f>transport!F14</f>
        <v>0</v>
      </c>
      <c r="H20" s="642">
        <f>transport!G14</f>
        <v>155733.56371331101</v>
      </c>
      <c r="I20" s="642">
        <f>transport!H14</f>
        <v>31408.766905224864</v>
      </c>
      <c r="J20" s="642">
        <f>transport!I14</f>
        <v>0</v>
      </c>
      <c r="K20" s="642">
        <f>transport!J14</f>
        <v>0</v>
      </c>
      <c r="L20" s="642">
        <f>transport!K14</f>
        <v>0</v>
      </c>
      <c r="M20" s="642">
        <f>transport!L14</f>
        <v>0</v>
      </c>
      <c r="N20" s="642">
        <f>transport!M14</f>
        <v>10951.426757773472</v>
      </c>
      <c r="O20" s="642">
        <f>transport!N14</f>
        <v>0</v>
      </c>
      <c r="P20" s="642">
        <f>transport!O14</f>
        <v>0</v>
      </c>
      <c r="Q20" s="643">
        <f>transport!P14</f>
        <v>0</v>
      </c>
      <c r="R20" s="645">
        <f>SUM(C20:Q20)</f>
        <v>199116.22195346552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294.90731299716816</v>
      </c>
      <c r="D22" s="765">
        <f t="shared" ref="D22:R22" si="1">SUM(D18:D21)</f>
        <v>0</v>
      </c>
      <c r="E22" s="765">
        <f t="shared" si="1"/>
        <v>468.32799046824596</v>
      </c>
      <c r="F22" s="765">
        <f t="shared" si="1"/>
        <v>277.62216578462193</v>
      </c>
      <c r="G22" s="765">
        <f t="shared" si="1"/>
        <v>0</v>
      </c>
      <c r="H22" s="765">
        <f t="shared" si="1"/>
        <v>157046.41521323411</v>
      </c>
      <c r="I22" s="765">
        <f t="shared" si="1"/>
        <v>31408.766905224864</v>
      </c>
      <c r="J22" s="765">
        <f t="shared" si="1"/>
        <v>0</v>
      </c>
      <c r="K22" s="765">
        <f t="shared" si="1"/>
        <v>0</v>
      </c>
      <c r="L22" s="765">
        <f t="shared" si="1"/>
        <v>0</v>
      </c>
      <c r="M22" s="765">
        <f t="shared" si="1"/>
        <v>0</v>
      </c>
      <c r="N22" s="765">
        <f t="shared" si="1"/>
        <v>11023.920571574045</v>
      </c>
      <c r="O22" s="765">
        <f t="shared" si="1"/>
        <v>0</v>
      </c>
      <c r="P22" s="765">
        <f t="shared" si="1"/>
        <v>0</v>
      </c>
      <c r="Q22" s="765">
        <f t="shared" si="1"/>
        <v>0</v>
      </c>
      <c r="R22" s="765">
        <f t="shared" si="1"/>
        <v>200519.96015928304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2217.451986</v>
      </c>
      <c r="D24" s="642">
        <f>+landbouw!C8</f>
        <v>29976.428571428572</v>
      </c>
      <c r="E24" s="642">
        <f>+landbouw!D8</f>
        <v>0</v>
      </c>
      <c r="F24" s="642">
        <f>+landbouw!E8</f>
        <v>65.376753571956812</v>
      </c>
      <c r="G24" s="642">
        <f>+landbouw!F8</f>
        <v>7047.8504698968663</v>
      </c>
      <c r="H24" s="642">
        <f>+landbouw!G8</f>
        <v>0</v>
      </c>
      <c r="I24" s="642">
        <f>+landbouw!H8</f>
        <v>0</v>
      </c>
      <c r="J24" s="642">
        <f>+landbouw!I8</f>
        <v>0</v>
      </c>
      <c r="K24" s="642">
        <f>+landbouw!J8</f>
        <v>559.2277740588296</v>
      </c>
      <c r="L24" s="642">
        <f>+landbouw!K8</f>
        <v>0</v>
      </c>
      <c r="M24" s="642">
        <f>+landbouw!L8</f>
        <v>0</v>
      </c>
      <c r="N24" s="642">
        <f>+landbouw!M8</f>
        <v>0</v>
      </c>
      <c r="O24" s="642">
        <f>+landbouw!N8</f>
        <v>0</v>
      </c>
      <c r="P24" s="642">
        <f>+landbouw!O8</f>
        <v>0</v>
      </c>
      <c r="Q24" s="643">
        <f>+landbouw!P8</f>
        <v>0</v>
      </c>
      <c r="R24" s="645">
        <f>SUM(C24:Q24)</f>
        <v>39866.335554956226</v>
      </c>
      <c r="S24" s="67"/>
    </row>
    <row r="25" spans="1:19" s="441" customFormat="1" ht="15" thickBot="1">
      <c r="A25" s="784" t="s">
        <v>672</v>
      </c>
      <c r="B25" s="895"/>
      <c r="C25" s="896">
        <f>IF(Onbekend_ele_kWh="---",0,Onbekend_ele_kWh)/1000+IF(REST_rest_ele_kWh="---",0,REST_rest_ele_kWh)/1000</f>
        <v>886.78139099999999</v>
      </c>
      <c r="D25" s="896"/>
      <c r="E25" s="896">
        <f>IF(onbekend_gas_kWh="---",0,onbekend_gas_kWh)/1000+IF(REST_rest_gas_kWh="---",0,REST_rest_gas_kWh)/1000</f>
        <v>3953.2236910000001</v>
      </c>
      <c r="F25" s="896"/>
      <c r="G25" s="896"/>
      <c r="H25" s="896"/>
      <c r="I25" s="896"/>
      <c r="J25" s="896"/>
      <c r="K25" s="896"/>
      <c r="L25" s="896"/>
      <c r="M25" s="896"/>
      <c r="N25" s="896"/>
      <c r="O25" s="896"/>
      <c r="P25" s="896"/>
      <c r="Q25" s="897"/>
      <c r="R25" s="645">
        <f>SUM(C25:Q25)</f>
        <v>4840.0050819999997</v>
      </c>
      <c r="S25" s="67"/>
    </row>
    <row r="26" spans="1:19" s="441" customFormat="1" ht="15.75" thickBot="1">
      <c r="A26" s="650" t="s">
        <v>673</v>
      </c>
      <c r="B26" s="770"/>
      <c r="C26" s="765">
        <f>SUM(C24:C25)</f>
        <v>3104.233377</v>
      </c>
      <c r="D26" s="765">
        <f t="shared" ref="D26:R26" si="2">SUM(D24:D25)</f>
        <v>29976.428571428572</v>
      </c>
      <c r="E26" s="765">
        <f t="shared" si="2"/>
        <v>3953.2236910000001</v>
      </c>
      <c r="F26" s="765">
        <f t="shared" si="2"/>
        <v>65.376753571956812</v>
      </c>
      <c r="G26" s="765">
        <f t="shared" si="2"/>
        <v>7047.8504698968663</v>
      </c>
      <c r="H26" s="765">
        <f t="shared" si="2"/>
        <v>0</v>
      </c>
      <c r="I26" s="765">
        <f t="shared" si="2"/>
        <v>0</v>
      </c>
      <c r="J26" s="765">
        <f t="shared" si="2"/>
        <v>0</v>
      </c>
      <c r="K26" s="765">
        <f t="shared" si="2"/>
        <v>559.2277740588296</v>
      </c>
      <c r="L26" s="765">
        <f t="shared" si="2"/>
        <v>0</v>
      </c>
      <c r="M26" s="765">
        <f t="shared" si="2"/>
        <v>0</v>
      </c>
      <c r="N26" s="765">
        <f t="shared" si="2"/>
        <v>0</v>
      </c>
      <c r="O26" s="765">
        <f t="shared" si="2"/>
        <v>0</v>
      </c>
      <c r="P26" s="765">
        <f t="shared" si="2"/>
        <v>0</v>
      </c>
      <c r="Q26" s="765">
        <f t="shared" si="2"/>
        <v>0</v>
      </c>
      <c r="R26" s="765">
        <f t="shared" si="2"/>
        <v>44706.340636956229</v>
      </c>
      <c r="S26" s="67"/>
    </row>
    <row r="27" spans="1:19" s="441" customFormat="1" ht="17.25" thickTop="1" thickBot="1">
      <c r="A27" s="651" t="s">
        <v>109</v>
      </c>
      <c r="B27" s="757"/>
      <c r="C27" s="652">
        <f ca="1">C22+C16+C26</f>
        <v>159995.02067928287</v>
      </c>
      <c r="D27" s="652">
        <f t="shared" ref="D27:R27" ca="1" si="3">D22+D16+D26</f>
        <v>29976.428571428572</v>
      </c>
      <c r="E27" s="652">
        <f t="shared" ca="1" si="3"/>
        <v>287746.1614748431</v>
      </c>
      <c r="F27" s="652">
        <f t="shared" si="3"/>
        <v>3223.8746904661634</v>
      </c>
      <c r="G27" s="652">
        <f t="shared" ca="1" si="3"/>
        <v>68947.129800049472</v>
      </c>
      <c r="H27" s="652">
        <f t="shared" si="3"/>
        <v>157046.41521323411</v>
      </c>
      <c r="I27" s="652">
        <f t="shared" si="3"/>
        <v>31408.766905224864</v>
      </c>
      <c r="J27" s="652">
        <f t="shared" si="3"/>
        <v>0</v>
      </c>
      <c r="K27" s="652">
        <f t="shared" si="3"/>
        <v>782.79206347960326</v>
      </c>
      <c r="L27" s="652">
        <f t="shared" si="3"/>
        <v>0</v>
      </c>
      <c r="M27" s="652">
        <f t="shared" ca="1" si="3"/>
        <v>0</v>
      </c>
      <c r="N27" s="652">
        <f t="shared" si="3"/>
        <v>11023.920571574045</v>
      </c>
      <c r="O27" s="652">
        <f t="shared" ca="1" si="3"/>
        <v>16700.541062847584</v>
      </c>
      <c r="P27" s="652">
        <f t="shared" si="3"/>
        <v>666.35942258353703</v>
      </c>
      <c r="Q27" s="652">
        <f t="shared" si="3"/>
        <v>968.20964868351143</v>
      </c>
      <c r="R27" s="652">
        <f t="shared" ca="1" si="3"/>
        <v>768485.62010369741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11907.002662280214</v>
      </c>
      <c r="D40" s="642">
        <f ca="1">tertiair!C20</f>
        <v>0</v>
      </c>
      <c r="E40" s="642">
        <f ca="1">tertiair!D20</f>
        <v>19234.589075792752</v>
      </c>
      <c r="F40" s="642">
        <f>tertiair!E20</f>
        <v>72.130842907289761</v>
      </c>
      <c r="G40" s="642">
        <f ca="1">tertiair!F20</f>
        <v>4314.5578372991022</v>
      </c>
      <c r="H40" s="642">
        <f>tertiair!G20</f>
        <v>0</v>
      </c>
      <c r="I40" s="642">
        <f>tertiair!H20</f>
        <v>0</v>
      </c>
      <c r="J40" s="642">
        <f>tertiair!I20</f>
        <v>0</v>
      </c>
      <c r="K40" s="642">
        <f>tertiair!J20</f>
        <v>4.3365780439231574E-2</v>
      </c>
      <c r="L40" s="642">
        <f>tertiair!K20</f>
        <v>0</v>
      </c>
      <c r="M40" s="642">
        <f ca="1">tertiair!L20</f>
        <v>0</v>
      </c>
      <c r="N40" s="642">
        <f>tertiair!M20</f>
        <v>0</v>
      </c>
      <c r="O40" s="642">
        <f ca="1">tertiair!N20</f>
        <v>0</v>
      </c>
      <c r="P40" s="642">
        <f>tertiair!O20</f>
        <v>0</v>
      </c>
      <c r="Q40" s="725">
        <f>tertiair!P20</f>
        <v>0</v>
      </c>
      <c r="R40" s="803">
        <f t="shared" ca="1" si="4"/>
        <v>35528.323784059794</v>
      </c>
    </row>
    <row r="41" spans="1:18">
      <c r="A41" s="775" t="s">
        <v>214</v>
      </c>
      <c r="B41" s="782"/>
      <c r="C41" s="642">
        <f ca="1">huishoudens!B12</f>
        <v>7594.7599334806018</v>
      </c>
      <c r="D41" s="642">
        <f ca="1">huishoudens!C12</f>
        <v>0</v>
      </c>
      <c r="E41" s="642">
        <f>huishoudens!D12</f>
        <v>22825.650723882402</v>
      </c>
      <c r="F41" s="642">
        <f>huishoudens!E12</f>
        <v>549.88377599539945</v>
      </c>
      <c r="G41" s="642">
        <f>huishoudens!F12</f>
        <v>10599.21828513786</v>
      </c>
      <c r="H41" s="642">
        <f>huishoudens!G12</f>
        <v>0</v>
      </c>
      <c r="I41" s="642">
        <f>huishoudens!H12</f>
        <v>0</v>
      </c>
      <c r="J41" s="642">
        <f>huishoudens!I12</f>
        <v>0</v>
      </c>
      <c r="K41" s="642">
        <f>huishoudens!J12</f>
        <v>77.564943722566937</v>
      </c>
      <c r="L41" s="642">
        <f>huishoudens!K12</f>
        <v>0</v>
      </c>
      <c r="M41" s="642">
        <f>huishoudens!L12</f>
        <v>0</v>
      </c>
      <c r="N41" s="642">
        <f>huishoudens!M12</f>
        <v>0</v>
      </c>
      <c r="O41" s="642">
        <f>huishoudens!N12</f>
        <v>0</v>
      </c>
      <c r="P41" s="642">
        <f>huishoudens!O12</f>
        <v>0</v>
      </c>
      <c r="Q41" s="725">
        <f>huishoudens!P12</f>
        <v>0</v>
      </c>
      <c r="R41" s="803">
        <f t="shared" ca="1" si="4"/>
        <v>41647.077662218828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7823.028507249609</v>
      </c>
      <c r="D43" s="642">
        <f ca="1">industrie!C22</f>
        <v>0</v>
      </c>
      <c r="E43" s="642">
        <f>industrie!D22</f>
        <v>15171.331378586572</v>
      </c>
      <c r="F43" s="642">
        <f>industrie!E22</f>
        <v>31.944181139186576</v>
      </c>
      <c r="G43" s="642">
        <f>industrie!F22</f>
        <v>1613.3314587137838</v>
      </c>
      <c r="H43" s="642">
        <f>industrie!G22</f>
        <v>0</v>
      </c>
      <c r="I43" s="642">
        <f>industrie!H22</f>
        <v>0</v>
      </c>
      <c r="J43" s="642">
        <f>industrie!I22</f>
        <v>0</v>
      </c>
      <c r="K43" s="642">
        <f>industrie!J22</f>
        <v>1.5334489519477101</v>
      </c>
      <c r="L43" s="642">
        <f>industrie!K22</f>
        <v>0</v>
      </c>
      <c r="M43" s="642">
        <f>industrie!L22</f>
        <v>0</v>
      </c>
      <c r="N43" s="642">
        <f>industrie!M22</f>
        <v>0</v>
      </c>
      <c r="O43" s="642">
        <f>industrie!N22</f>
        <v>0</v>
      </c>
      <c r="P43" s="642">
        <f>industrie!O22</f>
        <v>0</v>
      </c>
      <c r="Q43" s="725">
        <f>industrie!P22</f>
        <v>0</v>
      </c>
      <c r="R43" s="802">
        <f t="shared" ca="1" si="4"/>
        <v>24641.168974641099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27324.791103010426</v>
      </c>
      <c r="D46" s="678">
        <f t="shared" ref="D46:Q46" ca="1" si="5">SUM(D39:D45)</f>
        <v>0</v>
      </c>
      <c r="E46" s="678">
        <f t="shared" ca="1" si="5"/>
        <v>57231.571178261729</v>
      </c>
      <c r="F46" s="678">
        <f t="shared" si="5"/>
        <v>653.95880004187575</v>
      </c>
      <c r="G46" s="678">
        <f t="shared" ca="1" si="5"/>
        <v>16527.107581150747</v>
      </c>
      <c r="H46" s="678">
        <f t="shared" si="5"/>
        <v>0</v>
      </c>
      <c r="I46" s="678">
        <f t="shared" si="5"/>
        <v>0</v>
      </c>
      <c r="J46" s="678">
        <f t="shared" si="5"/>
        <v>0</v>
      </c>
      <c r="K46" s="678">
        <f t="shared" si="5"/>
        <v>79.141758454953873</v>
      </c>
      <c r="L46" s="678">
        <f t="shared" si="5"/>
        <v>0</v>
      </c>
      <c r="M46" s="678">
        <f t="shared" ca="1" si="5"/>
        <v>0</v>
      </c>
      <c r="N46" s="678">
        <f t="shared" si="5"/>
        <v>0</v>
      </c>
      <c r="O46" s="678">
        <f t="shared" ca="1" si="5"/>
        <v>0</v>
      </c>
      <c r="P46" s="678">
        <f t="shared" si="5"/>
        <v>0</v>
      </c>
      <c r="Q46" s="678">
        <f t="shared" si="5"/>
        <v>0</v>
      </c>
      <c r="R46" s="678">
        <f ca="1">SUM(R39:R45)</f>
        <v>101816.57042091971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3.2094199047847236</v>
      </c>
      <c r="D49" s="642">
        <f ca="1">transport!C58</f>
        <v>0</v>
      </c>
      <c r="E49" s="642">
        <f>transport!D58</f>
        <v>0</v>
      </c>
      <c r="F49" s="642">
        <f>transport!E58</f>
        <v>0</v>
      </c>
      <c r="G49" s="642">
        <f>transport!F58</f>
        <v>0</v>
      </c>
      <c r="H49" s="642">
        <f>transport!G58</f>
        <v>350.53135047946427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353.740770384249</v>
      </c>
    </row>
    <row r="50" spans="1:18">
      <c r="A50" s="778" t="s">
        <v>296</v>
      </c>
      <c r="B50" s="788"/>
      <c r="C50" s="648">
        <f ca="1">transport!B18</f>
        <v>48.249665244512187</v>
      </c>
      <c r="D50" s="648">
        <f>transport!C18</f>
        <v>0</v>
      </c>
      <c r="E50" s="648">
        <f>transport!D18</f>
        <v>94.602254074585687</v>
      </c>
      <c r="F50" s="648">
        <f>transport!E18</f>
        <v>63.020231633109177</v>
      </c>
      <c r="G50" s="648">
        <f>transport!F18</f>
        <v>0</v>
      </c>
      <c r="H50" s="648">
        <f>transport!G18</f>
        <v>41580.861511454044</v>
      </c>
      <c r="I50" s="648">
        <f>transport!H18</f>
        <v>7820.7829594009909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49607.516621807241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51.459085149296911</v>
      </c>
      <c r="D52" s="678">
        <f t="shared" ref="D52:Q52" ca="1" si="6">SUM(D48:D51)</f>
        <v>0</v>
      </c>
      <c r="E52" s="678">
        <f t="shared" si="6"/>
        <v>94.602254074585687</v>
      </c>
      <c r="F52" s="678">
        <f t="shared" si="6"/>
        <v>63.020231633109177</v>
      </c>
      <c r="G52" s="678">
        <f t="shared" si="6"/>
        <v>0</v>
      </c>
      <c r="H52" s="678">
        <f t="shared" si="6"/>
        <v>41931.392861933506</v>
      </c>
      <c r="I52" s="678">
        <f t="shared" si="6"/>
        <v>7820.7829594009909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49961.257392191488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386.92852137968941</v>
      </c>
      <c r="D54" s="648">
        <f ca="1">+landbouw!C12</f>
        <v>6303.4184873949598</v>
      </c>
      <c r="E54" s="648">
        <f>+landbouw!D12</f>
        <v>0</v>
      </c>
      <c r="F54" s="648">
        <f>+landbouw!E12</f>
        <v>14.840523060834197</v>
      </c>
      <c r="G54" s="648">
        <f>+landbouw!F12</f>
        <v>1881.7760754624635</v>
      </c>
      <c r="H54" s="648">
        <f>+landbouw!G12</f>
        <v>0</v>
      </c>
      <c r="I54" s="648">
        <f>+landbouw!H12</f>
        <v>0</v>
      </c>
      <c r="J54" s="648">
        <f>+landbouw!I12</f>
        <v>0</v>
      </c>
      <c r="K54" s="648">
        <f>+landbouw!J12</f>
        <v>197.96663201682566</v>
      </c>
      <c r="L54" s="648">
        <f>+landbouw!K12</f>
        <v>0</v>
      </c>
      <c r="M54" s="648">
        <f>+landbouw!L12</f>
        <v>0</v>
      </c>
      <c r="N54" s="648">
        <f>+landbouw!M12</f>
        <v>0</v>
      </c>
      <c r="O54" s="648">
        <f>+landbouw!N12</f>
        <v>0</v>
      </c>
      <c r="P54" s="648">
        <f>+landbouw!O12</f>
        <v>0</v>
      </c>
      <c r="Q54" s="649">
        <f>+landbouw!P12</f>
        <v>0</v>
      </c>
      <c r="R54" s="677">
        <f ca="1">SUM(C54:Q54)</f>
        <v>8784.9302393147718</v>
      </c>
    </row>
    <row r="55" spans="1:18" ht="15" thickBot="1">
      <c r="A55" s="778" t="s">
        <v>672</v>
      </c>
      <c r="B55" s="788"/>
      <c r="C55" s="648">
        <f ca="1">C25*'EF ele_warmte'!B12</f>
        <v>154.73661417382058</v>
      </c>
      <c r="D55" s="648"/>
      <c r="E55" s="648">
        <f>E25*EF_CO2_aardgas</f>
        <v>798.55118558200013</v>
      </c>
      <c r="F55" s="648"/>
      <c r="G55" s="648"/>
      <c r="H55" s="648"/>
      <c r="I55" s="648"/>
      <c r="J55" s="648"/>
      <c r="K55" s="648"/>
      <c r="L55" s="648"/>
      <c r="M55" s="648"/>
      <c r="N55" s="648"/>
      <c r="O55" s="648"/>
      <c r="P55" s="648"/>
      <c r="Q55" s="649"/>
      <c r="R55" s="677">
        <f ca="1">SUM(C55:Q55)</f>
        <v>953.28779975582074</v>
      </c>
    </row>
    <row r="56" spans="1:18" ht="15.75" thickBot="1">
      <c r="A56" s="776" t="s">
        <v>673</v>
      </c>
      <c r="B56" s="789"/>
      <c r="C56" s="678">
        <f ca="1">SUM(C54:C55)</f>
        <v>541.66513555351003</v>
      </c>
      <c r="D56" s="678">
        <f t="shared" ref="D56:Q56" ca="1" si="7">SUM(D54:D55)</f>
        <v>6303.4184873949598</v>
      </c>
      <c r="E56" s="678">
        <f t="shared" si="7"/>
        <v>798.55118558200013</v>
      </c>
      <c r="F56" s="678">
        <f t="shared" si="7"/>
        <v>14.840523060834197</v>
      </c>
      <c r="G56" s="678">
        <f t="shared" si="7"/>
        <v>1881.7760754624635</v>
      </c>
      <c r="H56" s="678">
        <f t="shared" si="7"/>
        <v>0</v>
      </c>
      <c r="I56" s="678">
        <f t="shared" si="7"/>
        <v>0</v>
      </c>
      <c r="J56" s="678">
        <f t="shared" si="7"/>
        <v>0</v>
      </c>
      <c r="K56" s="678">
        <f t="shared" si="7"/>
        <v>197.96663201682566</v>
      </c>
      <c r="L56" s="678">
        <f t="shared" si="7"/>
        <v>0</v>
      </c>
      <c r="M56" s="678">
        <f t="shared" si="7"/>
        <v>0</v>
      </c>
      <c r="N56" s="678">
        <f t="shared" si="7"/>
        <v>0</v>
      </c>
      <c r="O56" s="678">
        <f t="shared" si="7"/>
        <v>0</v>
      </c>
      <c r="P56" s="678">
        <f t="shared" si="7"/>
        <v>0</v>
      </c>
      <c r="Q56" s="679">
        <f t="shared" si="7"/>
        <v>0</v>
      </c>
      <c r="R56" s="680">
        <f ca="1">SUM(R54:R55)</f>
        <v>9738.2180390705926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27917.915323713234</v>
      </c>
      <c r="D61" s="686">
        <f t="shared" ref="D61:Q61" ca="1" si="8">D46+D52+D56</f>
        <v>6303.4184873949598</v>
      </c>
      <c r="E61" s="686">
        <f t="shared" ca="1" si="8"/>
        <v>58124.724617918313</v>
      </c>
      <c r="F61" s="686">
        <f t="shared" si="8"/>
        <v>731.81955473581922</v>
      </c>
      <c r="G61" s="686">
        <f t="shared" ca="1" si="8"/>
        <v>18408.883656613212</v>
      </c>
      <c r="H61" s="686">
        <f t="shared" si="8"/>
        <v>41931.392861933506</v>
      </c>
      <c r="I61" s="686">
        <f t="shared" si="8"/>
        <v>7820.7829594009909</v>
      </c>
      <c r="J61" s="686">
        <f t="shared" si="8"/>
        <v>0</v>
      </c>
      <c r="K61" s="686">
        <f t="shared" si="8"/>
        <v>277.10839047177956</v>
      </c>
      <c r="L61" s="686">
        <f t="shared" si="8"/>
        <v>0</v>
      </c>
      <c r="M61" s="686">
        <f t="shared" ca="1" si="8"/>
        <v>0</v>
      </c>
      <c r="N61" s="686">
        <f t="shared" si="8"/>
        <v>0</v>
      </c>
      <c r="O61" s="686">
        <f t="shared" ca="1" si="8"/>
        <v>0</v>
      </c>
      <c r="P61" s="686">
        <f t="shared" si="8"/>
        <v>0</v>
      </c>
      <c r="Q61" s="686">
        <f t="shared" si="8"/>
        <v>0</v>
      </c>
      <c r="R61" s="686">
        <f ca="1">R46+R52+R56</f>
        <v>161516.04585218179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0.1744924011083816</v>
      </c>
      <c r="D63" s="732">
        <f t="shared" ca="1" si="9"/>
        <v>0.21027916892684595</v>
      </c>
      <c r="E63" s="921">
        <f t="shared" ca="1" si="9"/>
        <v>0.20200000000000001</v>
      </c>
      <c r="F63" s="732">
        <f t="shared" si="9"/>
        <v>0.22700000000000004</v>
      </c>
      <c r="G63" s="732">
        <f t="shared" ca="1" si="9"/>
        <v>0.26700000000000007</v>
      </c>
      <c r="H63" s="732">
        <f t="shared" si="9"/>
        <v>0.26699999999999996</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11376.942940093519</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19933.747953955135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2416.5000000000005</v>
      </c>
      <c r="C76" s="699">
        <f>'lokale energieproductie'!B8*IFERROR(SUM(D76:H76)/SUM(D76:O76),0)</f>
        <v>18567</v>
      </c>
      <c r="D76" s="904">
        <f>'lokale energieproductie'!C8</f>
        <v>21843.529411764706</v>
      </c>
      <c r="E76" s="905">
        <f>'lokale energieproductie'!D8</f>
        <v>0</v>
      </c>
      <c r="F76" s="905">
        <f>'lokale energieproductie'!E8</f>
        <v>0</v>
      </c>
      <c r="G76" s="905">
        <f>'lokale energieproductie'!F8</f>
        <v>0</v>
      </c>
      <c r="H76" s="905">
        <f>'lokale energieproductie'!G8</f>
        <v>0</v>
      </c>
      <c r="I76" s="905">
        <f>'lokale energieproductie'!I8</f>
        <v>0</v>
      </c>
      <c r="J76" s="905">
        <f>'lokale energieproductie'!J8</f>
        <v>2842.9411764705883</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4412.3929411764711</v>
      </c>
      <c r="R76" s="805">
        <v>0</v>
      </c>
    </row>
    <row r="77" spans="1:18" ht="15.75" thickBot="1">
      <c r="A77" s="702" t="s">
        <v>717</v>
      </c>
      <c r="B77" s="699">
        <f>'lokale energieproductie'!B9*IFERROR(SUM(I77:O77)/SUM(D77:O77),0)</f>
        <v>1341</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3831.4285714285716</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35068.190894048654</v>
      </c>
      <c r="C78" s="704">
        <f>SUM(C72:C77)</f>
        <v>18567</v>
      </c>
      <c r="D78" s="705">
        <f t="shared" ref="D78:H78" si="10">SUM(D76:D77)</f>
        <v>21843.529411764706</v>
      </c>
      <c r="E78" s="705">
        <f t="shared" si="10"/>
        <v>0</v>
      </c>
      <c r="F78" s="705">
        <f t="shared" si="10"/>
        <v>0</v>
      </c>
      <c r="G78" s="705">
        <f t="shared" si="10"/>
        <v>0</v>
      </c>
      <c r="H78" s="705">
        <f t="shared" si="10"/>
        <v>0</v>
      </c>
      <c r="I78" s="705">
        <f>SUM(I76:I77)</f>
        <v>0</v>
      </c>
      <c r="J78" s="705">
        <f>SUM(J76:J77)</f>
        <v>6674.3697478991598</v>
      </c>
      <c r="K78" s="705">
        <f t="shared" ref="K78:L78" si="11">SUM(K76:K77)</f>
        <v>0</v>
      </c>
      <c r="L78" s="705">
        <f t="shared" si="11"/>
        <v>0</v>
      </c>
      <c r="M78" s="705">
        <f>SUM(M76:M77)</f>
        <v>0</v>
      </c>
      <c r="N78" s="705">
        <f>SUM(N76:N77)</f>
        <v>0</v>
      </c>
      <c r="O78" s="813">
        <f>SUM(O76:O77)</f>
        <v>0</v>
      </c>
      <c r="P78" s="706">
        <v>0</v>
      </c>
      <c r="Q78" s="706">
        <f>SUM(Q76:Q77)</f>
        <v>4412.3929411764711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3452.1428571428569</v>
      </c>
      <c r="C87" s="717">
        <f>'lokale energieproductie'!B17*IFERROR(SUM(D87:H87)/SUM(D87:O87),0)</f>
        <v>26524.285714285714</v>
      </c>
      <c r="D87" s="728">
        <f>'lokale energieproductie'!C17</f>
        <v>31205.042016806728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4061.3445378151264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6303.4184873949598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3452.1428571428569</v>
      </c>
      <c r="C90" s="704">
        <f>SUM(C87:C89)</f>
        <v>26524.285714285714</v>
      </c>
      <c r="D90" s="704">
        <f t="shared" ref="D90:H90" si="12">SUM(D87:D89)</f>
        <v>31205.042016806728</v>
      </c>
      <c r="E90" s="704">
        <f t="shared" si="12"/>
        <v>0</v>
      </c>
      <c r="F90" s="704">
        <f t="shared" si="12"/>
        <v>0</v>
      </c>
      <c r="G90" s="704">
        <f t="shared" si="12"/>
        <v>0</v>
      </c>
      <c r="H90" s="704">
        <f t="shared" si="12"/>
        <v>0</v>
      </c>
      <c r="I90" s="704">
        <f>SUM(I87:I89)</f>
        <v>0</v>
      </c>
      <c r="J90" s="704">
        <f>SUM(J87:J89)</f>
        <v>4061.3445378151264</v>
      </c>
      <c r="K90" s="704">
        <f t="shared" ref="K90:L90" si="13">SUM(K87:K89)</f>
        <v>0</v>
      </c>
      <c r="L90" s="704">
        <f t="shared" si="13"/>
        <v>0</v>
      </c>
      <c r="M90" s="704">
        <f>SUM(M87:M89)</f>
        <v>0</v>
      </c>
      <c r="N90" s="704">
        <f>SUM(N87:N89)</f>
        <v>0</v>
      </c>
      <c r="O90" s="704">
        <f>SUM(O87:O89)</f>
        <v>0</v>
      </c>
      <c r="P90" s="704">
        <v>0</v>
      </c>
      <c r="Q90" s="704">
        <f>SUM(Q87:Q89)</f>
        <v>6303.4184873949598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43524.874924285708</v>
      </c>
      <c r="C4" s="445">
        <f>huishoudens!C8</f>
        <v>0</v>
      </c>
      <c r="D4" s="445">
        <f>huishoudens!D8</f>
        <v>112998.27091030891</v>
      </c>
      <c r="E4" s="445">
        <f>huishoudens!E8</f>
        <v>2422.3954889665174</v>
      </c>
      <c r="F4" s="445">
        <f>huishoudens!F8</f>
        <v>39697.446760815954</v>
      </c>
      <c r="G4" s="445">
        <f>huishoudens!G8</f>
        <v>0</v>
      </c>
      <c r="H4" s="445">
        <f>huishoudens!H8</f>
        <v>0</v>
      </c>
      <c r="I4" s="445">
        <f>huishoudens!I8</f>
        <v>0</v>
      </c>
      <c r="J4" s="445">
        <f>huishoudens!J8</f>
        <v>219.11001051572583</v>
      </c>
      <c r="K4" s="445">
        <f>huishoudens!K8</f>
        <v>0</v>
      </c>
      <c r="L4" s="445">
        <f>huishoudens!L8</f>
        <v>0</v>
      </c>
      <c r="M4" s="445">
        <f>huishoudens!M8</f>
        <v>0</v>
      </c>
      <c r="N4" s="445">
        <f>huishoudens!N8</f>
        <v>14590.402334976101</v>
      </c>
      <c r="O4" s="445">
        <f>huishoudens!O8</f>
        <v>646.77037952017236</v>
      </c>
      <c r="P4" s="446">
        <f>huishoudens!P8</f>
        <v>600.43568053804631</v>
      </c>
      <c r="Q4" s="447">
        <f>SUM(B4:P4)</f>
        <v>214699.70648992711</v>
      </c>
    </row>
    <row r="5" spans="1:17">
      <c r="A5" s="444" t="s">
        <v>149</v>
      </c>
      <c r="B5" s="445">
        <f ca="1">tertiair!B16</f>
        <v>66617.035088999983</v>
      </c>
      <c r="C5" s="445">
        <f ca="1">tertiair!C16</f>
        <v>0</v>
      </c>
      <c r="D5" s="445">
        <f ca="1">tertiair!D16</f>
        <v>95220.737998974015</v>
      </c>
      <c r="E5" s="445">
        <f>tertiair!E16</f>
        <v>317.7570172127302</v>
      </c>
      <c r="F5" s="445">
        <f ca="1">tertiair!F16</f>
        <v>16159.392649060308</v>
      </c>
      <c r="G5" s="445">
        <f>tertiair!G16</f>
        <v>0</v>
      </c>
      <c r="H5" s="445">
        <f>tertiair!H16</f>
        <v>0</v>
      </c>
      <c r="I5" s="445">
        <f>tertiair!I16</f>
        <v>0</v>
      </c>
      <c r="J5" s="445">
        <f>tertiair!J16</f>
        <v>0.12250220463059767</v>
      </c>
      <c r="K5" s="445">
        <f>tertiair!K16</f>
        <v>0</v>
      </c>
      <c r="L5" s="445">
        <f ca="1">tertiair!L16</f>
        <v>0</v>
      </c>
      <c r="M5" s="445">
        <f>tertiair!M16</f>
        <v>0</v>
      </c>
      <c r="N5" s="445">
        <f ca="1">tertiair!N16</f>
        <v>389.98841088156951</v>
      </c>
      <c r="O5" s="445">
        <f>tertiair!O16</f>
        <v>19.589043063364617</v>
      </c>
      <c r="P5" s="446">
        <f>tertiair!P16</f>
        <v>367.77396814546512</v>
      </c>
      <c r="Q5" s="444">
        <f t="shared" ref="Q5:Q14" ca="1" si="0">SUM(B5:P5)</f>
        <v>179092.39667854208</v>
      </c>
    </row>
    <row r="6" spans="1:17">
      <c r="A6" s="444" t="s">
        <v>187</v>
      </c>
      <c r="B6" s="445">
        <f>'openbare verlichting'!B8</f>
        <v>1620.9087220000001</v>
      </c>
      <c r="C6" s="445"/>
      <c r="D6" s="445"/>
      <c r="E6" s="445"/>
      <c r="F6" s="445"/>
      <c r="G6" s="445"/>
      <c r="H6" s="445"/>
      <c r="I6" s="445"/>
      <c r="J6" s="445"/>
      <c r="K6" s="445"/>
      <c r="L6" s="445"/>
      <c r="M6" s="445"/>
      <c r="N6" s="445"/>
      <c r="O6" s="445"/>
      <c r="P6" s="446"/>
      <c r="Q6" s="444">
        <f t="shared" si="0"/>
        <v>1620.9087220000001</v>
      </c>
    </row>
    <row r="7" spans="1:17">
      <c r="A7" s="444" t="s">
        <v>105</v>
      </c>
      <c r="B7" s="445">
        <f>landbouw!B8</f>
        <v>2217.451986</v>
      </c>
      <c r="C7" s="445">
        <f>landbouw!C8</f>
        <v>29976.428571428572</v>
      </c>
      <c r="D7" s="445">
        <f>landbouw!D8</f>
        <v>0</v>
      </c>
      <c r="E7" s="445">
        <f>landbouw!E8</f>
        <v>65.376753571956812</v>
      </c>
      <c r="F7" s="445">
        <f>landbouw!F8</f>
        <v>7047.8504698968663</v>
      </c>
      <c r="G7" s="445">
        <f>landbouw!G8</f>
        <v>0</v>
      </c>
      <c r="H7" s="445">
        <f>landbouw!H8</f>
        <v>0</v>
      </c>
      <c r="I7" s="445">
        <f>landbouw!I8</f>
        <v>0</v>
      </c>
      <c r="J7" s="445">
        <f>landbouw!J8</f>
        <v>559.2277740588296</v>
      </c>
      <c r="K7" s="445">
        <f>landbouw!K8</f>
        <v>0</v>
      </c>
      <c r="L7" s="445">
        <f>landbouw!L8</f>
        <v>0</v>
      </c>
      <c r="M7" s="445">
        <f>landbouw!M8</f>
        <v>0</v>
      </c>
      <c r="N7" s="445">
        <f>landbouw!N8</f>
        <v>0</v>
      </c>
      <c r="O7" s="445">
        <f>landbouw!O8</f>
        <v>0</v>
      </c>
      <c r="P7" s="446">
        <f>landbouw!P8</f>
        <v>0</v>
      </c>
      <c r="Q7" s="444">
        <f t="shared" si="0"/>
        <v>39866.335554956226</v>
      </c>
    </row>
    <row r="8" spans="1:17">
      <c r="A8" s="444" t="s">
        <v>587</v>
      </c>
      <c r="B8" s="445">
        <f>industrie!B18</f>
        <v>44833.061253999993</v>
      </c>
      <c r="C8" s="445">
        <f>industrie!C18</f>
        <v>0</v>
      </c>
      <c r="D8" s="445">
        <f>industrie!D18</f>
        <v>75105.600884091938</v>
      </c>
      <c r="E8" s="445">
        <f>industrie!E18</f>
        <v>140.72326493033734</v>
      </c>
      <c r="F8" s="445">
        <f>industrie!F18</f>
        <v>6042.4399202763434</v>
      </c>
      <c r="G8" s="445">
        <f>industrie!G18</f>
        <v>0</v>
      </c>
      <c r="H8" s="445">
        <f>industrie!H18</f>
        <v>0</v>
      </c>
      <c r="I8" s="445">
        <f>industrie!I18</f>
        <v>0</v>
      </c>
      <c r="J8" s="445">
        <f>industrie!J18</f>
        <v>4.3317767004172607</v>
      </c>
      <c r="K8" s="445">
        <f>industrie!K18</f>
        <v>0</v>
      </c>
      <c r="L8" s="445">
        <f>industrie!L18</f>
        <v>0</v>
      </c>
      <c r="M8" s="445">
        <f>industrie!M18</f>
        <v>0</v>
      </c>
      <c r="N8" s="445">
        <f>industrie!N18</f>
        <v>1720.1503169899117</v>
      </c>
      <c r="O8" s="445">
        <f>industrie!O18</f>
        <v>0</v>
      </c>
      <c r="P8" s="446">
        <f>industrie!P18</f>
        <v>0</v>
      </c>
      <c r="Q8" s="444">
        <f t="shared" si="0"/>
        <v>127846.30741698893</v>
      </c>
    </row>
    <row r="9" spans="1:17" s="450" customFormat="1">
      <c r="A9" s="448" t="s">
        <v>536</v>
      </c>
      <c r="B9" s="449">
        <f>transport!B14</f>
        <v>276.51442090330977</v>
      </c>
      <c r="C9" s="449">
        <f>transport!C14</f>
        <v>0</v>
      </c>
      <c r="D9" s="449">
        <f>transport!D14</f>
        <v>468.32799046824596</v>
      </c>
      <c r="E9" s="449">
        <f>transport!E14</f>
        <v>277.62216578462193</v>
      </c>
      <c r="F9" s="449">
        <f>transport!F14</f>
        <v>0</v>
      </c>
      <c r="G9" s="449">
        <f>transport!G14</f>
        <v>155733.56371331101</v>
      </c>
      <c r="H9" s="449">
        <f>transport!H14</f>
        <v>31408.766905224864</v>
      </c>
      <c r="I9" s="449">
        <f>transport!I14</f>
        <v>0</v>
      </c>
      <c r="J9" s="449">
        <f>transport!J14</f>
        <v>0</v>
      </c>
      <c r="K9" s="449">
        <f>transport!K14</f>
        <v>0</v>
      </c>
      <c r="L9" s="449">
        <f>transport!L14</f>
        <v>0</v>
      </c>
      <c r="M9" s="449">
        <f>transport!M14</f>
        <v>10951.426757773472</v>
      </c>
      <c r="N9" s="449">
        <f>transport!N14</f>
        <v>0</v>
      </c>
      <c r="O9" s="449">
        <f>transport!O14</f>
        <v>0</v>
      </c>
      <c r="P9" s="449">
        <f>transport!P14</f>
        <v>0</v>
      </c>
      <c r="Q9" s="448">
        <f>SUM(B9:P9)</f>
        <v>199116.22195346552</v>
      </c>
    </row>
    <row r="10" spans="1:17">
      <c r="A10" s="444" t="s">
        <v>526</v>
      </c>
      <c r="B10" s="445">
        <f>transport!B54</f>
        <v>18.392892093858418</v>
      </c>
      <c r="C10" s="445">
        <f>transport!C54</f>
        <v>0</v>
      </c>
      <c r="D10" s="445">
        <f>transport!D54</f>
        <v>0</v>
      </c>
      <c r="E10" s="445">
        <f>transport!E54</f>
        <v>0</v>
      </c>
      <c r="F10" s="445">
        <f>transport!F54</f>
        <v>0</v>
      </c>
      <c r="G10" s="445">
        <f>transport!G54</f>
        <v>1312.851499923087</v>
      </c>
      <c r="H10" s="445">
        <f>transport!H54</f>
        <v>0</v>
      </c>
      <c r="I10" s="445">
        <f>transport!I54</f>
        <v>0</v>
      </c>
      <c r="J10" s="445">
        <f>transport!J54</f>
        <v>0</v>
      </c>
      <c r="K10" s="445">
        <f>transport!K54</f>
        <v>0</v>
      </c>
      <c r="L10" s="445">
        <f>transport!L54</f>
        <v>0</v>
      </c>
      <c r="M10" s="445">
        <f>transport!M54</f>
        <v>72.493813800572028</v>
      </c>
      <c r="N10" s="445">
        <f>transport!N54</f>
        <v>0</v>
      </c>
      <c r="O10" s="445">
        <f>transport!O54</f>
        <v>0</v>
      </c>
      <c r="P10" s="446">
        <f>transport!P54</f>
        <v>0</v>
      </c>
      <c r="Q10" s="444">
        <f t="shared" si="0"/>
        <v>1403.7382058175174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886.78139099999999</v>
      </c>
      <c r="C14" s="452"/>
      <c r="D14" s="452">
        <f>'SEAP template'!E25</f>
        <v>3953.2236910000001</v>
      </c>
      <c r="E14" s="452"/>
      <c r="F14" s="452"/>
      <c r="G14" s="452"/>
      <c r="H14" s="452"/>
      <c r="I14" s="452"/>
      <c r="J14" s="452"/>
      <c r="K14" s="452"/>
      <c r="L14" s="452"/>
      <c r="M14" s="452"/>
      <c r="N14" s="452"/>
      <c r="O14" s="452"/>
      <c r="P14" s="453"/>
      <c r="Q14" s="444">
        <f t="shared" si="0"/>
        <v>4840.0050819999997</v>
      </c>
    </row>
    <row r="15" spans="1:17" s="456" customFormat="1">
      <c r="A15" s="454" t="s">
        <v>530</v>
      </c>
      <c r="B15" s="455">
        <f ca="1">SUM(B4:B14)</f>
        <v>159995.02067928287</v>
      </c>
      <c r="C15" s="455">
        <f t="shared" ref="C15:Q15" ca="1" si="1">SUM(C4:C14)</f>
        <v>29976.428571428572</v>
      </c>
      <c r="D15" s="455">
        <f t="shared" ca="1" si="1"/>
        <v>287746.1614748431</v>
      </c>
      <c r="E15" s="455">
        <f t="shared" si="1"/>
        <v>3223.8746904661634</v>
      </c>
      <c r="F15" s="455">
        <f t="shared" ca="1" si="1"/>
        <v>68947.129800049472</v>
      </c>
      <c r="G15" s="455">
        <f t="shared" si="1"/>
        <v>157046.41521323411</v>
      </c>
      <c r="H15" s="455">
        <f t="shared" si="1"/>
        <v>31408.766905224864</v>
      </c>
      <c r="I15" s="455">
        <f t="shared" si="1"/>
        <v>0</v>
      </c>
      <c r="J15" s="455">
        <f t="shared" si="1"/>
        <v>782.79206347960326</v>
      </c>
      <c r="K15" s="455">
        <f t="shared" si="1"/>
        <v>0</v>
      </c>
      <c r="L15" s="455">
        <f t="shared" ca="1" si="1"/>
        <v>0</v>
      </c>
      <c r="M15" s="455">
        <f t="shared" si="1"/>
        <v>11023.920571574045</v>
      </c>
      <c r="N15" s="455">
        <f t="shared" ca="1" si="1"/>
        <v>16700.541062847584</v>
      </c>
      <c r="O15" s="455">
        <f t="shared" si="1"/>
        <v>666.35942258353703</v>
      </c>
      <c r="P15" s="455">
        <f t="shared" si="1"/>
        <v>968.20964868351143</v>
      </c>
      <c r="Q15" s="455">
        <f t="shared" ca="1" si="1"/>
        <v>768485.62010369741</v>
      </c>
    </row>
    <row r="17" spans="1:17">
      <c r="A17" s="457" t="s">
        <v>531</v>
      </c>
      <c r="B17" s="737">
        <f ca="1">huishoudens!B10</f>
        <v>0.1744924011083816</v>
      </c>
      <c r="C17" s="737">
        <f ca="1">huishoudens!C10</f>
        <v>0.21027916892684595</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7594.7599334806018</v>
      </c>
      <c r="C22" s="445">
        <f t="shared" ref="C22:C32" ca="1" si="3">C4*$C$17</f>
        <v>0</v>
      </c>
      <c r="D22" s="445">
        <f t="shared" ref="D22:D32" si="4">D4*$D$17</f>
        <v>22825.650723882402</v>
      </c>
      <c r="E22" s="445">
        <f t="shared" ref="E22:E32" si="5">E4*$E$17</f>
        <v>549.88377599539945</v>
      </c>
      <c r="F22" s="445">
        <f t="shared" ref="F22:F32" si="6">F4*$F$17</f>
        <v>10599.21828513786</v>
      </c>
      <c r="G22" s="445">
        <f t="shared" ref="G22:G32" si="7">G4*$G$17</f>
        <v>0</v>
      </c>
      <c r="H22" s="445">
        <f t="shared" ref="H22:H32" si="8">H4*$H$17</f>
        <v>0</v>
      </c>
      <c r="I22" s="445">
        <f t="shared" ref="I22:I32" si="9">I4*$I$17</f>
        <v>0</v>
      </c>
      <c r="J22" s="445">
        <f t="shared" ref="J22:J32" si="10">J4*$J$17</f>
        <v>77.564943722566937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41647.077662218828</v>
      </c>
    </row>
    <row r="23" spans="1:17">
      <c r="A23" s="444" t="s">
        <v>149</v>
      </c>
      <c r="B23" s="445">
        <f t="shared" ca="1" si="2"/>
        <v>11624.166407400917</v>
      </c>
      <c r="C23" s="445">
        <f t="shared" ca="1" si="3"/>
        <v>0</v>
      </c>
      <c r="D23" s="445">
        <f t="shared" ca="1" si="4"/>
        <v>19234.589075792752</v>
      </c>
      <c r="E23" s="445">
        <f t="shared" si="5"/>
        <v>72.130842907289761</v>
      </c>
      <c r="F23" s="445">
        <f t="shared" ca="1" si="6"/>
        <v>4314.5578372991022</v>
      </c>
      <c r="G23" s="445">
        <f t="shared" si="7"/>
        <v>0</v>
      </c>
      <c r="H23" s="445">
        <f t="shared" si="8"/>
        <v>0</v>
      </c>
      <c r="I23" s="445">
        <f t="shared" si="9"/>
        <v>0</v>
      </c>
      <c r="J23" s="445">
        <f t="shared" si="10"/>
        <v>4.3365780439231574E-2</v>
      </c>
      <c r="K23" s="445">
        <f t="shared" si="11"/>
        <v>0</v>
      </c>
      <c r="L23" s="445">
        <f t="shared" ca="1" si="12"/>
        <v>0</v>
      </c>
      <c r="M23" s="445">
        <f t="shared" si="13"/>
        <v>0</v>
      </c>
      <c r="N23" s="445">
        <f t="shared" ca="1" si="14"/>
        <v>0</v>
      </c>
      <c r="O23" s="445">
        <f t="shared" si="15"/>
        <v>0</v>
      </c>
      <c r="P23" s="446">
        <f t="shared" si="16"/>
        <v>0</v>
      </c>
      <c r="Q23" s="444">
        <f t="shared" ref="Q23:Q31" ca="1" si="17">SUM(B23:P23)</f>
        <v>35245.4875291805</v>
      </c>
    </row>
    <row r="24" spans="1:17">
      <c r="A24" s="444" t="s">
        <v>187</v>
      </c>
      <c r="B24" s="445">
        <f t="shared" ca="1" si="2"/>
        <v>282.83625487929822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282.83625487929822</v>
      </c>
    </row>
    <row r="25" spans="1:17">
      <c r="A25" s="444" t="s">
        <v>105</v>
      </c>
      <c r="B25" s="445">
        <f t="shared" ca="1" si="2"/>
        <v>386.92852137968941</v>
      </c>
      <c r="C25" s="445">
        <f t="shared" ca="1" si="3"/>
        <v>6303.4184873949598</v>
      </c>
      <c r="D25" s="445">
        <f t="shared" si="4"/>
        <v>0</v>
      </c>
      <c r="E25" s="445">
        <f t="shared" si="5"/>
        <v>14.840523060834197</v>
      </c>
      <c r="F25" s="445">
        <f t="shared" si="6"/>
        <v>1881.7760754624635</v>
      </c>
      <c r="G25" s="445">
        <f t="shared" si="7"/>
        <v>0</v>
      </c>
      <c r="H25" s="445">
        <f t="shared" si="8"/>
        <v>0</v>
      </c>
      <c r="I25" s="445">
        <f t="shared" si="9"/>
        <v>0</v>
      </c>
      <c r="J25" s="445">
        <f t="shared" si="10"/>
        <v>197.96663201682566</v>
      </c>
      <c r="K25" s="445">
        <f t="shared" si="11"/>
        <v>0</v>
      </c>
      <c r="L25" s="445">
        <f t="shared" si="12"/>
        <v>0</v>
      </c>
      <c r="M25" s="445">
        <f t="shared" si="13"/>
        <v>0</v>
      </c>
      <c r="N25" s="445">
        <f t="shared" si="14"/>
        <v>0</v>
      </c>
      <c r="O25" s="445">
        <f t="shared" si="15"/>
        <v>0</v>
      </c>
      <c r="P25" s="446">
        <f t="shared" si="16"/>
        <v>0</v>
      </c>
      <c r="Q25" s="444">
        <f t="shared" ca="1" si="17"/>
        <v>8784.9302393147718</v>
      </c>
    </row>
    <row r="26" spans="1:17">
      <c r="A26" s="444" t="s">
        <v>587</v>
      </c>
      <c r="B26" s="445">
        <f t="shared" ca="1" si="2"/>
        <v>7823.028507249609</v>
      </c>
      <c r="C26" s="445">
        <f t="shared" ca="1" si="3"/>
        <v>0</v>
      </c>
      <c r="D26" s="445">
        <f t="shared" si="4"/>
        <v>15171.331378586572</v>
      </c>
      <c r="E26" s="445">
        <f t="shared" si="5"/>
        <v>31.944181139186576</v>
      </c>
      <c r="F26" s="445">
        <f t="shared" si="6"/>
        <v>1613.3314587137838</v>
      </c>
      <c r="G26" s="445">
        <f t="shared" si="7"/>
        <v>0</v>
      </c>
      <c r="H26" s="445">
        <f t="shared" si="8"/>
        <v>0</v>
      </c>
      <c r="I26" s="445">
        <f t="shared" si="9"/>
        <v>0</v>
      </c>
      <c r="J26" s="445">
        <f t="shared" si="10"/>
        <v>1.5334489519477101</v>
      </c>
      <c r="K26" s="445">
        <f t="shared" si="11"/>
        <v>0</v>
      </c>
      <c r="L26" s="445">
        <f t="shared" si="12"/>
        <v>0</v>
      </c>
      <c r="M26" s="445">
        <f t="shared" si="13"/>
        <v>0</v>
      </c>
      <c r="N26" s="445">
        <f t="shared" si="14"/>
        <v>0</v>
      </c>
      <c r="O26" s="445">
        <f t="shared" si="15"/>
        <v>0</v>
      </c>
      <c r="P26" s="446">
        <f t="shared" si="16"/>
        <v>0</v>
      </c>
      <c r="Q26" s="444">
        <f t="shared" ca="1" si="17"/>
        <v>24641.168974641099</v>
      </c>
    </row>
    <row r="27" spans="1:17" s="450" customFormat="1">
      <c r="A27" s="448" t="s">
        <v>536</v>
      </c>
      <c r="B27" s="731">
        <f t="shared" ca="1" si="2"/>
        <v>48.249665244512187</v>
      </c>
      <c r="C27" s="449">
        <f t="shared" ca="1" si="3"/>
        <v>0</v>
      </c>
      <c r="D27" s="449">
        <f t="shared" si="4"/>
        <v>94.602254074585687</v>
      </c>
      <c r="E27" s="449">
        <f t="shared" si="5"/>
        <v>63.020231633109177</v>
      </c>
      <c r="F27" s="449">
        <f t="shared" si="6"/>
        <v>0</v>
      </c>
      <c r="G27" s="449">
        <f t="shared" si="7"/>
        <v>41580.861511454044</v>
      </c>
      <c r="H27" s="449">
        <f t="shared" si="8"/>
        <v>7820.7829594009909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49607.516621807241</v>
      </c>
    </row>
    <row r="28" spans="1:17" ht="16.5" customHeight="1">
      <c r="A28" s="444" t="s">
        <v>526</v>
      </c>
      <c r="B28" s="445">
        <f t="shared" ca="1" si="2"/>
        <v>3.2094199047847236</v>
      </c>
      <c r="C28" s="445">
        <f t="shared" ca="1" si="3"/>
        <v>0</v>
      </c>
      <c r="D28" s="445">
        <f t="shared" si="4"/>
        <v>0</v>
      </c>
      <c r="E28" s="445">
        <f t="shared" si="5"/>
        <v>0</v>
      </c>
      <c r="F28" s="445">
        <f t="shared" si="6"/>
        <v>0</v>
      </c>
      <c r="G28" s="445">
        <f t="shared" si="7"/>
        <v>350.53135047946427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353.740770384249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154.73661417382058</v>
      </c>
      <c r="C32" s="445">
        <f t="shared" ca="1" si="3"/>
        <v>0</v>
      </c>
      <c r="D32" s="445">
        <f t="shared" si="4"/>
        <v>798.55118558200013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953.28779975582074</v>
      </c>
    </row>
    <row r="33" spans="1:17" s="456" customFormat="1">
      <c r="A33" s="454" t="s">
        <v>530</v>
      </c>
      <c r="B33" s="455">
        <f ca="1">SUM(B22:B32)</f>
        <v>27917.91532371323</v>
      </c>
      <c r="C33" s="455">
        <f t="shared" ref="C33:Q33" ca="1" si="19">SUM(C22:C32)</f>
        <v>6303.4184873949598</v>
      </c>
      <c r="D33" s="455">
        <f t="shared" ca="1" si="19"/>
        <v>58124.724617918313</v>
      </c>
      <c r="E33" s="455">
        <f t="shared" si="19"/>
        <v>731.81955473581911</v>
      </c>
      <c r="F33" s="455">
        <f t="shared" ca="1" si="19"/>
        <v>18408.883656613209</v>
      </c>
      <c r="G33" s="455">
        <f t="shared" si="19"/>
        <v>41931.392861933506</v>
      </c>
      <c r="H33" s="455">
        <f t="shared" si="19"/>
        <v>7820.7829594009909</v>
      </c>
      <c r="I33" s="455">
        <f t="shared" si="19"/>
        <v>0</v>
      </c>
      <c r="J33" s="455">
        <f t="shared" si="19"/>
        <v>277.10839047177956</v>
      </c>
      <c r="K33" s="455">
        <f t="shared" si="19"/>
        <v>0</v>
      </c>
      <c r="L33" s="455">
        <f t="shared" ca="1" si="19"/>
        <v>0</v>
      </c>
      <c r="M33" s="455">
        <f t="shared" si="19"/>
        <v>0</v>
      </c>
      <c r="N33" s="455">
        <f t="shared" ca="1" si="19"/>
        <v>0</v>
      </c>
      <c r="O33" s="455">
        <f t="shared" si="19"/>
        <v>0</v>
      </c>
      <c r="P33" s="455">
        <f t="shared" si="19"/>
        <v>0</v>
      </c>
      <c r="Q33" s="455">
        <f t="shared" ca="1" si="19"/>
        <v>161516.04585218179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11376.942940093519</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19933.747953955135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2416.5000000000005</v>
      </c>
      <c r="C8" s="972">
        <f>'SEAP template'!C76</f>
        <v>18567</v>
      </c>
      <c r="D8" s="972">
        <f>'SEAP template'!D76</f>
        <v>21843.529411764706</v>
      </c>
      <c r="E8" s="972">
        <f>'SEAP template'!E76</f>
        <v>0</v>
      </c>
      <c r="F8" s="972">
        <f>'SEAP template'!F76</f>
        <v>0</v>
      </c>
      <c r="G8" s="972">
        <f>'SEAP template'!G76</f>
        <v>0</v>
      </c>
      <c r="H8" s="972">
        <f>'SEAP template'!H76</f>
        <v>0</v>
      </c>
      <c r="I8" s="972">
        <f>'SEAP template'!I76</f>
        <v>0</v>
      </c>
      <c r="J8" s="972">
        <f>'SEAP template'!J76</f>
        <v>2842.9411764705883</v>
      </c>
      <c r="K8" s="972">
        <f>'SEAP template'!K76</f>
        <v>0</v>
      </c>
      <c r="L8" s="972">
        <f>'SEAP template'!L76</f>
        <v>0</v>
      </c>
      <c r="M8" s="972">
        <f>'SEAP template'!M76</f>
        <v>0</v>
      </c>
      <c r="N8" s="972">
        <f>'SEAP template'!N76</f>
        <v>0</v>
      </c>
      <c r="O8" s="972">
        <f>'SEAP template'!O76</f>
        <v>0</v>
      </c>
      <c r="P8" s="973">
        <f>'SEAP template'!Q76</f>
        <v>4412.3929411764711</v>
      </c>
    </row>
    <row r="9" spans="1:16">
      <c r="A9" s="978" t="s">
        <v>718</v>
      </c>
      <c r="B9" s="972">
        <f>'SEAP template'!B77</f>
        <v>1341</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3831.4285714285716</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35068.190894048654</v>
      </c>
      <c r="C10" s="974">
        <f>SUM(C4:C9)</f>
        <v>18567</v>
      </c>
      <c r="D10" s="974">
        <f t="shared" ref="D10:H10" si="0">SUM(D8:D9)</f>
        <v>21843.529411764706</v>
      </c>
      <c r="E10" s="974">
        <f t="shared" si="0"/>
        <v>0</v>
      </c>
      <c r="F10" s="974">
        <f t="shared" si="0"/>
        <v>0</v>
      </c>
      <c r="G10" s="974">
        <f t="shared" si="0"/>
        <v>0</v>
      </c>
      <c r="H10" s="974">
        <f t="shared" si="0"/>
        <v>0</v>
      </c>
      <c r="I10" s="974">
        <f>SUM(I8:I9)</f>
        <v>0</v>
      </c>
      <c r="J10" s="974">
        <f>SUM(J8:J9)</f>
        <v>6674.3697478991598</v>
      </c>
      <c r="K10" s="974">
        <f t="shared" ref="K10:L10" si="1">SUM(K8:K9)</f>
        <v>0</v>
      </c>
      <c r="L10" s="974">
        <f t="shared" si="1"/>
        <v>0</v>
      </c>
      <c r="M10" s="974">
        <f>SUM(M8:M9)</f>
        <v>0</v>
      </c>
      <c r="N10" s="974">
        <f>SUM(N8:N9)</f>
        <v>0</v>
      </c>
      <c r="O10" s="974">
        <f>SUM(O8:O9)</f>
        <v>0</v>
      </c>
      <c r="P10" s="974">
        <f>SUM(P8:P9)</f>
        <v>4412.3929411764711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0.1744924011083816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3452.1428571428569</v>
      </c>
      <c r="C17" s="975">
        <f>'SEAP template'!C87</f>
        <v>26524.285714285714</v>
      </c>
      <c r="D17" s="973">
        <f>'SEAP template'!D87</f>
        <v>31205.042016806728</v>
      </c>
      <c r="E17" s="973">
        <f>'SEAP template'!E87</f>
        <v>0</v>
      </c>
      <c r="F17" s="973">
        <f>'SEAP template'!F87</f>
        <v>0</v>
      </c>
      <c r="G17" s="973">
        <f>'SEAP template'!G87</f>
        <v>0</v>
      </c>
      <c r="H17" s="973">
        <f>'SEAP template'!H87</f>
        <v>0</v>
      </c>
      <c r="I17" s="973">
        <f>'SEAP template'!I87</f>
        <v>0</v>
      </c>
      <c r="J17" s="973">
        <f>'SEAP template'!J87</f>
        <v>4061.3445378151264</v>
      </c>
      <c r="K17" s="973">
        <f>'SEAP template'!K87</f>
        <v>0</v>
      </c>
      <c r="L17" s="973">
        <f>'SEAP template'!L87</f>
        <v>0</v>
      </c>
      <c r="M17" s="973">
        <f>'SEAP template'!M87</f>
        <v>0</v>
      </c>
      <c r="N17" s="973">
        <f>'SEAP template'!N87</f>
        <v>0</v>
      </c>
      <c r="O17" s="973">
        <f>'SEAP template'!O87</f>
        <v>0</v>
      </c>
      <c r="P17" s="973">
        <f>'SEAP template'!Q87</f>
        <v>6303.4184873949598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3452.1428571428569</v>
      </c>
      <c r="C20" s="974">
        <f>SUM(C17:C19)</f>
        <v>26524.285714285714</v>
      </c>
      <c r="D20" s="974">
        <f t="shared" ref="D20:H20" si="2">SUM(D17:D19)</f>
        <v>31205.042016806728</v>
      </c>
      <c r="E20" s="974">
        <f t="shared" si="2"/>
        <v>0</v>
      </c>
      <c r="F20" s="974">
        <f t="shared" si="2"/>
        <v>0</v>
      </c>
      <c r="G20" s="974">
        <f t="shared" si="2"/>
        <v>0</v>
      </c>
      <c r="H20" s="974">
        <f t="shared" si="2"/>
        <v>0</v>
      </c>
      <c r="I20" s="974">
        <f>SUM(I17:I19)</f>
        <v>0</v>
      </c>
      <c r="J20" s="974">
        <f>SUM(J17:J19)</f>
        <v>4061.3445378151264</v>
      </c>
      <c r="K20" s="974">
        <f t="shared" ref="K20:L20" si="3">SUM(K17:K19)</f>
        <v>0</v>
      </c>
      <c r="L20" s="974">
        <f t="shared" si="3"/>
        <v>0</v>
      </c>
      <c r="M20" s="974">
        <f>SUM(M17:M19)</f>
        <v>0</v>
      </c>
      <c r="N20" s="974">
        <f>SUM(N17:N19)</f>
        <v>0</v>
      </c>
      <c r="O20" s="974">
        <f>SUM(O17:O19)</f>
        <v>0</v>
      </c>
      <c r="P20" s="974">
        <f>SUM(P17:P19)</f>
        <v>6303.4184873949598</v>
      </c>
    </row>
    <row r="21" spans="1:16">
      <c r="B21" s="841"/>
    </row>
    <row r="22" spans="1:16">
      <c r="A22" s="457" t="s">
        <v>730</v>
      </c>
      <c r="B22" s="737" t="s">
        <v>728</v>
      </c>
      <c r="C22" s="737">
        <f ca="1">'EF ele_warmte'!B22</f>
        <v>0.21027916892684595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0.1744924011083816</v>
      </c>
      <c r="C17" s="493">
        <f ca="1">'EF ele_warmte'!B22</f>
        <v>0.21027916892684595</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4</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19.589043063364617</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2022-07-26T09:50:50Z</dcterms:modified>
</cp:coreProperties>
</file>