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3A83282F-05E2-4ABA-8D45-B1E022AA016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<sst xmlns="http://schemas.openxmlformats.org/spreadsheetml/2006/main" count="2372" uniqueCount="861">
  <si>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</si>
  <si>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</si>
  <si>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</si>
  <si>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</si>
  <si>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</si>
  <si>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</si>
  <si>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</si>
  <si>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</si>
  <si>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</si>
  <si>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</si>
  <si>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</si>
  <si>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</si>
  <si>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</si>
  <si>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</si>
  <si>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</si>
  <si>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</si>
  <si>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</si>
  <si>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</si>
  <si>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</si>
  <si>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</si>
  <si>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</si>
  <si>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</si>
  <si>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</si>
  <si>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</si>
  <si>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</si>
  <si>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</si>
  <si>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</si>
  <si>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</si>
  <si>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</si>
  <si>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</si>
  <si>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</si>
  <si>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</si>
  <si>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</si>
  <si>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</si>
  <si>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</si>
  <si>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</si>
  <si>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</si>
  <si>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</si>
  <si>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</si>
  <si>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</si>
  <si>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</si>
  <si>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</si>
  <si>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</si>
  <si>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</si>
  <si>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</si>
  <si>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</si>
  <si>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</si>
  <si>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</si>
  <si>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</si>
  <si>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</si>
  <si>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</si>
  <si>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</si>
  <si>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</si>
  <si>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</si>
  <si>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</si>
  <si>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</si>
  <si>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</si>
  <si>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</si>
  <si>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</si>
  <si>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</si>
  <si>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</si>
  <si>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</si>
  <si>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</si>
  <si>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</si>
  <si>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</si>
  <si>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</si>
  <si>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</si>
  <si>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</si>
  <si>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</si>
  <si>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</si>
  <si>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</si>
  <si>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</si>
  <si>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</si>
  <si>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</si>
  <si>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</si>
  <si>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</si>
  <si>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</si>
  <si>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</si>
  <si>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</si>
  <si>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</si>
  <si>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</si>
  <si>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</si>
  <si>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</si>
  <si>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</si>
  <si>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</si>
  <si>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</si>
  <si>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</si>
  <si>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</si>
  <si>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</si>
  <si>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</si>
  <si>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</si>
  <si>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</si>
  <si>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</si>
  <si>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</si>
  <si>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</si>
  <si>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</si>
  <si>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</si>
  <si>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</si>
  <si>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</si>
  <si>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</si>
  <si>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</si>
  <si>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</si>
  <si>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</si>
  <si>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</si>
  <si>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</si>
  <si>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</si>
  <si>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</si>
  <si>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</si>
  <si>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</si>
  <si>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</si>
  <si>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</si>
  <si>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</si>
  <si>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</si>
  <si>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</si>
  <si>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</si>
  <si>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</si>
  <si>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</si>
  <si>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</si>
  <si>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</si>
  <si>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</si>
  <si>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</si>
  <si>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</si>
  <si>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</si>
  <si>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</si>
  <si>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</si>
  <si>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</si>
  <si>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</si>
  <si>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</si>
  <si>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</si>
  <si>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</si>
  <si>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</si>
  <si>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</si>
  <si>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</si>
  <si>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</si>
  <si>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</si>
  <si>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</si>
  <si>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</si>
  <si>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</si>
  <si>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</si>
  <si>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</si>
  <si>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</si>
  <si>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</si>
  <si>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</si>
  <si>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</si>
  <si>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</si>
  <si>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</si>
  <si>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</si>
  <si>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</si>
  <si>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</si>
  <si>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</si>
  <si>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</si>
  <si>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</si>
  <si>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</si>
  <si>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</si>
  <si>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</si>
  <si>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</si>
  <si>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</si>
  <si>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</si>
  <si>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</si>
  <si>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</si>
  <si>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</si>
  <si>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</si>
  <si>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</si>
  <si>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</si>
  <si>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</si>
  <si>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</si>
  <si>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</si>
  <si>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</si>
  <si>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</si>
  <si>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</si>
  <si>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</si>
  <si>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</si>
  <si>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</si>
  <si>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</si>
  <si>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</si>
  <si>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</si>
  <si>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</si>
  <si>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</si>
  <si>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</si>
  <si>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</si>
  <si>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</si>
  <si>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</si>
  <si>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</si>
  <si>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</si>
  <si>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</si>
  <si>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</si>
  <si>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</si>
  <si>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</si>
  <si>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</si>
  <si>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</si>
  <si>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</si>
  <si>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</si>
  <si>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</si>
  <si>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</si>
  <si>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</si>
  <si>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</si>
  <si>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</si>
  <si>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</si>
  <si>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</si>
  <si>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</si>
  <si>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</si>
  <si>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</si>
  <si>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</si>
  <si>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</si>
  <si>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</si>
  <si>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</si>
  <si>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</si>
  <si>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</si>
  <si>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</si>
  <si>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</si>
  <si>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</si>
  <si>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</si>
  <si>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</si>
  <si>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</si>
  <si>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</si>
  <si>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</si>
  <si>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</si>
  <si>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</si>
  <si>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</si>
  <si>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</si>
  <si>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</si>
  <si>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</si>
  <si>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</si>
  <si>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</si>
  <si>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</si>
  <si>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</si>
  <si>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</si>
  <si>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</si>
  <si>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</si>
  <si>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</si>
  <si>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</si>
  <si>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</si>
  <si>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</si>
  <si>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</si>
  <si>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</si>
  <si>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</si>
  <si>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</si>
  <si>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</si>
  <si>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</si>
  <si>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</si>
  <si>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</si>
  <si>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</si>
  <si>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</si>
  <si>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</si>
  <si>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</si>
  <si>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</si>
  <si>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</si>
  <si>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</si>
  <si>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</si>
  <si>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</si>
  <si>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</si>
  <si>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</si>
  <si>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</si>
  <si>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</si>
  <si>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</si>
  <si>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</si>
  <si>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</si>
  <si>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</si>
  <si>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</si>
  <si>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</si>
  <si>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</si>
  <si>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</si>
  <si>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</si>
  <si>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</si>
  <si>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</si>
  <si>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</si>
  <si>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</si>
  <si>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</si>
  <si>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</si>
  <si>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</si>
  <si>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</si>
  <si>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</si>
  <si>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</si>
  <si>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</si>
  <si>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</si>
  <si>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</si>
  <si>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</si>
  <si>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</si>
  <si>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</si>
  <si>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</si>
  <si>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</si>
  <si>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</si>
  <si>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</si>
  <si>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</si>
  <si>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</si>
  <si>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</si>
  <si>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</si>
  <si>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</si>
  <si>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</si>
  <si>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</si>
  <si>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</si>
  <si>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</si>
  <si>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</si>
  <si>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</si>
  <si>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</si>
  <si>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</si>
  <si>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</si>
  <si>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</si>
  <si>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</si>
  <si>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</si>
  <si>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</si>
  <si>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</si>
  <si>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</si>
  <si>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</si>
  <si>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</si>
  <si>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</si>
  <si>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</si>
  <si>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</si>
  <si>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</si>
  <si>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</si>
  <si>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</si>
  <si>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</si>
  <si>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</si>
  <si>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</si>
  <si>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</si>
  <si>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</si>
  <si>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</si>
  <si>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</si>
  <si>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</si>
  <si>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</si>
  <si>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</si>
  <si>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</si>
  <si>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</si>
  <si>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</si>
  <si>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</si>
  <si>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</si>
  <si>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</si>
  <si>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</si>
  <si>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</si>
  <si>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</si>
  <si>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</si>
  <si>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</si>
  <si>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</si>
  <si>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</si>
  <si>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</si>
  <si>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</si>
  <si>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</si>
  <si>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</si>
  <si>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</si>
  <si>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</si>
  <si>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</si>
  <si>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</si>
  <si>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</si>
  <si>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</si>
  <si>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</si>
  <si>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</si>
  <si>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</si>
  <si>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</si>
  <si>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</si>
  <si>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</si>
  <si>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</si>
  <si>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</si>
  <si>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</si>
  <si>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</si>
  <si>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</si>
  <si>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</si>
  <si>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</si>
  <si>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</si>
  <si>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</si>
  <si>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</si>
  <si>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</si>
  <si>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</si>
  <si>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</si>
  <si>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</si>
  <si>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</si>
  <si>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</si>
  <si>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</si>
  <si>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</si>
  <si>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</si>
  <si>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</si>
  <si>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</si>
  <si>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</si>
  <si>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</si>
  <si>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</si>
  <si>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</si>
  <si>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</si>
  <si>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</si>
  <si>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</si>
  <si>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</si>
  <si>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</si>
  <si>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</si>
  <si>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</si>
  <si>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</si>
  <si>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</si>
  <si>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</si>
  <si>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</si>
  <si>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</si>
  <si>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</si>
  <si>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</si>
  <si>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</si>
  <si>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</si>
  <si>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</si>
  <si>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</si>
  <si>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</si>
  <si>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</si>
  <si>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</si>
  <si>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</si>
  <si>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</si>
  <si>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</si>
  <si>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</si>
  <si>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</si>
  <si>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</si>
  <si>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</si>
  <si>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</si>
  <si>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</si>
  <si>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</si>
  <si>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</si>
  <si>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</si>
  <si>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</si>
  <si>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</si>
  <si>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</si>
  <si>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</si>
  <si>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</si>
  <si>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</si>
  <si>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</si>
  <si>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</si>
  <si>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</si>
  <si>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</si>
  <si>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</si>
  <si>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</si>
  <si>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</si>
  <si>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</si>
  <si>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</si>
  <si>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</si>
  <si>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</si>
  <si>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</si>
  <si>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</si>
  <si>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</si>
  <si>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</si>
  <si>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</si>
  <si>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</si>
  <si>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</si>
  <si>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</si>
  <si>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</si>
  <si>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</si>
  <si>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</si>
  <si>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</si>
  <si>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</si>
  <si>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</si>
  <si>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</si>
  <si>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</si>
  <si>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</si>
  <si>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</si>
  <si>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</si>
  <si>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</si>
  <si>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</si>
  <si>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</si>
  <si>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</si>
  <si>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</si>
  <si>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</si>
  <si>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</si>
  <si>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</si>
  <si>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</si>
  <si>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</si>
  <si>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</si>
  <si>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</si>
  <si>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</si>
  <si>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</si>
  <si>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</si>
  <si>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</si>
  <si>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</si>
  <si>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</si>
  <si>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</si>
  <si>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</si>
  <si>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</si>
  <si>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</si>
  <si>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</si>
  <si>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</si>
  <si>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</si>
  <si>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</si>
  <si>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</si>
  <si>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</si>
  <si>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</si>
  <si>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</si>
  <si>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</si>
  <si>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</si>
  <si>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</si>
  <si>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</si>
  <si>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</si>
  <si>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</si>
  <si>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</si>
  <si>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</si>
  <si>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</si>
  <si>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</si>
  <si>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</si>
  <si>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</si>
  <si>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</si>
  <si>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</si>
  <si>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</si>
  <si>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</si>
  <si>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</si>
  <si>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</si>
  <si>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</si>
  <si>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</si>
  <si>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</si>
  <si>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</si>
  <si>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</si>
  <si>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</si>
  <si>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</si>
  <si>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</si>
  <si>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</si>
  <si>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</si>
  <si>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</si>
  <si>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</si>
  <si>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</si>
  <si>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</si>
  <si>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</si>
  <si>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</si>
  <si>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</si>
  <si>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</si>
  <si>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</si>
  <si>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</si>
  <si>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</si>
  <si>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</si>
  <si>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</si>
  <si>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</si>
  <si>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</si>
  <si>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</si>
  <si>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</si>
  <si>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</si>
  <si>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</si>
  <si>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</si>
  <si>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</si>
  <si>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</si>
  <si>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</si>
  <si>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</si>
  <si>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</si>
  <si>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</si>
  <si>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</si>
  <si>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</si>
  <si>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</si>
  <si>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</si>
  <si>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</si>
  <si>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</si>
  <si>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</si>
  <si>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</si>
  <si>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</si>
  <si>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</si>
  <si>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</si>
  <si>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</si>
  <si>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</si>
  <si>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</si>
  <si>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</si>
  <si>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</si>
  <si>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</si>
  <si>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</si>
  <si>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</si>
  <si>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</si>
  <si>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</si>
  <si>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</si>
  <si>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</si>
  <si>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</si>
  <si>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</si>
  <si>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</si>
  <si>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</si>
  <si>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</si>
  <si>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</si>
  <si>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</si>
  <si>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</si>
  <si>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</si>
  <si>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</si>
  <si>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</si>
  <si>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</si>
  <si>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</si>
  <si>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</si>
  <si>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</si>
  <si>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</si>
  <si>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</si>
  <si>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</si>
  <si>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</si>
  <si>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</si>
  <si>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</si>
  <si>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</si>
  <si>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</si>
  <si>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</si>
  <si>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</si>
  <si>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</si>
  <si>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</si>
  <si>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</si>
  <si>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</si>
  <si>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</si>
  <si>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</si>
  <si>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</si>
  <si>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</si>
  <si>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</si>
  <si>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</si>
  <si>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</si>
  <si>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</si>
  <si>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</si>
  <si>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</si>
  <si>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</si>
  <si>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</si>
  <si>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</si>
  <si>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</si>
  <si>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</si>
  <si>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</si>
  <si>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</si>
  <si>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</si>
  <si>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</si>
  <si>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</si>
  <si>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</si>
  <si>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</si>
  <si>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</si>
  <si>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</si>
  <si>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</si>
  <si>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</si>
  <si>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</si>
  <si>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</si>
  <si>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</si>
  <si>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</si>
  <si>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</si>
  <si>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</si>
  <si>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</si>
  <si>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</si>
  <si>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</si>
  <si>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</si>
  <si>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</si>
  <si>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</si>
  <si>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</si>
  <si>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</si>
  <si>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</si>
  <si>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</si>
  <si>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</si>
  <si>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</si>
  <si>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</si>
  <si>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</si>
  <si>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</si>
  <si>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</si>
  <si>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</si>
  <si>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</si>
  <si>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</si>
  <si>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</si>
  <si>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</si>
  <si>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</si>
  <si>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</si>
  <si>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</si>
  <si>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</si>
  <si>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</si>
  <si>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</si>
  <si>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</si>
  <si>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</si>
  <si>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</si>
  <si>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</si>
  <si>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</si>
  <si>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</si>
  <si>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</si>
  <si>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</si>
  <si>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</si>
  <si>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</si>
  <si>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</si>
  <si>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</si>
  <si>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</si>
  <si>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</si>
  <si>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</si>
  <si>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</si>
  <si>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</si>
  <si>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</si>
  <si>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</si>
  <si>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</si>
  <si>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</si>
  <si>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</si>
  <si>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</si>
  <si>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</si>
  <si>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</si>
  <si>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</si>
  <si>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</si>
  <si>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</si>
  <si>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</si>
  <si>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</si>
  <si>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</si>
  <si>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</si>
  <si>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</si>
  <si>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</si>
  <si>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</si>
  <si>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</si>
  <si>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</si>
  <si>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</si>
  <si>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</si>
  <si>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</si>
  <si>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</si>
  <si>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</si>
  <si>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</si>
  <si>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</si>
  <si>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</si>
  <si>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</si>
  <si>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</si>
  <si>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</si>
  <si>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</si>
  <si>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</si>
  <si>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</si>
  <si>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</si>
  <si>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</si>
  <si>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</si>
  <si>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</si>
  <si>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</si>
  <si>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</si>
  <si>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</si>
  <si>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</si>
  <si>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</si>
  <si>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</si>
  <si>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</si>
  <si>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</si>
  <si>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</si>
  <si>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</si>
  <si>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</si>
  <si>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</si>
  <si>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</si>
  <si>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</si>
  <si>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</si>
  <si>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</si>
  <si>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</si>
  <si>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</si>
  <si>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</si>
  <si>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</si>
  <si>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</si>
  <si>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</si>
  <si>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</si>
  <si>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</si>
  <si>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</si>
  <si>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</si>
  <si>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</si>
  <si>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</si>
  <si>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</si>
  <si>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</si>
  <si>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</si>
  <si>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</si>
  <si>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</si>
  <si>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</si>
  <si>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</si>
  <si>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</si>
  <si>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</si>
  <si>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</si>
  <si>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</si>
  <si>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</si>
  <si>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</si>
  <si>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</si>
  <si>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</si>
  <si>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</si>
  <si>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</si>
  <si>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</si>
  <si>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</si>
  <si>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</si>
  <si>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</si>
  <si>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</si>
  <si>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</si>
  <si>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</si>
  <si>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</si>
  <si>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</si>
  <si>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</si>
  <si>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</si>
  <si>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</si>
  <si>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</si>
  <si>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</si>
  <si>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</si>
  <si>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</si>
  <si>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</si>
  <si>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</si>
  <si>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</si>
  <si>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</si>
  <si>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</si>
  <si>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</si>
  <si>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</si>
  <si>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</si>
  <si>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</si>
  <si>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</si>
  <si>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</si>
  <si>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</si>
  <si>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</si>
  <si>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</si>
  <si>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</si>
  <si>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</si>
  <si>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</si>
  <si>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</si>
  <si>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</si>
  <si>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</si>
  <si>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</si>
  <si>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</si>
  <si>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</si>
  <si>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</si>
  <si>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</si>
  <si>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</si>
  <si>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</si>
  <si>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</si>
  <si>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</si>
  <si>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</si>
  <si>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</si>
  <si>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</si>
  <si>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</si>
  <si>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</si>
  <si>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</si>
  <si>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</si>
  <si>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</si>
  <si>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</si>
  <si>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</si>
  <si>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</si>
  <si>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</si>
  <si>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</si>
  <si>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</si>
  <si>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</si>
  <si>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</si>
  <si>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</si>
  <si>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</si>
  <si>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</si>
  <si>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</si>
  <si>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</si>
  <si>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</si>
  <si>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</si>
  <si>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</si>
  <si>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</si>
  <si>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</si>
  <si>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</si>
  <si>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</si>
  <si>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</si>
  <si>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</si>
  <si>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</si>
  <si>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</si>
  <si>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</si>
  <si>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</si>
  <si>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</si>
  <si>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</si>
  <si>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</si>
  <si>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</si>
  <si>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</si>
  <si>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</si>
  <si>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</si>
  <si>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</si>
  <si>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</si>
  <si>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</si>
  <si>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</si>
  <si>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</si>
  <si>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</si>
  <si>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</si>
  <si>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</si>
  <si>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</si>
  <si>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</si>
  <si>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</si>
  <si>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</si>
  <si>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</si>
  <si>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</si>
  <si>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</si>
  <si>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</si>
  <si>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</si>
  <si>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</si>
  <si>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</si>
  <si>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</si>
  <si>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</si>
  <si>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</si>
  <si>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</si>
  <si>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</si>
  <si>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</si>
  <si>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</si>
  <si>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</si>
  <si>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</si>
  <si>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</si>
  <si>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</si>
  <si>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</si>
  <si>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</si>
  <si>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24104</t>
  </si>
  <si>
    <t>TERVUREN</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</si>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</sst>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7D4B47C9-6154-4A6D-9291-8B03BE853D3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207598.38904847536</c:v>
                </c:pt>
                <c:pt idx="1">
                  <c:v>55685.677363115065</c:v>
                </c:pt>
                <c:pt idx="2">
                  <c:v>943.08900000000006</c:v>
                </c:pt>
                <c:pt idx="3">
                  <c:v>735.34309580724323</c:v>
                </c:pt>
                <c:pt idx="4">
                  <c:v>4649.4837147551816</c:v>
                </c:pt>
                <c:pt idx="5">
                  <c:v>218088.75620183974</c:v>
                </c:pt>
                <c:pt idx="6">
                  <c:v>4423.5973383429528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207598.38904847536</c:v>
                </c:pt>
                <c:pt idx="1">
                  <c:v>55685.677363115065</c:v>
                </c:pt>
                <c:pt idx="2">
                  <c:v>943.08900000000006</c:v>
                </c:pt>
                <c:pt idx="3">
                  <c:v>735.34309580724323</c:v>
                </c:pt>
                <c:pt idx="4">
                  <c:v>4649.4837147551816</c:v>
                </c:pt>
                <c:pt idx="5">
                  <c:v>218088.75620183974</c:v>
                </c:pt>
                <c:pt idx="6">
                  <c:v>4423.5973383429528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41763.19016997976</c:v>
                </c:pt>
                <c:pt idx="1">
                  <c:v>11414.212678879794</c:v>
                </c:pt>
                <c:pt idx="2">
                  <c:v>197.48818210843879</c:v>
                </c:pt>
                <c:pt idx="3">
                  <c:v>185.16661367569574</c:v>
                </c:pt>
                <c:pt idx="4">
                  <c:v>963.29847397746664</c:v>
                </c:pt>
                <c:pt idx="5">
                  <c:v>54033.532669741959</c:v>
                </c:pt>
                <c:pt idx="6">
                  <c:v>1116.7661913019372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41763.19016997976</c:v>
                </c:pt>
                <c:pt idx="1">
                  <c:v>11414.212678879794</c:v>
                </c:pt>
                <c:pt idx="2">
                  <c:v>197.48818210843879</c:v>
                </c:pt>
                <c:pt idx="3">
                  <c:v>185.16661367569574</c:v>
                </c:pt>
                <c:pt idx="4">
                  <c:v>963.29847397746664</c:v>
                </c:pt>
                <c:pt idx="5">
                  <c:v>54033.532669741959</c:v>
                </c:pt>
                <c:pt idx="6">
                  <c:v>1116.7661913019372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24104</v>
      </c>
      <c r="B6" s="382"/>
      <c r="C6" s="383"/>
    </row>
    <row r="7" spans="1:7" s="380" customFormat="1" ht="15.75" customHeight="1">
      <c r="A7" s="384" t="str">
        <f>txtMunicipality</f>
        <v>TERVUREN</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0.20940566808481362</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0.20940566808481362</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8762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723.08</v>
      </c>
      <c r="C14" s="324"/>
      <c r="D14" s="324"/>
      <c r="E14" s="324"/>
      <c r="F14" s="324"/>
    </row>
    <row r="15" spans="1:6">
      <c r="A15" s="1264" t="s">
        <v>177</v>
      </c>
      <c r="B15" s="1265">
        <v>1</v>
      </c>
      <c r="C15" s="324"/>
      <c r="D15" s="324"/>
      <c r="E15" s="324"/>
      <c r="F15" s="324"/>
    </row>
    <row r="16" spans="1:6">
      <c r="A16" s="1264" t="s">
        <v>6</v>
      </c>
      <c r="B16" s="1265">
        <v>59</v>
      </c>
      <c r="C16" s="324"/>
      <c r="D16" s="324"/>
      <c r="E16" s="324"/>
      <c r="F16" s="324"/>
    </row>
    <row r="17" spans="1:6">
      <c r="A17" s="1264" t="s">
        <v>7</v>
      </c>
      <c r="B17" s="1265">
        <v>65</v>
      </c>
      <c r="C17" s="324"/>
      <c r="D17" s="324"/>
      <c r="E17" s="324"/>
      <c r="F17" s="324"/>
    </row>
    <row r="18" spans="1:6">
      <c r="A18" s="1264" t="s">
        <v>8</v>
      </c>
      <c r="B18" s="1265">
        <v>143</v>
      </c>
      <c r="C18" s="324"/>
      <c r="D18" s="324"/>
      <c r="E18" s="324"/>
      <c r="F18" s="324"/>
    </row>
    <row r="19" spans="1:6">
      <c r="A19" s="1264" t="s">
        <v>9</v>
      </c>
      <c r="B19" s="1265">
        <v>163</v>
      </c>
      <c r="C19" s="324"/>
      <c r="D19" s="324"/>
      <c r="E19" s="324"/>
      <c r="F19" s="324"/>
    </row>
    <row r="20" spans="1:6">
      <c r="A20" s="1264" t="s">
        <v>10</v>
      </c>
      <c r="B20" s="1265">
        <v>110</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0</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147</v>
      </c>
      <c r="C29" s="324"/>
      <c r="D29" s="324"/>
      <c r="E29" s="324"/>
      <c r="F29" s="324"/>
    </row>
    <row r="30" spans="1:6">
      <c r="A30" s="1259" t="s">
        <v>658</v>
      </c>
      <c r="B30" s="1267">
        <v>12</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3</v>
      </c>
      <c r="F36" s="1265">
        <v>3643.7556308911999</v>
      </c>
    </row>
    <row r="37" spans="1:6">
      <c r="A37" s="1264" t="s">
        <v>24</v>
      </c>
      <c r="B37" s="1264" t="s">
        <v>27</v>
      </c>
      <c r="C37" s="1265">
        <v>0</v>
      </c>
      <c r="D37" s="1265">
        <v>0</v>
      </c>
      <c r="E37" s="1265">
        <v>0</v>
      </c>
      <c r="F37" s="1265">
        <v>0</v>
      </c>
    </row>
    <row r="38" spans="1:6">
      <c r="A38" s="1264" t="s">
        <v>24</v>
      </c>
      <c r="B38" s="1264" t="s">
        <v>28</v>
      </c>
      <c r="C38" s="1265">
        <v>1</v>
      </c>
      <c r="D38" s="1265">
        <v>113670.159840352</v>
      </c>
      <c r="E38" s="1265">
        <v>0</v>
      </c>
      <c r="F38" s="1265">
        <v>0</v>
      </c>
    </row>
    <row r="39" spans="1:6">
      <c r="A39" s="1264" t="s">
        <v>29</v>
      </c>
      <c r="B39" s="1264" t="s">
        <v>30</v>
      </c>
      <c r="C39" s="1265">
        <v>6819</v>
      </c>
      <c r="D39" s="1265">
        <v>144100364.87469199</v>
      </c>
      <c r="E39" s="1265">
        <v>8740</v>
      </c>
      <c r="F39" s="1265">
        <v>32443060.388780601</v>
      </c>
    </row>
    <row r="40" spans="1:6">
      <c r="A40" s="1264" t="s">
        <v>29</v>
      </c>
      <c r="B40" s="1264" t="s">
        <v>28</v>
      </c>
      <c r="C40" s="1265">
        <v>1</v>
      </c>
      <c r="D40" s="1265">
        <v>76736.573411743797</v>
      </c>
      <c r="E40" s="1265">
        <v>0</v>
      </c>
      <c r="F40" s="1265">
        <v>0</v>
      </c>
    </row>
    <row r="41" spans="1:6">
      <c r="A41" s="1264" t="s">
        <v>31</v>
      </c>
      <c r="B41" s="1264" t="s">
        <v>32</v>
      </c>
      <c r="C41" s="1265">
        <v>115</v>
      </c>
      <c r="D41" s="1265">
        <v>1605752.9530996899</v>
      </c>
      <c r="E41" s="1265">
        <v>155</v>
      </c>
      <c r="F41" s="1265">
        <v>514016.445999344</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5</v>
      </c>
      <c r="D44" s="1265">
        <v>133508.27844154899</v>
      </c>
      <c r="E44" s="1265">
        <v>10</v>
      </c>
      <c r="F44" s="1265">
        <v>110024.190158115</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5</v>
      </c>
      <c r="D47" s="1265">
        <v>142312.691365256</v>
      </c>
      <c r="E47" s="1265">
        <v>5</v>
      </c>
      <c r="F47" s="1265">
        <v>32041.775655135199</v>
      </c>
    </row>
    <row r="48" spans="1:6">
      <c r="A48" s="1264" t="s">
        <v>31</v>
      </c>
      <c r="B48" s="1264" t="s">
        <v>28</v>
      </c>
      <c r="C48" s="1265">
        <v>0</v>
      </c>
      <c r="D48" s="1265">
        <v>0</v>
      </c>
      <c r="E48" s="1265">
        <v>0</v>
      </c>
      <c r="F48" s="1265">
        <v>0</v>
      </c>
    </row>
    <row r="49" spans="1:6">
      <c r="A49" s="1264" t="s">
        <v>31</v>
      </c>
      <c r="B49" s="1264" t="s">
        <v>39</v>
      </c>
      <c r="C49" s="1265">
        <v>0</v>
      </c>
      <c r="D49" s="1265">
        <v>0</v>
      </c>
      <c r="E49" s="1265">
        <v>0</v>
      </c>
      <c r="F49" s="1265">
        <v>0</v>
      </c>
    </row>
    <row r="50" spans="1:6">
      <c r="A50" s="1264" t="s">
        <v>31</v>
      </c>
      <c r="B50" s="1264" t="s">
        <v>40</v>
      </c>
      <c r="C50" s="1265">
        <v>7</v>
      </c>
      <c r="D50" s="1265">
        <v>1032441.8124762099</v>
      </c>
      <c r="E50" s="1265">
        <v>16</v>
      </c>
      <c r="F50" s="1265">
        <v>943817.94197144802</v>
      </c>
    </row>
    <row r="51" spans="1:6">
      <c r="A51" s="1264" t="s">
        <v>41</v>
      </c>
      <c r="B51" s="1264" t="s">
        <v>42</v>
      </c>
      <c r="C51" s="1265">
        <v>5</v>
      </c>
      <c r="D51" s="1265">
        <v>99482.055137730495</v>
      </c>
      <c r="E51" s="1265">
        <v>28</v>
      </c>
      <c r="F51" s="1265">
        <v>144732.32234318901</v>
      </c>
    </row>
    <row r="52" spans="1:6">
      <c r="A52" s="1264" t="s">
        <v>41</v>
      </c>
      <c r="B52" s="1264" t="s">
        <v>28</v>
      </c>
      <c r="C52" s="1265">
        <v>0</v>
      </c>
      <c r="D52" s="1265">
        <v>0</v>
      </c>
      <c r="E52" s="1265">
        <v>0</v>
      </c>
      <c r="F52" s="1265">
        <v>0</v>
      </c>
    </row>
    <row r="53" spans="1:6">
      <c r="A53" s="1264" t="s">
        <v>43</v>
      </c>
      <c r="B53" s="1264" t="s">
        <v>44</v>
      </c>
      <c r="C53" s="1265">
        <v>219</v>
      </c>
      <c r="D53" s="1265">
        <v>5307089.3149220496</v>
      </c>
      <c r="E53" s="1265">
        <v>380</v>
      </c>
      <c r="F53" s="1265">
        <v>1695780.7586445501</v>
      </c>
    </row>
    <row r="54" spans="1:6">
      <c r="A54" s="1264" t="s">
        <v>45</v>
      </c>
      <c r="B54" s="1264" t="s">
        <v>46</v>
      </c>
      <c r="C54" s="1265">
        <v>0</v>
      </c>
      <c r="D54" s="1265">
        <v>0</v>
      </c>
      <c r="E54" s="1265">
        <v>1</v>
      </c>
      <c r="F54" s="1265">
        <v>943089</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43</v>
      </c>
      <c r="D57" s="1265">
        <v>6248282.4649101999</v>
      </c>
      <c r="E57" s="1265">
        <v>77</v>
      </c>
      <c r="F57" s="1265">
        <v>4920365.6082619</v>
      </c>
    </row>
    <row r="58" spans="1:6">
      <c r="A58" s="1264" t="s">
        <v>48</v>
      </c>
      <c r="B58" s="1264" t="s">
        <v>50</v>
      </c>
      <c r="C58" s="1265">
        <v>44</v>
      </c>
      <c r="D58" s="1265">
        <v>1319758.67749799</v>
      </c>
      <c r="E58" s="1265">
        <v>48</v>
      </c>
      <c r="F58" s="1265">
        <v>328915.31880625099</v>
      </c>
    </row>
    <row r="59" spans="1:6">
      <c r="A59" s="1264" t="s">
        <v>48</v>
      </c>
      <c r="B59" s="1264" t="s">
        <v>51</v>
      </c>
      <c r="C59" s="1265">
        <v>78</v>
      </c>
      <c r="D59" s="1265">
        <v>2634840.1980709201</v>
      </c>
      <c r="E59" s="1265">
        <v>142</v>
      </c>
      <c r="F59" s="1265">
        <v>3634991.4380035899</v>
      </c>
    </row>
    <row r="60" spans="1:6">
      <c r="A60" s="1264" t="s">
        <v>48</v>
      </c>
      <c r="B60" s="1264" t="s">
        <v>52</v>
      </c>
      <c r="C60" s="1265">
        <v>44</v>
      </c>
      <c r="D60" s="1265">
        <v>2586991.4817888401</v>
      </c>
      <c r="E60" s="1265">
        <v>48</v>
      </c>
      <c r="F60" s="1265">
        <v>912479.013172284</v>
      </c>
    </row>
    <row r="61" spans="1:6">
      <c r="A61" s="1264" t="s">
        <v>48</v>
      </c>
      <c r="B61" s="1264" t="s">
        <v>53</v>
      </c>
      <c r="C61" s="1265">
        <v>318</v>
      </c>
      <c r="D61" s="1265">
        <v>17500919.576904699</v>
      </c>
      <c r="E61" s="1265">
        <v>540</v>
      </c>
      <c r="F61" s="1265">
        <v>8060199.2286933698</v>
      </c>
    </row>
    <row r="62" spans="1:6">
      <c r="A62" s="1264" t="s">
        <v>48</v>
      </c>
      <c r="B62" s="1264" t="s">
        <v>54</v>
      </c>
      <c r="C62" s="1265">
        <v>19</v>
      </c>
      <c r="D62" s="1265">
        <v>1261884.4519527</v>
      </c>
      <c r="E62" s="1265">
        <v>24</v>
      </c>
      <c r="F62" s="1265">
        <v>1604961.85594725</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31371.038424866401</v>
      </c>
      <c r="E65" s="1265">
        <v>3</v>
      </c>
      <c r="F65" s="1265">
        <v>11489</v>
      </c>
    </row>
    <row r="66" spans="1:6">
      <c r="A66" s="1264" t="s">
        <v>55</v>
      </c>
      <c r="B66" s="1264" t="s">
        <v>57</v>
      </c>
      <c r="C66" s="1265">
        <v>0</v>
      </c>
      <c r="D66" s="1265">
        <v>0</v>
      </c>
      <c r="E66" s="1265">
        <v>9</v>
      </c>
      <c r="F66" s="1265">
        <v>59327</v>
      </c>
    </row>
    <row r="67" spans="1:6">
      <c r="A67" s="1264" t="s">
        <v>55</v>
      </c>
      <c r="B67" s="1264" t="s">
        <v>58</v>
      </c>
      <c r="C67" s="1265">
        <v>0</v>
      </c>
      <c r="D67" s="1265">
        <v>0</v>
      </c>
      <c r="E67" s="1265">
        <v>0</v>
      </c>
      <c r="F67" s="1265">
        <v>0</v>
      </c>
    </row>
    <row r="68" spans="1:6">
      <c r="A68" s="1259" t="s">
        <v>55</v>
      </c>
      <c r="B68" s="1259" t="s">
        <v>59</v>
      </c>
      <c r="C68" s="1267">
        <v>0</v>
      </c>
      <c r="D68" s="1267">
        <v>0</v>
      </c>
      <c r="E68" s="1267">
        <v>0</v>
      </c>
      <c r="F68" s="1267">
        <v>0</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58322052</v>
      </c>
      <c r="E73" s="443"/>
      <c r="F73" s="324"/>
    </row>
    <row r="74" spans="1:6">
      <c r="A74" s="1264" t="s">
        <v>63</v>
      </c>
      <c r="B74" s="1264" t="s">
        <v>608</v>
      </c>
      <c r="C74" s="1277" t="s">
        <v>610</v>
      </c>
      <c r="D74" s="1265">
        <v>825068.19482185505</v>
      </c>
      <c r="E74" s="443"/>
      <c r="F74" s="324"/>
    </row>
    <row r="75" spans="1:6">
      <c r="A75" s="1264" t="s">
        <v>64</v>
      </c>
      <c r="B75" s="1264" t="s">
        <v>607</v>
      </c>
      <c r="C75" s="1277" t="s">
        <v>611</v>
      </c>
      <c r="D75" s="1265">
        <v>55275390</v>
      </c>
      <c r="E75" s="443"/>
      <c r="F75" s="324"/>
    </row>
    <row r="76" spans="1:6">
      <c r="A76" s="1264" t="s">
        <v>64</v>
      </c>
      <c r="B76" s="1264" t="s">
        <v>608</v>
      </c>
      <c r="C76" s="1277" t="s">
        <v>612</v>
      </c>
      <c r="D76" s="1265">
        <v>175137.19482185505</v>
      </c>
      <c r="E76" s="443"/>
      <c r="F76" s="324"/>
    </row>
    <row r="77" spans="1:6">
      <c r="A77" s="1264" t="s">
        <v>65</v>
      </c>
      <c r="B77" s="1264" t="s">
        <v>607</v>
      </c>
      <c r="C77" s="1277" t="s">
        <v>613</v>
      </c>
      <c r="D77" s="1265">
        <v>142325172</v>
      </c>
      <c r="E77" s="443"/>
      <c r="F77" s="324"/>
    </row>
    <row r="78" spans="1:6">
      <c r="A78" s="1259" t="s">
        <v>65</v>
      </c>
      <c r="B78" s="1259" t="s">
        <v>608</v>
      </c>
      <c r="C78" s="1259" t="s">
        <v>614</v>
      </c>
      <c r="D78" s="1267">
        <v>12293029</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1225127.6103562899</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3059.1950654960156</v>
      </c>
      <c r="C91" s="324"/>
      <c r="D91" s="324"/>
      <c r="E91" s="324"/>
      <c r="F91" s="324"/>
    </row>
    <row r="92" spans="1:6">
      <c r="A92" s="1259" t="s">
        <v>68</v>
      </c>
      <c r="B92" s="1260">
        <v>79.816385587971922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4567</v>
      </c>
      <c r="C97" s="324"/>
      <c r="D97" s="324"/>
      <c r="E97" s="324"/>
      <c r="F97" s="324"/>
    </row>
    <row r="98" spans="1:6">
      <c r="A98" s="1264" t="s">
        <v>71</v>
      </c>
      <c r="B98" s="1265">
        <v>3</v>
      </c>
      <c r="C98" s="324"/>
      <c r="D98" s="324"/>
      <c r="E98" s="324"/>
      <c r="F98" s="324"/>
    </row>
    <row r="99" spans="1:6">
      <c r="A99" s="1264" t="s">
        <v>72</v>
      </c>
      <c r="B99" s="1265">
        <v>27</v>
      </c>
      <c r="C99" s="324"/>
      <c r="D99" s="324"/>
      <c r="E99" s="324"/>
      <c r="F99" s="324"/>
    </row>
    <row r="100" spans="1:6">
      <c r="A100" s="1264" t="s">
        <v>73</v>
      </c>
      <c r="B100" s="1265">
        <v>358</v>
      </c>
      <c r="C100" s="324"/>
      <c r="D100" s="324"/>
      <c r="E100" s="324"/>
      <c r="F100" s="324"/>
    </row>
    <row r="101" spans="1:6">
      <c r="A101" s="1264" t="s">
        <v>74</v>
      </c>
      <c r="B101" s="1265">
        <v>36</v>
      </c>
      <c r="C101" s="324"/>
      <c r="D101" s="324"/>
      <c r="E101" s="324"/>
      <c r="F101" s="324"/>
    </row>
    <row r="102" spans="1:6">
      <c r="A102" s="1264" t="s">
        <v>75</v>
      </c>
      <c r="B102" s="1265">
        <v>91</v>
      </c>
      <c r="C102" s="324"/>
      <c r="D102" s="324"/>
      <c r="E102" s="324"/>
      <c r="F102" s="324"/>
    </row>
    <row r="103" spans="1:6">
      <c r="A103" s="1264" t="s">
        <v>76</v>
      </c>
      <c r="B103" s="1265">
        <v>63</v>
      </c>
      <c r="C103" s="324"/>
      <c r="D103" s="324"/>
      <c r="E103" s="324"/>
      <c r="F103" s="324"/>
    </row>
    <row r="104" spans="1:6">
      <c r="A104" s="1264" t="s">
        <v>77</v>
      </c>
      <c r="B104" s="1265">
        <v>2221</v>
      </c>
      <c r="C104" s="324"/>
      <c r="D104" s="324"/>
      <c r="E104" s="324"/>
      <c r="F104" s="324"/>
    </row>
    <row r="105" spans="1:6">
      <c r="A105" s="1259" t="s">
        <v>78</v>
      </c>
      <c r="B105" s="1267">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1</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42</v>
      </c>
      <c r="C123" s="1265">
        <v>34</v>
      </c>
      <c r="D123" s="324"/>
      <c r="E123" s="324"/>
      <c r="F123" s="324"/>
    </row>
    <row r="124" spans="1:6">
      <c r="A124" s="1264" t="s">
        <v>88</v>
      </c>
      <c r="B124" s="1265">
        <v>2</v>
      </c>
      <c r="C124" s="1265">
        <v>2</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157</v>
      </c>
      <c r="C129" s="324"/>
      <c r="D129" s="324"/>
      <c r="E129" s="324"/>
      <c r="F129" s="324"/>
    </row>
    <row r="130" spans="1:6">
      <c r="A130" s="1264" t="s">
        <v>284</v>
      </c>
      <c r="B130" s="1265">
        <v>2</v>
      </c>
      <c r="C130" s="324"/>
      <c r="D130" s="324"/>
      <c r="E130" s="324"/>
      <c r="F130" s="324"/>
    </row>
    <row r="131" spans="1:6">
      <c r="A131" s="1264" t="s">
        <v>285</v>
      </c>
      <c r="B131" s="1265">
        <v>2</v>
      </c>
      <c r="C131" s="324"/>
      <c r="D131" s="324"/>
      <c r="E131" s="324"/>
      <c r="F131" s="324"/>
    </row>
    <row r="132" spans="1:6">
      <c r="A132" s="1259" t="s">
        <v>286</v>
      </c>
      <c r="B132" s="1260">
        <v>23</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59832.816221253524</v>
      </c>
      <c r="C3" s="43" t="s">
        <v>163</v>
      </c>
      <c r="D3" s="43"/>
      <c r="E3" s="153"/>
      <c r="F3" s="43"/>
      <c r="G3" s="43"/>
      <c r="H3" s="43"/>
      <c r="I3" s="43"/>
      <c r="J3" s="43"/>
      <c r="K3" s="96"/>
    </row>
    <row r="4" spans="1:11">
      <c r="A4" s="350" t="s">
        <v>164</v>
      </c>
      <c r="B4" s="49">
        <f>IF(ISERROR('SEAP template'!B78+'SEAP template'!C78),0,'SEAP template'!B78+'SEAP template'!C78)</f>
        <v>3139.0114510839876</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0.20940566808481362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943.08900000000006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943.08900000000006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0.20940566808481362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197.48818210843879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32443.060388780603</v>
      </c>
      <c r="C5" s="17">
        <f>IF(ISERROR('Eigen informatie GS &amp; warmtenet'!B59),0,'Eigen informatie GS &amp; warmtenet'!B59)</f>
        <v>0</v>
      </c>
      <c r="D5" s="30">
        <f>(SUM(HH_hh_gas_kWh,HH_rest_gas_kWh)/1000)*0.903</f>
        <v>130191.92260763767</v>
      </c>
      <c r="E5" s="17">
        <f>B32*B41</f>
        <v>1732.6560700901514</v>
      </c>
      <c r="F5" s="17">
        <f>B36*B45</f>
        <v>28394.216555676183</v>
      </c>
      <c r="G5" s="18"/>
      <c r="H5" s="17"/>
      <c r="I5" s="17"/>
      <c r="J5" s="17">
        <f>B35*B44+C35*C44</f>
        <v>156.72184474697755</v>
      </c>
      <c r="K5" s="17"/>
      <c r="L5" s="17"/>
      <c r="M5" s="17"/>
      <c r="N5" s="17">
        <f>B34*B43+C34*C43</f>
        <v>10531.937306091178</v>
      </c>
      <c r="O5" s="17">
        <f>B52*B53*B54</f>
        <v>382.90393634169709</v>
      </c>
      <c r="P5" s="17">
        <f>B60*B61*B62/1000-B60*B61*B62/1000/B63</f>
        <v>705.77527361489661</v>
      </c>
    </row>
    <row r="6" spans="1:16">
      <c r="A6" s="16" t="s">
        <v>573</v>
      </c>
      <c r="B6" s="739">
        <f>kWh_PV_kleiner_dan_10kW</f>
        <v>3059.1950654960156</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35502.255454276616</v>
      </c>
      <c r="C8" s="21">
        <f>C5</f>
        <v>0</v>
      </c>
      <c r="D8" s="21">
        <f>D5</f>
        <v>130191.92260763767</v>
      </c>
      <c r="E8" s="21">
        <f>E5</f>
        <v>1732.6560700901514</v>
      </c>
      <c r="F8" s="21">
        <f>F5</f>
        <v>28394.216555676183</v>
      </c>
      <c r="G8" s="21"/>
      <c r="H8" s="21"/>
      <c r="I8" s="21"/>
      <c r="J8" s="21">
        <f>J5</f>
        <v>156.72184474697755</v>
      </c>
      <c r="K8" s="21"/>
      <c r="L8" s="21">
        <f>L5</f>
        <v>0</v>
      </c>
      <c r="M8" s="21">
        <f>M5</f>
        <v>0</v>
      </c>
      <c r="N8" s="21">
        <f>N5</f>
        <v>10531.937306091178</v>
      </c>
      <c r="O8" s="21">
        <f>O5</f>
        <v>382.90393634169709</v>
      </c>
      <c r="P8" s="21">
        <f>P5</f>
        <v>705.77527361489661</v>
      </c>
    </row>
    <row r="9" spans="1:16">
      <c r="B9" s="19"/>
      <c r="C9" s="19"/>
      <c r="D9" s="253"/>
      <c r="E9" s="19"/>
      <c r="F9" s="19"/>
      <c r="G9" s="19"/>
      <c r="H9" s="19"/>
      <c r="I9" s="19"/>
      <c r="J9" s="19"/>
      <c r="K9" s="19"/>
      <c r="L9" s="19"/>
      <c r="M9" s="19"/>
      <c r="N9" s="19"/>
      <c r="O9" s="19"/>
      <c r="P9" s="19"/>
    </row>
    <row r="10" spans="1:16">
      <c r="A10" s="24" t="s">
        <v>207</v>
      </c>
      <c r="B10" s="25">
        <f ca="1">'EF ele_warmte'!B12</f>
        <v>0.20940566808481362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7434.3735219205128</v>
      </c>
      <c r="C12" s="23">
        <f ca="1">C10*C8</f>
        <v>0</v>
      </c>
      <c r="D12" s="23">
        <f>D8*D10</f>
        <v>26298.76836674281</v>
      </c>
      <c r="E12" s="23">
        <f>E10*E8</f>
        <v>393.3129279104644</v>
      </c>
      <c r="F12" s="23">
        <f>F10*F8</f>
        <v>7581.2558203655417</v>
      </c>
      <c r="G12" s="23"/>
      <c r="H12" s="23"/>
      <c r="I12" s="23"/>
      <c r="J12" s="23">
        <f>J10*J8</f>
        <v>55.479533040430049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8762</v>
      </c>
      <c r="C26" s="36"/>
      <c r="D26" s="224"/>
    </row>
    <row r="27" spans="1:5" s="15" customFormat="1">
      <c r="A27" s="226" t="s">
        <v>784</v>
      </c>
      <c r="B27" s="37">
        <f>SUM(HH_hh_gas_aantal,HH_rest_gas_aantal)</f>
        <v>6820</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6479</v>
      </c>
      <c r="C31" s="34" t="s">
        <v>104</v>
      </c>
      <c r="D31" s="170"/>
    </row>
    <row r="32" spans="1:5">
      <c r="A32" s="167" t="s">
        <v>72</v>
      </c>
      <c r="B32" s="33">
        <f>IF((B21*($B$26-($B$27-0.05*$B$27)-$B$60))&lt;0,0,B21*($B$26-($B$27-0.05*$B$27)-$B$60))</f>
        <v>34.181716203524211</v>
      </c>
      <c r="C32" s="34" t="s">
        <v>104</v>
      </c>
      <c r="D32" s="170"/>
    </row>
    <row r="33" spans="1:6">
      <c r="A33" s="167" t="s">
        <v>73</v>
      </c>
      <c r="B33" s="33">
        <f>IF((B22*($B$26-($B$27-0.05*$B$27)-$B$60))&lt;0,0,B22*($B$26-($B$27-0.05*$B$27)-$B$60))</f>
        <v>555.04337351325057</v>
      </c>
      <c r="C33" s="34" t="s">
        <v>104</v>
      </c>
      <c r="D33" s="170"/>
    </row>
    <row r="34" spans="1:6">
      <c r="A34" s="167" t="s">
        <v>74</v>
      </c>
      <c r="B34" s="33">
        <f>IF((B24*($B$26-($B$27-0.05*$B$27)-$B$60))&lt;0,0,B24*($B$26-($B$27-0.05*$B$27)-$B$60))</f>
        <v>242.69786116317323</v>
      </c>
      <c r="C34" s="33">
        <f>B26*C24</f>
        <v>1472.0154025418988</v>
      </c>
      <c r="D34" s="229"/>
    </row>
    <row r="35" spans="1:6">
      <c r="A35" s="167" t="s">
        <v>76</v>
      </c>
      <c r="B35" s="33">
        <f>IF((B19*($B$26-($B$27-0.05*$B$27)-$B$60))&lt;0,0,B19*($B$26-($B$27-0.05*$B$27)-$B$60))</f>
        <v>14.858710542230014</v>
      </c>
      <c r="C35" s="33">
        <f>B35/2</f>
        <v>7.429355271115007</v>
      </c>
      <c r="D35" s="229"/>
    </row>
    <row r="36" spans="1:6">
      <c r="A36" s="167" t="s">
        <v>77</v>
      </c>
      <c r="B36" s="33">
        <f>IF((B18*($B$26-($B$27-0.05*$B$27)-$B$60))&lt;0,0,B18*($B$26-($B$27-0.05*$B$27)-$B$60))</f>
        <v>1369.2183385778214</v>
      </c>
      <c r="C36" s="34" t="s">
        <v>104</v>
      </c>
      <c r="D36" s="170"/>
    </row>
    <row r="37" spans="1:6">
      <c r="A37" s="167" t="s">
        <v>78</v>
      </c>
      <c r="B37" s="33">
        <f>B60</f>
        <v>67</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193</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67</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19461.912462884648</v>
      </c>
      <c r="C5" s="17">
        <f>IF(ISERROR('Eigen informatie GS &amp; warmtenet'!B60),0,'Eigen informatie GS &amp; warmtenet'!B60)</f>
        <v>0</v>
      </c>
      <c r="D5" s="30">
        <f>SUM(D6:D12)</f>
        <v>28492.067196566193</v>
      </c>
      <c r="E5" s="17">
        <f>SUM(E6:E12)</f>
        <v>85.424525880684584</v>
      </c>
      <c r="F5" s="17">
        <f>SUM(F6:F12)</f>
        <v>5857.5721142451011</v>
      </c>
      <c r="G5" s="18"/>
      <c r="H5" s="17"/>
      <c r="I5" s="17"/>
      <c r="J5" s="17">
        <f>SUM(J6:J12)</f>
        <v>4.8592645608401937E-2</v>
      </c>
      <c r="K5" s="17"/>
      <c r="L5" s="17"/>
      <c r="M5" s="17"/>
      <c r="N5" s="17">
        <f>SUM(N6:N12)</f>
        <v>1673.7796727481627</v>
      </c>
      <c r="O5" s="17">
        <f>B38*B39*B40</f>
        <v>9.7945215316823084</v>
      </c>
      <c r="P5" s="17">
        <f>B46*B47*B48/1000-B46*B47*B48/1000/B49</f>
        <v>105.07827661299004</v>
      </c>
      <c r="R5" s="32"/>
    </row>
    <row r="6" spans="1:18">
      <c r="A6" s="32" t="s">
        <v>53</v>
      </c>
      <c r="B6" s="37">
        <f>B26</f>
        <v>8060.1992286933701</v>
      </c>
      <c r="C6" s="33"/>
      <c r="D6" s="37">
        <f>IF(ISERROR(TER_kantoor_gas_kWh/1000),0,TER_kantoor_gas_kWh/1000)*0.903</f>
        <v>15803.330377944945</v>
      </c>
      <c r="E6" s="33">
        <f>$C$26*'E Balans VL '!I12/100/3.6*1000000</f>
        <v>1.9602974988385695</v>
      </c>
      <c r="F6" s="33">
        <f>$C$26*('E Balans VL '!L12+'E Balans VL '!N12)/100/3.6*1000000</f>
        <v>771.81511443636634</v>
      </c>
      <c r="G6" s="34"/>
      <c r="H6" s="33"/>
      <c r="I6" s="33"/>
      <c r="J6" s="33">
        <f>$C$26*('E Balans VL '!D12+'E Balans VL '!E12)/100/3.6*1000000</f>
        <v>0</v>
      </c>
      <c r="K6" s="33"/>
      <c r="L6" s="33"/>
      <c r="M6" s="33"/>
      <c r="N6" s="33">
        <f>$C$26*'E Balans VL '!Y12/100/3.6*1000000</f>
        <v>4.0919537033891986</v>
      </c>
      <c r="O6" s="33"/>
      <c r="P6" s="33"/>
      <c r="R6" s="32"/>
    </row>
    <row r="7" spans="1:18">
      <c r="A7" s="32" t="s">
        <v>52</v>
      </c>
      <c r="B7" s="37">
        <f t="shared" ref="B7:B12" si="0">B27</f>
        <v>912.479013172284</v>
      </c>
      <c r="C7" s="33"/>
      <c r="D7" s="37">
        <f>IF(ISERROR(TER_horeca_gas_kWh/1000),0,TER_horeca_gas_kWh/1000)*0.903</f>
        <v>2336.0533080553228</v>
      </c>
      <c r="E7" s="33">
        <f>$C$27*'E Balans VL '!I9/100/3.6*1000000</f>
        <v>0</v>
      </c>
      <c r="F7" s="33">
        <f>$C$27*('E Balans VL '!L9+'E Balans VL '!N9)/100/3.6*1000000</f>
        <v>74.840697434618875</v>
      </c>
      <c r="G7" s="34"/>
      <c r="H7" s="33"/>
      <c r="I7" s="33"/>
      <c r="J7" s="33">
        <f>$C$27*('E Balans VL '!D9+'E Balans VL '!E9)/100/3.6*1000000</f>
        <v>0</v>
      </c>
      <c r="K7" s="33"/>
      <c r="L7" s="33"/>
      <c r="M7" s="33"/>
      <c r="N7" s="33">
        <f>$C$27*'E Balans VL '!Y9/100/3.6*1000000</f>
        <v>5.992981354141282</v>
      </c>
      <c r="O7" s="33"/>
      <c r="P7" s="33"/>
      <c r="R7" s="32"/>
    </row>
    <row r="8" spans="1:18">
      <c r="A8" s="6" t="s">
        <v>51</v>
      </c>
      <c r="B8" s="37">
        <f t="shared" si="0"/>
        <v>3634.9914380035898</v>
      </c>
      <c r="C8" s="33"/>
      <c r="D8" s="37">
        <f>IF(ISERROR(TER_handel_gas_kWh/1000),0,TER_handel_gas_kWh/1000)*0.903</f>
        <v>2379.260698858041</v>
      </c>
      <c r="E8" s="33">
        <f>$C$28*'E Balans VL '!I13/100/3.6*1000000</f>
        <v>12.849883045112852</v>
      </c>
      <c r="F8" s="33">
        <f>$C$28*('E Balans VL '!L13+'E Balans VL '!N13)/100/3.6*1000000</f>
        <v>334.70495335818242</v>
      </c>
      <c r="G8" s="34"/>
      <c r="H8" s="33"/>
      <c r="I8" s="33"/>
      <c r="J8" s="33">
        <f>$C$28*('E Balans VL '!D13+'E Balans VL '!E13)/100/3.6*1000000</f>
        <v>0</v>
      </c>
      <c r="K8" s="33"/>
      <c r="L8" s="33"/>
      <c r="M8" s="33"/>
      <c r="N8" s="33">
        <f>$C$28*'E Balans VL '!Y13/100/3.6*1000000</f>
        <v>1.3164374066068292</v>
      </c>
      <c r="O8" s="33"/>
      <c r="P8" s="33"/>
      <c r="R8" s="32"/>
    </row>
    <row r="9" spans="1:18">
      <c r="A9" s="32" t="s">
        <v>50</v>
      </c>
      <c r="B9" s="37">
        <f t="shared" si="0"/>
        <v>328.91531880625098</v>
      </c>
      <c r="C9" s="33"/>
      <c r="D9" s="37">
        <f>IF(ISERROR(TER_gezond_gas_kWh/1000),0,TER_gezond_gas_kWh/1000)*0.903</f>
        <v>1191.7420857806851</v>
      </c>
      <c r="E9" s="33">
        <f>$C$29*'E Balans VL '!I10/100/3.6*1000000</f>
        <v>0</v>
      </c>
      <c r="F9" s="33">
        <f>$C$29*('E Balans VL '!L10+'E Balans VL '!N10)/100/3.6*1000000</f>
        <v>40.40590407236035</v>
      </c>
      <c r="G9" s="34"/>
      <c r="H9" s="33"/>
      <c r="I9" s="33"/>
      <c r="J9" s="33">
        <f>$C$29*('E Balans VL '!D10+'E Balans VL '!E10)/100/3.6*1000000</f>
        <v>0</v>
      </c>
      <c r="K9" s="33"/>
      <c r="L9" s="33"/>
      <c r="M9" s="33"/>
      <c r="N9" s="33">
        <f>$C$29*'E Balans VL '!Y10/100/3.6*1000000</f>
        <v>2.4255212699657775</v>
      </c>
      <c r="O9" s="33"/>
      <c r="P9" s="33"/>
      <c r="R9" s="32"/>
    </row>
    <row r="10" spans="1:18">
      <c r="A10" s="32" t="s">
        <v>49</v>
      </c>
      <c r="B10" s="37">
        <f t="shared" si="0"/>
        <v>4920.3656082619</v>
      </c>
      <c r="C10" s="33"/>
      <c r="D10" s="37">
        <f>IF(ISERROR(TER_ander_gas_kWh/1000),0,TER_ander_gas_kWh/1000)*0.903</f>
        <v>5642.1990658139102</v>
      </c>
      <c r="E10" s="33">
        <f>$C$30*'E Balans VL '!I14/100/3.6*1000000</f>
        <v>70.614345336733166</v>
      </c>
      <c r="F10" s="33">
        <f>$C$30*('E Balans VL '!L14+'E Balans VL '!N14)/100/3.6*1000000</f>
        <v>4448.1662914350491</v>
      </c>
      <c r="G10" s="34"/>
      <c r="H10" s="33"/>
      <c r="I10" s="33"/>
      <c r="J10" s="33">
        <f>$C$30*('E Balans VL '!D14+'E Balans VL '!E14)/100/3.6*1000000</f>
        <v>4.8592645608401937E-2</v>
      </c>
      <c r="K10" s="33"/>
      <c r="L10" s="33"/>
      <c r="M10" s="33"/>
      <c r="N10" s="33">
        <f>$C$30*'E Balans VL '!Y14/100/3.6*1000000</f>
        <v>1655.4333907274358</v>
      </c>
      <c r="O10" s="33"/>
      <c r="P10" s="33"/>
      <c r="R10" s="32"/>
    </row>
    <row r="11" spans="1:18">
      <c r="A11" s="32" t="s">
        <v>54</v>
      </c>
      <c r="B11" s="37">
        <f t="shared" si="0"/>
        <v>1604.9618559472501</v>
      </c>
      <c r="C11" s="33"/>
      <c r="D11" s="37">
        <f>IF(ISERROR(TER_onderwijs_gas_kWh/1000),0,TER_onderwijs_gas_kWh/1000)*0.903</f>
        <v>1139.4816601132882</v>
      </c>
      <c r="E11" s="33">
        <f>$C$31*'E Balans VL '!I11/100/3.6*1000000</f>
        <v>0</v>
      </c>
      <c r="F11" s="33">
        <f>$C$31*('E Balans VL '!L11+'E Balans VL '!N11)/100/3.6*1000000</f>
        <v>187.63915350852372</v>
      </c>
      <c r="G11" s="34"/>
      <c r="H11" s="33"/>
      <c r="I11" s="33"/>
      <c r="J11" s="33">
        <f>$C$31*('E Balans VL '!D11+'E Balans VL '!E11)/100/3.6*1000000</f>
        <v>0</v>
      </c>
      <c r="K11" s="33"/>
      <c r="L11" s="33"/>
      <c r="M11" s="33"/>
      <c r="N11" s="33">
        <f>$C$31*'E Balans VL '!Y11/100/3.6*1000000</f>
        <v>4.5193882866238342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19461.912462884648</v>
      </c>
      <c r="C16" s="21">
        <f t="shared" ca="1" si="1"/>
        <v>0</v>
      </c>
      <c r="D16" s="21">
        <f t="shared" ca="1" si="1"/>
        <v>28492.067196566193</v>
      </c>
      <c r="E16" s="21">
        <f t="shared" si="1"/>
        <v>85.424525880684584</v>
      </c>
      <c r="F16" s="21">
        <f t="shared" ca="1" si="1"/>
        <v>5857.5721142451011</v>
      </c>
      <c r="G16" s="21">
        <f t="shared" si="1"/>
        <v>0</v>
      </c>
      <c r="H16" s="21">
        <f t="shared" si="1"/>
        <v>0</v>
      </c>
      <c r="I16" s="21">
        <f t="shared" si="1"/>
        <v>0</v>
      </c>
      <c r="J16" s="21">
        <f t="shared" si="1"/>
        <v>4.8592645608401937E-2</v>
      </c>
      <c r="K16" s="21">
        <f t="shared" si="1"/>
        <v>0</v>
      </c>
      <c r="L16" s="21">
        <f t="shared" ca="1" si="1"/>
        <v>0</v>
      </c>
      <c r="M16" s="21">
        <f t="shared" si="1"/>
        <v>0</v>
      </c>
      <c r="N16" s="21">
        <f t="shared" ca="1" si="1"/>
        <v>1673.7796727481627</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0.20940566808481362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4075.4347814985199</v>
      </c>
      <c r="C20" s="23">
        <f t="shared" ref="C20:P20" ca="1" si="2">C16*C18</f>
        <v>0</v>
      </c>
      <c r="D20" s="23">
        <f t="shared" ca="1" si="2"/>
        <v>5755.3975737063711</v>
      </c>
      <c r="E20" s="23">
        <f t="shared" si="2"/>
        <v>19.391367374915401</v>
      </c>
      <c r="F20" s="23">
        <f t="shared" ca="1" si="2"/>
        <v>1563.9717545034421</v>
      </c>
      <c r="G20" s="23">
        <f t="shared" si="2"/>
        <v>0</v>
      </c>
      <c r="H20" s="23">
        <f t="shared" si="2"/>
        <v>0</v>
      </c>
      <c r="I20" s="23">
        <f t="shared" si="2"/>
        <v>0</v>
      </c>
      <c r="J20" s="23">
        <f t="shared" si="2"/>
        <v>1.7201796545374286E-2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8060.1992286933701</v>
      </c>
      <c r="C26" s="39">
        <f>IF(ISERROR(B26*3.6/1000000/'E Balans VL '!Z12*100),0,B26*3.6/1000000/'E Balans VL '!Z12*100)</f>
        <v>0.22719622422442357</v>
      </c>
      <c r="D26" s="232" t="s">
        <v>660</v>
      </c>
      <c r="F26" s="6"/>
    </row>
    <row r="27" spans="1:18">
      <c r="A27" s="227" t="s">
        <v>52</v>
      </c>
      <c r="B27" s="33">
        <f>IF(ISERROR(TER_horeca_ele_kWh/1000),0,TER_horeca_ele_kWh/1000)</f>
        <v>912.479013172284</v>
      </c>
      <c r="C27" s="39">
        <f>IF(ISERROR(B27*3.6/1000000/'E Balans VL '!Z9*100),0,B27*3.6/1000000/'E Balans VL '!Z9*100)</f>
        <v>6.764910931656859E-2</v>
      </c>
      <c r="D27" s="232" t="s">
        <v>660</v>
      </c>
      <c r="F27" s="6"/>
    </row>
    <row r="28" spans="1:18">
      <c r="A28" s="167" t="s">
        <v>51</v>
      </c>
      <c r="B28" s="33">
        <f>IF(ISERROR(TER_handel_ele_kWh/1000),0,TER_handel_ele_kWh/1000)</f>
        <v>3634.9914380035898</v>
      </c>
      <c r="C28" s="39">
        <f>IF(ISERROR(B28*3.6/1000000/'E Balans VL '!Z13*100),0,B28*3.6/1000000/'E Balans VL '!Z13*100)</f>
        <v>0.10889570096776849</v>
      </c>
      <c r="D28" s="232" t="s">
        <v>660</v>
      </c>
      <c r="F28" s="6"/>
    </row>
    <row r="29" spans="1:18">
      <c r="A29" s="227" t="s">
        <v>50</v>
      </c>
      <c r="B29" s="33">
        <f>IF(ISERROR(TER_gezond_ele_kWh/1000),0,TER_gezond_ele_kWh/1000)</f>
        <v>328.91531880625098</v>
      </c>
      <c r="C29" s="39">
        <f>IF(ISERROR(B29*3.6/1000000/'E Balans VL '!Z10*100),0,B29*3.6/1000000/'E Balans VL '!Z10*100)</f>
        <v>3.2523275641300274E-2</v>
      </c>
      <c r="D29" s="232" t="s">
        <v>660</v>
      </c>
      <c r="F29" s="6"/>
    </row>
    <row r="30" spans="1:18">
      <c r="A30" s="227" t="s">
        <v>49</v>
      </c>
      <c r="B30" s="33">
        <f>IF(ISERROR(TER_ander_ele_kWh/1000),0,TER_ander_ele_kWh/1000)</f>
        <v>4920.3656082619</v>
      </c>
      <c r="C30" s="39">
        <f>IF(ISERROR(B30*3.6/1000000/'E Balans VL '!Z14*100),0,B30*3.6/1000000/'E Balans VL '!Z14*100)</f>
        <v>0.19901424822553693</v>
      </c>
      <c r="D30" s="232" t="s">
        <v>660</v>
      </c>
      <c r="F30" s="6"/>
    </row>
    <row r="31" spans="1:18">
      <c r="A31" s="227" t="s">
        <v>54</v>
      </c>
      <c r="B31" s="33">
        <f>IF(ISERROR(TER_onderwijs_ele_kWh/1000),0,TER_onderwijs_ele_kWh/1000)</f>
        <v>1604.9618559472501</v>
      </c>
      <c r="C31" s="39">
        <f>IF(ISERROR(B31*3.6/1000000/'E Balans VL '!Z11*100),0,B31*3.6/1000000/'E Balans VL '!Z11*100)</f>
        <v>0.4409532142513351</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1599.9003537840422</v>
      </c>
      <c r="C5" s="17">
        <f>IF(ISERROR('Eigen informatie GS &amp; warmtenet'!B61),0,'Eigen informatie GS &amp; warmtenet'!B61)</f>
        <v>0</v>
      </c>
      <c r="D5" s="30">
        <f>SUM(D6:D15)</f>
        <v>2631.3562090505825</v>
      </c>
      <c r="E5" s="17">
        <f>SUM(E6:E15)</f>
        <v>4.4040681120752811</v>
      </c>
      <c r="F5" s="17">
        <f>SUM(F6:F15)</f>
        <v>358.41533780506268</v>
      </c>
      <c r="G5" s="18"/>
      <c r="H5" s="17"/>
      <c r="I5" s="17"/>
      <c r="J5" s="17">
        <f>SUM(J6:J15)</f>
        <v>0.11214305248347045</v>
      </c>
      <c r="K5" s="17"/>
      <c r="L5" s="17"/>
      <c r="M5" s="17"/>
      <c r="N5" s="17">
        <f>SUM(N6:N15)</f>
        <v>55.295602950936377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110.024190158115</v>
      </c>
      <c r="C8" s="33"/>
      <c r="D8" s="37">
        <f>IF( ISERROR(IND_metaal_Gas_kWH/1000),0,IND_metaal_Gas_kWH/1000)*0.903</f>
        <v>120.55797543271873</v>
      </c>
      <c r="E8" s="33">
        <f>C30*'E Balans VL '!I18/100/3.6*1000000</f>
        <v>0.60132998902311907</v>
      </c>
      <c r="F8" s="33">
        <f>C30*'E Balans VL '!L18/100/3.6*1000000+C30*'E Balans VL '!N18/100/3.6*1000000</f>
        <v>7.5309919689216116</v>
      </c>
      <c r="G8" s="34"/>
      <c r="H8" s="33"/>
      <c r="I8" s="33"/>
      <c r="J8" s="40">
        <f>C30*'E Balans VL '!D18/100/3.6*1000000+C30*'E Balans VL '!E18/100/3.6*1000000</f>
        <v>0.10964652265816627</v>
      </c>
      <c r="K8" s="33"/>
      <c r="L8" s="33"/>
      <c r="M8" s="33"/>
      <c r="N8" s="33">
        <f>C30*'E Balans VL '!Y18/100/3.6*1000000</f>
        <v>1.6273107525295398</v>
      </c>
      <c r="O8" s="33"/>
      <c r="P8" s="33"/>
      <c r="R8" s="32"/>
    </row>
    <row r="9" spans="1:18">
      <c r="A9" s="6" t="s">
        <v>32</v>
      </c>
      <c r="B9" s="37">
        <f t="shared" si="0"/>
        <v>514.016445999344</v>
      </c>
      <c r="C9" s="33"/>
      <c r="D9" s="37">
        <f>IF( ISERROR(IND_andere_gas_kWh/1000),0,IND_andere_gas_kWh/1000)*0.903</f>
        <v>1449.9949166490201</v>
      </c>
      <c r="E9" s="33">
        <f>C31*'E Balans VL '!I19/100/3.6*1000000</f>
        <v>1.9343798145548874</v>
      </c>
      <c r="F9" s="33">
        <f>C31*'E Balans VL '!L19/100/3.6*1000000+C31*'E Balans VL '!N19/100/3.6*1000000</f>
        <v>330.83488491909156</v>
      </c>
      <c r="G9" s="34"/>
      <c r="H9" s="33"/>
      <c r="I9" s="33"/>
      <c r="J9" s="40">
        <f>C31*'E Balans VL '!D19/100/3.6*1000000+C31*'E Balans VL '!E19/100/3.6*1000000</f>
        <v>0</v>
      </c>
      <c r="K9" s="33"/>
      <c r="L9" s="33"/>
      <c r="M9" s="33"/>
      <c r="N9" s="33">
        <f>C31*'E Balans VL '!Y19/100/3.6*1000000</f>
        <v>18.56918806054599</v>
      </c>
      <c r="O9" s="33"/>
      <c r="P9" s="33"/>
      <c r="R9" s="32"/>
    </row>
    <row r="10" spans="1:18">
      <c r="A10" s="6" t="s">
        <v>40</v>
      </c>
      <c r="B10" s="37">
        <f t="shared" si="0"/>
        <v>943.81794197144802</v>
      </c>
      <c r="C10" s="33"/>
      <c r="D10" s="37">
        <f>IF( ISERROR(IND_voed_gas_kWh/1000),0,IND_voed_gas_kWh/1000)*0.903</f>
        <v>932.29495666601758</v>
      </c>
      <c r="E10" s="33">
        <f>C32*'E Balans VL '!I20/100/3.6*1000000</f>
        <v>1.8683583084972744</v>
      </c>
      <c r="F10" s="33">
        <f>C32*'E Balans VL '!L20/100/3.6*1000000+C32*'E Balans VL '!N20/100/3.6*1000000</f>
        <v>20.04553559727751</v>
      </c>
      <c r="G10" s="34"/>
      <c r="H10" s="33"/>
      <c r="I10" s="33"/>
      <c r="J10" s="40">
        <f>C32*'E Balans VL '!D20/100/3.6*1000000+C32*'E Balans VL '!E20/100/3.6*1000000</f>
        <v>0</v>
      </c>
      <c r="K10" s="33"/>
      <c r="L10" s="33"/>
      <c r="M10" s="33"/>
      <c r="N10" s="33">
        <f>C32*'E Balans VL '!Y20/100/3.6*1000000</f>
        <v>38.039449532010117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32.041775655135197</v>
      </c>
      <c r="C13" s="33"/>
      <c r="D13" s="37">
        <f>IF( ISERROR(IND_papier_gas_kWh/1000),0,IND_papier_gas_kWh/1000)*0.903</f>
        <v>128.50836030282616</v>
      </c>
      <c r="E13" s="33">
        <f>C35*'E Balans VL '!I23/100/3.6*1000000</f>
        <v>0</v>
      </c>
      <c r="F13" s="33">
        <f>C35*'E Balans VL '!L23/100/3.6*1000000+C35*'E Balans VL '!N23/100/3.6*1000000</f>
        <v>3.9253197719537327E-3</v>
      </c>
      <c r="G13" s="34"/>
      <c r="H13" s="33"/>
      <c r="I13" s="33"/>
      <c r="J13" s="40">
        <f>C35*'E Balans VL '!D23/100/3.6*1000000+C35*'E Balans VL '!E23/100/3.6*1000000</f>
        <v>2.4965298253041787E-3</v>
      </c>
      <c r="K13" s="33"/>
      <c r="L13" s="33"/>
      <c r="M13" s="33"/>
      <c r="N13" s="33">
        <f>C35*'E Balans VL '!Y23/100/3.6*1000000</f>
        <v>-2.9403453941492694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0</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1599.9003537840422</v>
      </c>
      <c r="C18" s="21">
        <f>C5+C16</f>
        <v>0</v>
      </c>
      <c r="D18" s="21">
        <f>MAX((D5+D16),0)</f>
        <v>2631.3562090505825</v>
      </c>
      <c r="E18" s="21">
        <f>MAX((E5+E16),0)</f>
        <v>4.4040681120752811</v>
      </c>
      <c r="F18" s="21">
        <f>MAX((F5+F16),0)</f>
        <v>358.41533780506268</v>
      </c>
      <c r="G18" s="21"/>
      <c r="H18" s="21"/>
      <c r="I18" s="21"/>
      <c r="J18" s="21">
        <f>MAX((J5+J16),0)</f>
        <v>0.11214305248347045</v>
      </c>
      <c r="K18" s="21"/>
      <c r="L18" s="21">
        <f>MAX((L5+L16),0)</f>
        <v>0</v>
      </c>
      <c r="M18" s="21"/>
      <c r="N18" s="21">
        <f>MAX((N5+N16),0)</f>
        <v>55.295602950936377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0.20940566808481362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335.028202453277</v>
      </c>
      <c r="C22" s="23">
        <f ca="1">C18*C20</f>
        <v>0</v>
      </c>
      <c r="D22" s="23">
        <f>D18*D20</f>
        <v>531.53395422821768</v>
      </c>
      <c r="E22" s="23">
        <f>E18*E20</f>
        <v>0.99972346144108881</v>
      </c>
      <c r="F22" s="23">
        <f>F18*F20</f>
        <v>95.696895193951747</v>
      </c>
      <c r="G22" s="23"/>
      <c r="H22" s="23"/>
      <c r="I22" s="23"/>
      <c r="J22" s="23">
        <f>J18*J20</f>
        <v>3.9698640579148535E-2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110.024190158115</v>
      </c>
      <c r="C30" s="39">
        <f>IF(ISERROR(B30*3.6/1000000/'E Balans VL '!Z18*100),0,B30*3.6/1000000/'E Balans VL '!Z18*100)</f>
        <v>6.1388410819501931E-3</v>
      </c>
      <c r="D30" s="232" t="s">
        <v>660</v>
      </c>
    </row>
    <row r="31" spans="1:18">
      <c r="A31" s="6" t="s">
        <v>32</v>
      </c>
      <c r="B31" s="37">
        <f>IF( ISERROR(IND_ander_ele_kWh/1000),0,IND_ander_ele_kWh/1000)</f>
        <v>514.016445999344</v>
      </c>
      <c r="C31" s="39">
        <f>IF(ISERROR(B31*3.6/1000000/'E Balans VL '!Z19*100),0,B31*3.6/1000000/'E Balans VL '!Z19*100)</f>
        <v>2.0922055478305314E-2</v>
      </c>
      <c r="D31" s="232" t="s">
        <v>660</v>
      </c>
    </row>
    <row r="32" spans="1:18">
      <c r="A32" s="167" t="s">
        <v>40</v>
      </c>
      <c r="B32" s="37">
        <f>IF( ISERROR(IND_voed_ele_kWh/1000),0,IND_voed_ele_kWh/1000)</f>
        <v>943.81794197144802</v>
      </c>
      <c r="C32" s="39">
        <f>IF(ISERROR(B32*3.6/1000000/'E Balans VL '!Z20*100),0,B32*3.6/1000000/'E Balans VL '!Z20*100)</f>
        <v>2.7450794894004499E-2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32.041775655135197</v>
      </c>
      <c r="C35" s="39">
        <f>IF(ISERROR(B35*3.6/1000000/'E Balans VL '!Z22*100),0,B35*3.6/1000000/'E Balans VL '!Z22*100)</f>
        <v>1.2853839445641068E-2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0</v>
      </c>
      <c r="C37" s="39">
        <f>IF(ISERROR(B37*3.6/1000000/'E Balans VL '!Z15*100),0,B37*3.6/1000000/'E Balans VL '!Z15*100)</f>
        <v>0</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144.732322343189</v>
      </c>
      <c r="C5" s="17">
        <f>'Eigen informatie GS &amp; warmtenet'!B62</f>
        <v>0</v>
      </c>
      <c r="D5" s="30">
        <f>IF(ISERROR(SUM(LB_lb_gas_kWh,LB_rest_gas_kWh)/1000),0,SUM(LB_lb_gas_kWh,LB_rest_gas_kWh)/1000)*0.903</f>
        <v>89.832295789370647</v>
      </c>
      <c r="E5" s="17">
        <f>B17*'E Balans VL '!I25/3.6*1000000/100</f>
        <v>4.2671180397444175</v>
      </c>
      <c r="F5" s="17">
        <f>B17*('E Balans VL '!L25/3.6*1000000+'E Balans VL '!N25/3.6*1000000)/100</f>
        <v>460.01075670447887</v>
      </c>
      <c r="G5" s="18"/>
      <c r="H5" s="17"/>
      <c r="I5" s="17"/>
      <c r="J5" s="17">
        <f>('E Balans VL '!D25+'E Balans VL '!E25)/3.6*1000000*landbouw!B17/100</f>
        <v>36.500602930460289</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144.732322343189</v>
      </c>
      <c r="C8" s="21">
        <f>C5+C6</f>
        <v>0</v>
      </c>
      <c r="D8" s="21">
        <f>MAX((D5+D6),0)</f>
        <v>89.832295789370647</v>
      </c>
      <c r="E8" s="21">
        <f>MAX((E5+E6),0)</f>
        <v>4.2671180397444175</v>
      </c>
      <c r="F8" s="21">
        <f>MAX((F5+F6),0)</f>
        <v>460.01075670447887</v>
      </c>
      <c r="G8" s="21"/>
      <c r="H8" s="21"/>
      <c r="I8" s="21"/>
      <c r="J8" s="21">
        <f>MAX((J5+J6),0)</f>
        <v>36.500602930460289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0.20940566808481362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30.307768653742087</v>
      </c>
      <c r="C12" s="23">
        <f ca="1">C8*C10</f>
        <v>0</v>
      </c>
      <c r="D12" s="23">
        <f>D8*D10</f>
        <v>18.146123749452872</v>
      </c>
      <c r="E12" s="23">
        <f>E8*E10</f>
        <v>0.96863579502198283</v>
      </c>
      <c r="F12" s="23">
        <f>F8*F10</f>
        <v>122.82287204009586</v>
      </c>
      <c r="G12" s="23"/>
      <c r="H12" s="23"/>
      <c r="I12" s="23"/>
      <c r="J12" s="23">
        <f>J8*J10</f>
        <v>12.921213437382942</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1.9878606792185425E-2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31.961014494531646</v>
      </c>
      <c r="C26" s="242">
        <f>B26*'GWP N2O_CH4'!B5</f>
        <v>671.18130438516459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3.6670262091053911</v>
      </c>
      <c r="C27" s="242">
        <f>B27*'GWP N2O_CH4'!B5</f>
        <v>77.007550391213215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0.49530172289650443</v>
      </c>
      <c r="C28" s="242">
        <f>B28*'GWP N2O_CH4'!B4</f>
        <v>153.54353409791636</v>
      </c>
      <c r="D28" s="50"/>
    </row>
    <row r="29" spans="1:4">
      <c r="A29" s="41" t="s">
        <v>266</v>
      </c>
      <c r="B29" s="242">
        <f>B34*'ha_N2O bodem landbouw'!B4</f>
        <v>4.6940110981443963</v>
      </c>
      <c r="C29" s="242">
        <f>B29*'GWP N2O_CH4'!B4</f>
        <v>1455.143440424763</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1.0697785344797488E-3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1.537863789835933E-3</v>
      </c>
      <c r="C5" s="430" t="s">
        <v>204</v>
      </c>
      <c r="D5" s="415">
        <f>SUM(D6:D11)</f>
        <v>2.5712465036891461E-3</v>
      </c>
      <c r="E5" s="415">
        <f>SUM(E6:E11)</f>
        <v>1.5521166179919737E-3</v>
      </c>
      <c r="F5" s="428" t="s">
        <v>204</v>
      </c>
      <c r="G5" s="415">
        <f>SUM(G6:G11)</f>
        <v>0.56256555466729286</v>
      </c>
      <c r="H5" s="415">
        <f>SUM(H6:H11)</f>
        <v>0.17318054158449966</v>
      </c>
      <c r="I5" s="430" t="s">
        <v>204</v>
      </c>
      <c r="J5" s="430" t="s">
        <v>204</v>
      </c>
      <c r="K5" s="430" t="s">
        <v>204</v>
      </c>
      <c r="L5" s="430" t="s">
        <v>204</v>
      </c>
      <c r="M5" s="415">
        <f>SUM(M6:M11)</f>
        <v>4.3712199163313543E-2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2.9109959708063045E-4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5.0801139434041899E-4</v>
      </c>
      <c r="E6" s="844">
        <f>vkm_GW_PW*SUMIFS(TableVerdeelsleutelVkm[LPG],TableVerdeelsleutelVkm[Voertuigtype],"Lichte voertuigen")*SUMIFS(TableECFTransport[EnergieConsumptieFactor (PJ per km)],TableECFTransport[Index],CONCATENATE($A6,"_LPG_LPG"))</f>
        <v>2.7932022345626142E-4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8.5967591974375882E-2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3.3541015499779579E-2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7.1717755164443396E-3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1.9098842616127317E-7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7.9045230390757688E-3</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8.6629646239026916E-8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4.450372656296729E-4</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3.6544918132272496E-4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8.1757594585082991E-4</v>
      </c>
      <c r="E8" s="418">
        <f>vkm_NGW_PW*SUMIFS(TableVerdeelsleutelVkm[LPG],TableVerdeelsleutelVkm[Voertuigtype],"Lichte voertuigen")*SUMIFS(TableECFTransport[EnergieConsumptieFactor (PJ per km)],TableECFTransport[Index],CONCATENATE($A8,"_LPG_LPG"))</f>
        <v>4.293495586195189E-4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0.12211341208602311</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5.3137469379478809E-2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1.0569135674797083E-2</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4.0541106070084995E-8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2.1607350519758225E-3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2.2195837185840908E-8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1.2165272953748173E-4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8.7823786710607827E-4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1.245659163497897E-3</v>
      </c>
      <c r="E10" s="418">
        <f>vkm_SW_PW*SUMIFS(TableVerdeelsleutelVkm[LPG],TableVerdeelsleutelVkm[Voertuigtype],"Lichte voertuigen")*SUMIFS(TableECFTransport[EnergieConsumptieFactor (PJ per km)],TableECFTransport[Index],CONCATENATE($A10,"_LPG_LPG"))</f>
        <v>8.4344683591619323E-4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0.23315692035228394</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8.6500619366048456E-2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1.9140341221564716E-2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2.8456147942677899E-6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0.11126237216355832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1.3285137093921093E-6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6.2642567553402497E-3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427.1843860655369</v>
      </c>
      <c r="C14" s="21"/>
      <c r="D14" s="21">
        <f t="shared" ref="D14:M14" si="0">((D5)*10^9/3600)+D12</f>
        <v>714.23513991365166</v>
      </c>
      <c r="E14" s="21">
        <f t="shared" si="0"/>
        <v>431.14350499777044</v>
      </c>
      <c r="F14" s="21"/>
      <c r="G14" s="21">
        <f t="shared" si="0"/>
        <v>156268.20962980358</v>
      </c>
      <c r="H14" s="21">
        <f t="shared" si="0"/>
        <v>48105.705995694349</v>
      </c>
      <c r="I14" s="21"/>
      <c r="J14" s="21"/>
      <c r="K14" s="21"/>
      <c r="L14" s="21"/>
      <c r="M14" s="21">
        <f t="shared" si="0"/>
        <v>12142.277545364874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0.20940566808481362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89.454831759454706</v>
      </c>
      <c r="C18" s="23"/>
      <c r="D18" s="23">
        <f t="shared" ref="D18:M18" si="1">D14*D16</f>
        <v>144.27549826255765</v>
      </c>
      <c r="E18" s="23">
        <f t="shared" si="1"/>
        <v>97.869575634493899</v>
      </c>
      <c r="F18" s="23"/>
      <c r="G18" s="23">
        <f t="shared" si="1"/>
        <v>41723.611971157559</v>
      </c>
      <c r="H18" s="23">
        <f t="shared" si="1"/>
        <v>11978.320792927892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2.0866133971780888E-4</v>
      </c>
      <c r="C50" s="313">
        <f t="shared" ref="C50:P50" si="2">SUM(C51:C52)</f>
        <v>0</v>
      </c>
      <c r="D50" s="313">
        <f t="shared" si="2"/>
        <v>0</v>
      </c>
      <c r="E50" s="313">
        <f t="shared" si="2"/>
        <v>0</v>
      </c>
      <c r="F50" s="313">
        <f t="shared" si="2"/>
        <v>0</v>
      </c>
      <c r="G50" s="313">
        <f t="shared" si="2"/>
        <v>1.4893870492284248E-2</v>
      </c>
      <c r="H50" s="313">
        <f t="shared" si="2"/>
        <v>0</v>
      </c>
      <c r="I50" s="313">
        <f t="shared" si="2"/>
        <v>0</v>
      </c>
      <c r="J50" s="313">
        <f t="shared" si="2"/>
        <v>0</v>
      </c>
      <c r="K50" s="313">
        <f t="shared" si="2"/>
        <v>0</v>
      </c>
      <c r="L50" s="313">
        <f t="shared" si="2"/>
        <v>0</v>
      </c>
      <c r="M50" s="313">
        <f t="shared" si="2"/>
        <v>8.2241858603257349E-4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2.0866133971780888E-4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1.4893870492284248E-2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8.2241858603257349E-4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57.961483254946913</v>
      </c>
      <c r="C54" s="21">
        <f t="shared" ref="C54:P54" si="3">(C50)*10^9/3600</f>
        <v>0</v>
      </c>
      <c r="D54" s="21">
        <f t="shared" si="3"/>
        <v>0</v>
      </c>
      <c r="E54" s="21">
        <f t="shared" si="3"/>
        <v>0</v>
      </c>
      <c r="F54" s="21">
        <f t="shared" si="3"/>
        <v>0</v>
      </c>
      <c r="G54" s="21">
        <f t="shared" si="3"/>
        <v>4137.1862478567355</v>
      </c>
      <c r="H54" s="21">
        <f t="shared" si="3"/>
        <v>0</v>
      </c>
      <c r="I54" s="21">
        <f t="shared" si="3"/>
        <v>0</v>
      </c>
      <c r="J54" s="21">
        <f t="shared" si="3"/>
        <v>0</v>
      </c>
      <c r="K54" s="21">
        <f t="shared" si="3"/>
        <v>0</v>
      </c>
      <c r="L54" s="21">
        <f t="shared" si="3"/>
        <v>0</v>
      </c>
      <c r="M54" s="21">
        <f t="shared" si="3"/>
        <v>228.44960723127042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0.20940566808481362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12.137463124188896</v>
      </c>
      <c r="C58" s="23">
        <f t="shared" ref="C58:P58" ca="1" si="4">C54*C56</f>
        <v>0</v>
      </c>
      <c r="D58" s="23">
        <f t="shared" si="4"/>
        <v>0</v>
      </c>
      <c r="E58" s="23">
        <f t="shared" si="4"/>
        <v>0</v>
      </c>
      <c r="F58" s="23">
        <f t="shared" si="4"/>
        <v>0</v>
      </c>
      <c r="G58" s="23">
        <f t="shared" si="4"/>
        <v>1104.6287281777484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3139.0114510839876</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3139.0114510839876</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20405.001462884647</v>
      </c>
      <c r="D10" s="642">
        <f ca="1">tertiair!C16</f>
        <v>0</v>
      </c>
      <c r="E10" s="642">
        <f ca="1">tertiair!D16</f>
        <v>28492.067196566193</v>
      </c>
      <c r="F10" s="642">
        <f>tertiair!E16</f>
        <v>85.424525880684584</v>
      </c>
      <c r="G10" s="642">
        <f ca="1">tertiair!F16</f>
        <v>5857.5721142451011</v>
      </c>
      <c r="H10" s="642">
        <f>tertiair!G16</f>
        <v>0</v>
      </c>
      <c r="I10" s="642">
        <f>tertiair!H16</f>
        <v>0</v>
      </c>
      <c r="J10" s="642">
        <f>tertiair!I16</f>
        <v>0</v>
      </c>
      <c r="K10" s="642">
        <f>tertiair!J16</f>
        <v>4.8592645608401937E-2</v>
      </c>
      <c r="L10" s="642">
        <f>tertiair!K16</f>
        <v>0</v>
      </c>
      <c r="M10" s="642">
        <f ca="1">tertiair!L16</f>
        <v>0</v>
      </c>
      <c r="N10" s="642">
        <f>tertiair!M16</f>
        <v>0</v>
      </c>
      <c r="O10" s="642">
        <f ca="1">tertiair!N16</f>
        <v>1673.7796727481627</v>
      </c>
      <c r="P10" s="642">
        <f>tertiair!O16</f>
        <v>9.7945215316823084</v>
      </c>
      <c r="Q10" s="643">
        <f>tertiair!P16</f>
        <v>105.07827661299004</v>
      </c>
      <c r="R10" s="645">
        <f ca="1">SUM(C10:Q10)</f>
        <v>56628.766363115072</v>
      </c>
      <c r="S10" s="67"/>
    </row>
    <row r="11" spans="1:19" s="441" customFormat="1">
      <c r="A11" s="762" t="s">
        <v>214</v>
      </c>
      <c r="B11" s="767"/>
      <c r="C11" s="642">
        <f>huishoudens!B8</f>
        <v>35502.255454276616</v>
      </c>
      <c r="D11" s="642">
        <f>huishoudens!C8</f>
        <v>0</v>
      </c>
      <c r="E11" s="642">
        <f>huishoudens!D8</f>
        <v>130191.92260763767</v>
      </c>
      <c r="F11" s="642">
        <f>huishoudens!E8</f>
        <v>1732.6560700901514</v>
      </c>
      <c r="G11" s="642">
        <f>huishoudens!F8</f>
        <v>28394.216555676183</v>
      </c>
      <c r="H11" s="642">
        <f>huishoudens!G8</f>
        <v>0</v>
      </c>
      <c r="I11" s="642">
        <f>huishoudens!H8</f>
        <v>0</v>
      </c>
      <c r="J11" s="642">
        <f>huishoudens!I8</f>
        <v>0</v>
      </c>
      <c r="K11" s="642">
        <f>huishoudens!J8</f>
        <v>156.72184474697755</v>
      </c>
      <c r="L11" s="642">
        <f>huishoudens!K8</f>
        <v>0</v>
      </c>
      <c r="M11" s="642">
        <f>huishoudens!L8</f>
        <v>0</v>
      </c>
      <c r="N11" s="642">
        <f>huishoudens!M8</f>
        <v>0</v>
      </c>
      <c r="O11" s="642">
        <f>huishoudens!N8</f>
        <v>10531.937306091178</v>
      </c>
      <c r="P11" s="642">
        <f>huishoudens!O8</f>
        <v>382.90393634169709</v>
      </c>
      <c r="Q11" s="643">
        <f>huishoudens!P8</f>
        <v>705.77527361489661</v>
      </c>
      <c r="R11" s="645">
        <f>SUM(C11:Q11)</f>
        <v>207598.38904847536</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1599.9003537840422</v>
      </c>
      <c r="D13" s="642">
        <f>industrie!C18</f>
        <v>0</v>
      </c>
      <c r="E13" s="642">
        <f>industrie!D18</f>
        <v>2631.3562090505825</v>
      </c>
      <c r="F13" s="642">
        <f>industrie!E18</f>
        <v>4.4040681120752811</v>
      </c>
      <c r="G13" s="642">
        <f>industrie!F18</f>
        <v>358.41533780506268</v>
      </c>
      <c r="H13" s="642">
        <f>industrie!G18</f>
        <v>0</v>
      </c>
      <c r="I13" s="642">
        <f>industrie!H18</f>
        <v>0</v>
      </c>
      <c r="J13" s="642">
        <f>industrie!I18</f>
        <v>0</v>
      </c>
      <c r="K13" s="642">
        <f>industrie!J18</f>
        <v>0.11214305248347045</v>
      </c>
      <c r="L13" s="642">
        <f>industrie!K18</f>
        <v>0</v>
      </c>
      <c r="M13" s="642">
        <f>industrie!L18</f>
        <v>0</v>
      </c>
      <c r="N13" s="642">
        <f>industrie!M18</f>
        <v>0</v>
      </c>
      <c r="O13" s="642">
        <f>industrie!N18</f>
        <v>55.295602950936377</v>
      </c>
      <c r="P13" s="642">
        <f>industrie!O18</f>
        <v>0</v>
      </c>
      <c r="Q13" s="643">
        <f>industrie!P18</f>
        <v>0</v>
      </c>
      <c r="R13" s="645">
        <f>SUM(C13:Q13)</f>
        <v>4649.4837147551816</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57507.157270945303</v>
      </c>
      <c r="D16" s="678">
        <f t="shared" ref="D16:R16" ca="1" si="0">SUM(D9:D15)</f>
        <v>0</v>
      </c>
      <c r="E16" s="678">
        <f t="shared" ca="1" si="0"/>
        <v>161315.34601325443</v>
      </c>
      <c r="F16" s="678">
        <f t="shared" si="0"/>
        <v>1822.4846640829112</v>
      </c>
      <c r="G16" s="678">
        <f t="shared" ca="1" si="0"/>
        <v>34610.204007726345</v>
      </c>
      <c r="H16" s="678">
        <f t="shared" si="0"/>
        <v>0</v>
      </c>
      <c r="I16" s="678">
        <f t="shared" si="0"/>
        <v>0</v>
      </c>
      <c r="J16" s="678">
        <f t="shared" si="0"/>
        <v>0</v>
      </c>
      <c r="K16" s="678">
        <f t="shared" si="0"/>
        <v>156.88258044506944</v>
      </c>
      <c r="L16" s="678">
        <f t="shared" si="0"/>
        <v>0</v>
      </c>
      <c r="M16" s="678">
        <f t="shared" ca="1" si="0"/>
        <v>0</v>
      </c>
      <c r="N16" s="678">
        <f t="shared" si="0"/>
        <v>0</v>
      </c>
      <c r="O16" s="678">
        <f t="shared" ca="1" si="0"/>
        <v>12261.012581790277</v>
      </c>
      <c r="P16" s="678">
        <f t="shared" si="0"/>
        <v>392.69845787337943</v>
      </c>
      <c r="Q16" s="678">
        <f t="shared" si="0"/>
        <v>810.85355022788667</v>
      </c>
      <c r="R16" s="678">
        <f t="shared" ca="1" si="0"/>
        <v>268876.63912634557</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57.961483254946913</v>
      </c>
      <c r="D19" s="642">
        <f>transport!C54</f>
        <v>0</v>
      </c>
      <c r="E19" s="642">
        <f>transport!D54</f>
        <v>0</v>
      </c>
      <c r="F19" s="642">
        <f>transport!E54</f>
        <v>0</v>
      </c>
      <c r="G19" s="642">
        <f>transport!F54</f>
        <v>0</v>
      </c>
      <c r="H19" s="642">
        <f>transport!G54</f>
        <v>4137.1862478567355</v>
      </c>
      <c r="I19" s="642">
        <f>transport!H54</f>
        <v>0</v>
      </c>
      <c r="J19" s="642">
        <f>transport!I54</f>
        <v>0</v>
      </c>
      <c r="K19" s="642">
        <f>transport!J54</f>
        <v>0</v>
      </c>
      <c r="L19" s="642">
        <f>transport!K54</f>
        <v>0</v>
      </c>
      <c r="M19" s="642">
        <f>transport!L54</f>
        <v>0</v>
      </c>
      <c r="N19" s="642">
        <f>transport!M54</f>
        <v>228.44960723127042</v>
      </c>
      <c r="O19" s="642">
        <f>transport!N54</f>
        <v>0</v>
      </c>
      <c r="P19" s="642">
        <f>transport!O54</f>
        <v>0</v>
      </c>
      <c r="Q19" s="643">
        <f>transport!P54</f>
        <v>0</v>
      </c>
      <c r="R19" s="645">
        <f>SUM(C19:Q19)</f>
        <v>4423.5973383429528</v>
      </c>
      <c r="S19" s="67"/>
    </row>
    <row r="20" spans="1:19" s="441" customFormat="1">
      <c r="A20" s="762" t="s">
        <v>296</v>
      </c>
      <c r="B20" s="767"/>
      <c r="C20" s="642">
        <f>transport!B14</f>
        <v>427.1843860655369</v>
      </c>
      <c r="D20" s="642">
        <f>transport!C14</f>
        <v>0</v>
      </c>
      <c r="E20" s="642">
        <f>transport!D14</f>
        <v>714.23513991365166</v>
      </c>
      <c r="F20" s="642">
        <f>transport!E14</f>
        <v>431.14350499777044</v>
      </c>
      <c r="G20" s="642">
        <f>transport!F14</f>
        <v>0</v>
      </c>
      <c r="H20" s="642">
        <f>transport!G14</f>
        <v>156268.20962980358</v>
      </c>
      <c r="I20" s="642">
        <f>transport!H14</f>
        <v>48105.705995694349</v>
      </c>
      <c r="J20" s="642">
        <f>transport!I14</f>
        <v>0</v>
      </c>
      <c r="K20" s="642">
        <f>transport!J14</f>
        <v>0</v>
      </c>
      <c r="L20" s="642">
        <f>transport!K14</f>
        <v>0</v>
      </c>
      <c r="M20" s="642">
        <f>transport!L14</f>
        <v>0</v>
      </c>
      <c r="N20" s="642">
        <f>transport!M14</f>
        <v>12142.277545364874</v>
      </c>
      <c r="O20" s="642">
        <f>transport!N14</f>
        <v>0</v>
      </c>
      <c r="P20" s="642">
        <f>transport!O14</f>
        <v>0</v>
      </c>
      <c r="Q20" s="643">
        <f>transport!P14</f>
        <v>0</v>
      </c>
      <c r="R20" s="645">
        <f>SUM(C20:Q20)</f>
        <v>218088.75620183974</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485.14586932048383</v>
      </c>
      <c r="D22" s="765">
        <f t="shared" ref="D22:R22" si="1">SUM(D18:D21)</f>
        <v>0</v>
      </c>
      <c r="E22" s="765">
        <f t="shared" si="1"/>
        <v>714.23513991365166</v>
      </c>
      <c r="F22" s="765">
        <f t="shared" si="1"/>
        <v>431.14350499777044</v>
      </c>
      <c r="G22" s="765">
        <f t="shared" si="1"/>
        <v>0</v>
      </c>
      <c r="H22" s="765">
        <f t="shared" si="1"/>
        <v>160405.39587766031</v>
      </c>
      <c r="I22" s="765">
        <f t="shared" si="1"/>
        <v>48105.705995694349</v>
      </c>
      <c r="J22" s="765">
        <f t="shared" si="1"/>
        <v>0</v>
      </c>
      <c r="K22" s="765">
        <f t="shared" si="1"/>
        <v>0</v>
      </c>
      <c r="L22" s="765">
        <f t="shared" si="1"/>
        <v>0</v>
      </c>
      <c r="M22" s="765">
        <f t="shared" si="1"/>
        <v>0</v>
      </c>
      <c r="N22" s="765">
        <f t="shared" si="1"/>
        <v>12370.727152596144</v>
      </c>
      <c r="O22" s="765">
        <f t="shared" si="1"/>
        <v>0</v>
      </c>
      <c r="P22" s="765">
        <f t="shared" si="1"/>
        <v>0</v>
      </c>
      <c r="Q22" s="765">
        <f t="shared" si="1"/>
        <v>0</v>
      </c>
      <c r="R22" s="765">
        <f t="shared" si="1"/>
        <v>222512.3535401827</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144.732322343189</v>
      </c>
      <c r="D24" s="642">
        <f>+landbouw!C8</f>
        <v>0</v>
      </c>
      <c r="E24" s="642">
        <f>+landbouw!D8</f>
        <v>89.832295789370647</v>
      </c>
      <c r="F24" s="642">
        <f>+landbouw!E8</f>
        <v>4.2671180397444175</v>
      </c>
      <c r="G24" s="642">
        <f>+landbouw!F8</f>
        <v>460.01075670447887</v>
      </c>
      <c r="H24" s="642">
        <f>+landbouw!G8</f>
        <v>0</v>
      </c>
      <c r="I24" s="642">
        <f>+landbouw!H8</f>
        <v>0</v>
      </c>
      <c r="J24" s="642">
        <f>+landbouw!I8</f>
        <v>0</v>
      </c>
      <c r="K24" s="642">
        <f>+landbouw!J8</f>
        <v>36.500602930460289</v>
      </c>
      <c r="L24" s="642">
        <f>+landbouw!K8</f>
        <v>0</v>
      </c>
      <c r="M24" s="642">
        <f>+landbouw!L8</f>
        <v>0</v>
      </c>
      <c r="N24" s="642">
        <f>+landbouw!M8</f>
        <v>0</v>
      </c>
      <c r="O24" s="642">
        <f>+landbouw!N8</f>
        <v>0</v>
      </c>
      <c r="P24" s="642">
        <f>+landbouw!O8</f>
        <v>0</v>
      </c>
      <c r="Q24" s="643">
        <f>+landbouw!P8</f>
        <v>0</v>
      </c>
      <c r="R24" s="645">
        <f>SUM(C24:Q24)</f>
        <v>735.34309580724323</v>
      </c>
      <c r="S24" s="67"/>
    </row>
    <row r="25" spans="1:19" s="441" customFormat="1" ht="15" thickBot="1">
      <c r="A25" s="784" t="s">
        <v>672</v>
      </c>
      <c r="B25" s="895"/>
      <c r="C25" s="896">
        <f>IF(Onbekend_ele_kWh="---",0,Onbekend_ele_kWh)/1000+IF(REST_rest_ele_kWh="---",0,REST_rest_ele_kWh)/1000</f>
        <v>1695.7807586445501</v>
      </c>
      <c r="D25" s="896"/>
      <c r="E25" s="896">
        <f>IF(onbekend_gas_kWh="---",0,onbekend_gas_kWh)/1000+IF(REST_rest_gas_kWh="---",0,REST_rest_gas_kWh)/1000</f>
        <v>5307.0893149220492</v>
      </c>
      <c r="F25" s="896"/>
      <c r="G25" s="896"/>
      <c r="H25" s="896"/>
      <c r="I25" s="896"/>
      <c r="J25" s="896"/>
      <c r="K25" s="896"/>
      <c r="L25" s="896"/>
      <c r="M25" s="896"/>
      <c r="N25" s="896"/>
      <c r="O25" s="896"/>
      <c r="P25" s="896"/>
      <c r="Q25" s="897"/>
      <c r="R25" s="645">
        <f>SUM(C25:Q25)</f>
        <v>7002.8700735665989</v>
      </c>
      <c r="S25" s="67"/>
    </row>
    <row r="26" spans="1:19" s="441" customFormat="1" ht="15.75" thickBot="1">
      <c r="A26" s="650" t="s">
        <v>673</v>
      </c>
      <c r="B26" s="770"/>
      <c r="C26" s="765">
        <f>SUM(C24:C25)</f>
        <v>1840.5130809877392</v>
      </c>
      <c r="D26" s="765">
        <f t="shared" ref="D26:R26" si="2">SUM(D24:D25)</f>
        <v>0</v>
      </c>
      <c r="E26" s="765">
        <f t="shared" si="2"/>
        <v>5396.9216107114198</v>
      </c>
      <c r="F26" s="765">
        <f t="shared" si="2"/>
        <v>4.2671180397444175</v>
      </c>
      <c r="G26" s="765">
        <f t="shared" si="2"/>
        <v>460.01075670447887</v>
      </c>
      <c r="H26" s="765">
        <f t="shared" si="2"/>
        <v>0</v>
      </c>
      <c r="I26" s="765">
        <f t="shared" si="2"/>
        <v>0</v>
      </c>
      <c r="J26" s="765">
        <f t="shared" si="2"/>
        <v>0</v>
      </c>
      <c r="K26" s="765">
        <f t="shared" si="2"/>
        <v>36.500602930460289</v>
      </c>
      <c r="L26" s="765">
        <f t="shared" si="2"/>
        <v>0</v>
      </c>
      <c r="M26" s="765">
        <f t="shared" si="2"/>
        <v>0</v>
      </c>
      <c r="N26" s="765">
        <f t="shared" si="2"/>
        <v>0</v>
      </c>
      <c r="O26" s="765">
        <f t="shared" si="2"/>
        <v>0</v>
      </c>
      <c r="P26" s="765">
        <f t="shared" si="2"/>
        <v>0</v>
      </c>
      <c r="Q26" s="765">
        <f t="shared" si="2"/>
        <v>0</v>
      </c>
      <c r="R26" s="765">
        <f t="shared" si="2"/>
        <v>7738.213169373842</v>
      </c>
      <c r="S26" s="67"/>
    </row>
    <row r="27" spans="1:19" s="441" customFormat="1" ht="17.25" thickTop="1" thickBot="1">
      <c r="A27" s="651" t="s">
        <v>109</v>
      </c>
      <c r="B27" s="757"/>
      <c r="C27" s="652">
        <f ca="1">C22+C16+C26</f>
        <v>59832.816221253524</v>
      </c>
      <c r="D27" s="652">
        <f t="shared" ref="D27:R27" ca="1" si="3">D22+D16+D26</f>
        <v>0</v>
      </c>
      <c r="E27" s="652">
        <f t="shared" ca="1" si="3"/>
        <v>167426.50276387951</v>
      </c>
      <c r="F27" s="652">
        <f t="shared" si="3"/>
        <v>2257.895287120426</v>
      </c>
      <c r="G27" s="652">
        <f t="shared" ca="1" si="3"/>
        <v>35070.214764430821</v>
      </c>
      <c r="H27" s="652">
        <f t="shared" si="3"/>
        <v>160405.39587766031</v>
      </c>
      <c r="I27" s="652">
        <f t="shared" si="3"/>
        <v>48105.705995694349</v>
      </c>
      <c r="J27" s="652">
        <f t="shared" si="3"/>
        <v>0</v>
      </c>
      <c r="K27" s="652">
        <f t="shared" si="3"/>
        <v>193.38318337552971</v>
      </c>
      <c r="L27" s="652">
        <f t="shared" si="3"/>
        <v>0</v>
      </c>
      <c r="M27" s="652">
        <f t="shared" ca="1" si="3"/>
        <v>0</v>
      </c>
      <c r="N27" s="652">
        <f t="shared" si="3"/>
        <v>12370.727152596144</v>
      </c>
      <c r="O27" s="652">
        <f t="shared" ca="1" si="3"/>
        <v>12261.012581790277</v>
      </c>
      <c r="P27" s="652">
        <f t="shared" si="3"/>
        <v>392.69845787337943</v>
      </c>
      <c r="Q27" s="652">
        <f t="shared" si="3"/>
        <v>810.85355022788667</v>
      </c>
      <c r="R27" s="652">
        <f t="shared" ca="1" si="3"/>
        <v>499127.20583590213</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4272.9229636069585</v>
      </c>
      <c r="D40" s="642">
        <f ca="1">tertiair!C20</f>
        <v>0</v>
      </c>
      <c r="E40" s="642">
        <f ca="1">tertiair!D20</f>
        <v>5755.3975737063711</v>
      </c>
      <c r="F40" s="642">
        <f>tertiair!E20</f>
        <v>19.391367374915401</v>
      </c>
      <c r="G40" s="642">
        <f ca="1">tertiair!F20</f>
        <v>1563.9717545034421</v>
      </c>
      <c r="H40" s="642">
        <f>tertiair!G20</f>
        <v>0</v>
      </c>
      <c r="I40" s="642">
        <f>tertiair!H20</f>
        <v>0</v>
      </c>
      <c r="J40" s="642">
        <f>tertiair!I20</f>
        <v>0</v>
      </c>
      <c r="K40" s="642">
        <f>tertiair!J20</f>
        <v>1.7201796545374286E-2</v>
      </c>
      <c r="L40" s="642">
        <f>tertiair!K20</f>
        <v>0</v>
      </c>
      <c r="M40" s="642">
        <f ca="1">tertiair!L20</f>
        <v>0</v>
      </c>
      <c r="N40" s="642">
        <f>tertiair!M20</f>
        <v>0</v>
      </c>
      <c r="O40" s="642">
        <f ca="1">tertiair!N20</f>
        <v>0</v>
      </c>
      <c r="P40" s="642">
        <f>tertiair!O20</f>
        <v>0</v>
      </c>
      <c r="Q40" s="725">
        <f>tertiair!P20</f>
        <v>0</v>
      </c>
      <c r="R40" s="803">
        <f t="shared" ca="1" si="4"/>
        <v>11611.700860988232</v>
      </c>
    </row>
    <row r="41" spans="1:18">
      <c r="A41" s="775" t="s">
        <v>214</v>
      </c>
      <c r="B41" s="782"/>
      <c r="C41" s="642">
        <f ca="1">huishoudens!B12</f>
        <v>7434.3735219205128</v>
      </c>
      <c r="D41" s="642">
        <f ca="1">huishoudens!C12</f>
        <v>0</v>
      </c>
      <c r="E41" s="642">
        <f>huishoudens!D12</f>
        <v>26298.76836674281</v>
      </c>
      <c r="F41" s="642">
        <f>huishoudens!E12</f>
        <v>393.3129279104644</v>
      </c>
      <c r="G41" s="642">
        <f>huishoudens!F12</f>
        <v>7581.2558203655417</v>
      </c>
      <c r="H41" s="642">
        <f>huishoudens!G12</f>
        <v>0</v>
      </c>
      <c r="I41" s="642">
        <f>huishoudens!H12</f>
        <v>0</v>
      </c>
      <c r="J41" s="642">
        <f>huishoudens!I12</f>
        <v>0</v>
      </c>
      <c r="K41" s="642">
        <f>huishoudens!J12</f>
        <v>55.479533040430049</v>
      </c>
      <c r="L41" s="642">
        <f>huishoudens!K12</f>
        <v>0</v>
      </c>
      <c r="M41" s="642">
        <f>huishoudens!L12</f>
        <v>0</v>
      </c>
      <c r="N41" s="642">
        <f>huishoudens!M12</f>
        <v>0</v>
      </c>
      <c r="O41" s="642">
        <f>huishoudens!N12</f>
        <v>0</v>
      </c>
      <c r="P41" s="642">
        <f>huishoudens!O12</f>
        <v>0</v>
      </c>
      <c r="Q41" s="725">
        <f>huishoudens!P12</f>
        <v>0</v>
      </c>
      <c r="R41" s="803">
        <f t="shared" ca="1" si="4"/>
        <v>41763.19016997976</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335.028202453277</v>
      </c>
      <c r="D43" s="642">
        <f ca="1">industrie!C22</f>
        <v>0</v>
      </c>
      <c r="E43" s="642">
        <f>industrie!D22</f>
        <v>531.53395422821768</v>
      </c>
      <c r="F43" s="642">
        <f>industrie!E22</f>
        <v>0.99972346144108881</v>
      </c>
      <c r="G43" s="642">
        <f>industrie!F22</f>
        <v>95.696895193951747</v>
      </c>
      <c r="H43" s="642">
        <f>industrie!G22</f>
        <v>0</v>
      </c>
      <c r="I43" s="642">
        <f>industrie!H22</f>
        <v>0</v>
      </c>
      <c r="J43" s="642">
        <f>industrie!I22</f>
        <v>0</v>
      </c>
      <c r="K43" s="642">
        <f>industrie!J22</f>
        <v>3.9698640579148535E-2</v>
      </c>
      <c r="L43" s="642">
        <f>industrie!K22</f>
        <v>0</v>
      </c>
      <c r="M43" s="642">
        <f>industrie!L22</f>
        <v>0</v>
      </c>
      <c r="N43" s="642">
        <f>industrie!M22</f>
        <v>0</v>
      </c>
      <c r="O43" s="642">
        <f>industrie!N22</f>
        <v>0</v>
      </c>
      <c r="P43" s="642">
        <f>industrie!O22</f>
        <v>0</v>
      </c>
      <c r="Q43" s="725">
        <f>industrie!P22</f>
        <v>0</v>
      </c>
      <c r="R43" s="802">
        <f t="shared" ca="1" si="4"/>
        <v>963.29847397746664</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12042.324687980748</v>
      </c>
      <c r="D46" s="678">
        <f t="shared" ref="D46:Q46" ca="1" si="5">SUM(D39:D45)</f>
        <v>0</v>
      </c>
      <c r="E46" s="678">
        <f t="shared" ca="1" si="5"/>
        <v>32585.699894677397</v>
      </c>
      <c r="F46" s="678">
        <f t="shared" si="5"/>
        <v>413.70401874682085</v>
      </c>
      <c r="G46" s="678">
        <f t="shared" ca="1" si="5"/>
        <v>9240.924470062937</v>
      </c>
      <c r="H46" s="678">
        <f t="shared" si="5"/>
        <v>0</v>
      </c>
      <c r="I46" s="678">
        <f t="shared" si="5"/>
        <v>0</v>
      </c>
      <c r="J46" s="678">
        <f t="shared" si="5"/>
        <v>0</v>
      </c>
      <c r="K46" s="678">
        <f t="shared" si="5"/>
        <v>55.536433477554567</v>
      </c>
      <c r="L46" s="678">
        <f t="shared" si="5"/>
        <v>0</v>
      </c>
      <c r="M46" s="678">
        <f t="shared" ca="1" si="5"/>
        <v>0</v>
      </c>
      <c r="N46" s="678">
        <f t="shared" si="5"/>
        <v>0</v>
      </c>
      <c r="O46" s="678">
        <f t="shared" ca="1" si="5"/>
        <v>0</v>
      </c>
      <c r="P46" s="678">
        <f t="shared" si="5"/>
        <v>0</v>
      </c>
      <c r="Q46" s="678">
        <f t="shared" si="5"/>
        <v>0</v>
      </c>
      <c r="R46" s="678">
        <f ca="1">SUM(R39:R45)</f>
        <v>54338.189504945462</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12.137463124188896</v>
      </c>
      <c r="D49" s="642">
        <f ca="1">transport!C58</f>
        <v>0</v>
      </c>
      <c r="E49" s="642">
        <f>transport!D58</f>
        <v>0</v>
      </c>
      <c r="F49" s="642">
        <f>transport!E58</f>
        <v>0</v>
      </c>
      <c r="G49" s="642">
        <f>transport!F58</f>
        <v>0</v>
      </c>
      <c r="H49" s="642">
        <f>transport!G58</f>
        <v>1104.6287281777484</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1116.7661913019372</v>
      </c>
    </row>
    <row r="50" spans="1:18">
      <c r="A50" s="778" t="s">
        <v>296</v>
      </c>
      <c r="B50" s="788"/>
      <c r="C50" s="648">
        <f ca="1">transport!B18</f>
        <v>89.454831759454706</v>
      </c>
      <c r="D50" s="648">
        <f>transport!C18</f>
        <v>0</v>
      </c>
      <c r="E50" s="648">
        <f>transport!D18</f>
        <v>144.27549826255765</v>
      </c>
      <c r="F50" s="648">
        <f>transport!E18</f>
        <v>97.869575634493899</v>
      </c>
      <c r="G50" s="648">
        <f>transport!F18</f>
        <v>0</v>
      </c>
      <c r="H50" s="648">
        <f>transport!G18</f>
        <v>41723.611971157559</v>
      </c>
      <c r="I50" s="648">
        <f>transport!H18</f>
        <v>11978.320792927892</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54033.532669741959</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101.5922948836436</v>
      </c>
      <c r="D52" s="678">
        <f t="shared" ref="D52:Q52" ca="1" si="6">SUM(D48:D51)</f>
        <v>0</v>
      </c>
      <c r="E52" s="678">
        <f t="shared" si="6"/>
        <v>144.27549826255765</v>
      </c>
      <c r="F52" s="678">
        <f t="shared" si="6"/>
        <v>97.869575634493899</v>
      </c>
      <c r="G52" s="678">
        <f t="shared" si="6"/>
        <v>0</v>
      </c>
      <c r="H52" s="678">
        <f t="shared" si="6"/>
        <v>42828.240699335307</v>
      </c>
      <c r="I52" s="678">
        <f t="shared" si="6"/>
        <v>11978.320792927892</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55150.298861043899</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30.307768653742087</v>
      </c>
      <c r="D54" s="648">
        <f ca="1">+landbouw!C12</f>
        <v>0</v>
      </c>
      <c r="E54" s="648">
        <f>+landbouw!D12</f>
        <v>18.146123749452872</v>
      </c>
      <c r="F54" s="648">
        <f>+landbouw!E12</f>
        <v>0.96863579502198283</v>
      </c>
      <c r="G54" s="648">
        <f>+landbouw!F12</f>
        <v>122.82287204009586</v>
      </c>
      <c r="H54" s="648">
        <f>+landbouw!G12</f>
        <v>0</v>
      </c>
      <c r="I54" s="648">
        <f>+landbouw!H12</f>
        <v>0</v>
      </c>
      <c r="J54" s="648">
        <f>+landbouw!I12</f>
        <v>0</v>
      </c>
      <c r="K54" s="648">
        <f>+landbouw!J12</f>
        <v>12.921213437382942</v>
      </c>
      <c r="L54" s="648">
        <f>+landbouw!K12</f>
        <v>0</v>
      </c>
      <c r="M54" s="648">
        <f>+landbouw!L12</f>
        <v>0</v>
      </c>
      <c r="N54" s="648">
        <f>+landbouw!M12</f>
        <v>0</v>
      </c>
      <c r="O54" s="648">
        <f>+landbouw!N12</f>
        <v>0</v>
      </c>
      <c r="P54" s="648">
        <f>+landbouw!O12</f>
        <v>0</v>
      </c>
      <c r="Q54" s="649">
        <f>+landbouw!P12</f>
        <v>0</v>
      </c>
      <c r="R54" s="677">
        <f ca="1">SUM(C54:Q54)</f>
        <v>185.16661367569574</v>
      </c>
    </row>
    <row r="55" spans="1:18" ht="15" thickBot="1">
      <c r="A55" s="778" t="s">
        <v>672</v>
      </c>
      <c r="B55" s="788"/>
      <c r="C55" s="648">
        <f ca="1">C25*'EF ele_warmte'!B12</f>
        <v>355.10610268933408</v>
      </c>
      <c r="D55" s="648"/>
      <c r="E55" s="648">
        <f>E25*EF_CO2_aardgas</f>
        <v>1072.032041614254</v>
      </c>
      <c r="F55" s="648"/>
      <c r="G55" s="648"/>
      <c r="H55" s="648"/>
      <c r="I55" s="648"/>
      <c r="J55" s="648"/>
      <c r="K55" s="648"/>
      <c r="L55" s="648"/>
      <c r="M55" s="648"/>
      <c r="N55" s="648"/>
      <c r="O55" s="648"/>
      <c r="P55" s="648"/>
      <c r="Q55" s="649"/>
      <c r="R55" s="677">
        <f ca="1">SUM(C55:Q55)</f>
        <v>1427.138144303588</v>
      </c>
    </row>
    <row r="56" spans="1:18" ht="15.75" thickBot="1">
      <c r="A56" s="776" t="s">
        <v>673</v>
      </c>
      <c r="B56" s="789"/>
      <c r="C56" s="678">
        <f ca="1">SUM(C54:C55)</f>
        <v>385.41387134307615</v>
      </c>
      <c r="D56" s="678">
        <f t="shared" ref="D56:Q56" ca="1" si="7">SUM(D54:D55)</f>
        <v>0</v>
      </c>
      <c r="E56" s="678">
        <f t="shared" si="7"/>
        <v>1090.178165363707</v>
      </c>
      <c r="F56" s="678">
        <f t="shared" si="7"/>
        <v>0.96863579502198283</v>
      </c>
      <c r="G56" s="678">
        <f t="shared" si="7"/>
        <v>122.82287204009586</v>
      </c>
      <c r="H56" s="678">
        <f t="shared" si="7"/>
        <v>0</v>
      </c>
      <c r="I56" s="678">
        <f t="shared" si="7"/>
        <v>0</v>
      </c>
      <c r="J56" s="678">
        <f t="shared" si="7"/>
        <v>0</v>
      </c>
      <c r="K56" s="678">
        <f t="shared" si="7"/>
        <v>12.921213437382942</v>
      </c>
      <c r="L56" s="678">
        <f t="shared" si="7"/>
        <v>0</v>
      </c>
      <c r="M56" s="678">
        <f t="shared" si="7"/>
        <v>0</v>
      </c>
      <c r="N56" s="678">
        <f t="shared" si="7"/>
        <v>0</v>
      </c>
      <c r="O56" s="678">
        <f t="shared" si="7"/>
        <v>0</v>
      </c>
      <c r="P56" s="678">
        <f t="shared" si="7"/>
        <v>0</v>
      </c>
      <c r="Q56" s="679">
        <f t="shared" si="7"/>
        <v>0</v>
      </c>
      <c r="R56" s="680">
        <f ca="1">SUM(R54:R55)</f>
        <v>1612.3047579792837</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12529.330854207468</v>
      </c>
      <c r="D61" s="686">
        <f t="shared" ref="D61:Q61" ca="1" si="8">D46+D52+D56</f>
        <v>0</v>
      </c>
      <c r="E61" s="686">
        <f t="shared" ca="1" si="8"/>
        <v>33820.15355830366</v>
      </c>
      <c r="F61" s="686">
        <f t="shared" si="8"/>
        <v>512.54223017633672</v>
      </c>
      <c r="G61" s="686">
        <f t="shared" ca="1" si="8"/>
        <v>9363.7473421030336</v>
      </c>
      <c r="H61" s="686">
        <f t="shared" si="8"/>
        <v>42828.240699335307</v>
      </c>
      <c r="I61" s="686">
        <f t="shared" si="8"/>
        <v>11978.320792927892</v>
      </c>
      <c r="J61" s="686">
        <f t="shared" si="8"/>
        <v>0</v>
      </c>
      <c r="K61" s="686">
        <f t="shared" si="8"/>
        <v>68.457646914937513</v>
      </c>
      <c r="L61" s="686">
        <f t="shared" si="8"/>
        <v>0</v>
      </c>
      <c r="M61" s="686">
        <f t="shared" ca="1" si="8"/>
        <v>0</v>
      </c>
      <c r="N61" s="686">
        <f t="shared" si="8"/>
        <v>0</v>
      </c>
      <c r="O61" s="686">
        <f t="shared" ca="1" si="8"/>
        <v>0</v>
      </c>
      <c r="P61" s="686">
        <f t="shared" si="8"/>
        <v>0</v>
      </c>
      <c r="Q61" s="686">
        <f t="shared" si="8"/>
        <v>0</v>
      </c>
      <c r="R61" s="686">
        <f ca="1">R46+R52+R56</f>
        <v>111100.79312396864</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0.20940566808481362</v>
      </c>
      <c r="D63" s="732">
        <f t="shared" ca="1" si="9"/>
        <v>0</v>
      </c>
      <c r="E63" s="921">
        <f t="shared" ca="1" si="9"/>
        <v>0.20199999999999999</v>
      </c>
      <c r="F63" s="732">
        <f t="shared" si="9"/>
        <v>0.22700000000000001</v>
      </c>
      <c r="G63" s="732">
        <f t="shared" ca="1" si="9"/>
        <v>0.26700000000000013</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3139.0114510839876</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3139.0114510839876</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35502.255454276616</v>
      </c>
      <c r="C4" s="445">
        <f>huishoudens!C8</f>
        <v>0</v>
      </c>
      <c r="D4" s="445">
        <f>huishoudens!D8</f>
        <v>130191.92260763767</v>
      </c>
      <c r="E4" s="445">
        <f>huishoudens!E8</f>
        <v>1732.6560700901514</v>
      </c>
      <c r="F4" s="445">
        <f>huishoudens!F8</f>
        <v>28394.216555676183</v>
      </c>
      <c r="G4" s="445">
        <f>huishoudens!G8</f>
        <v>0</v>
      </c>
      <c r="H4" s="445">
        <f>huishoudens!H8</f>
        <v>0</v>
      </c>
      <c r="I4" s="445">
        <f>huishoudens!I8</f>
        <v>0</v>
      </c>
      <c r="J4" s="445">
        <f>huishoudens!J8</f>
        <v>156.72184474697755</v>
      </c>
      <c r="K4" s="445">
        <f>huishoudens!K8</f>
        <v>0</v>
      </c>
      <c r="L4" s="445">
        <f>huishoudens!L8</f>
        <v>0</v>
      </c>
      <c r="M4" s="445">
        <f>huishoudens!M8</f>
        <v>0</v>
      </c>
      <c r="N4" s="445">
        <f>huishoudens!N8</f>
        <v>10531.937306091178</v>
      </c>
      <c r="O4" s="445">
        <f>huishoudens!O8</f>
        <v>382.90393634169709</v>
      </c>
      <c r="P4" s="446">
        <f>huishoudens!P8</f>
        <v>705.77527361489661</v>
      </c>
      <c r="Q4" s="447">
        <f>SUM(B4:P4)</f>
        <v>207598.38904847536</v>
      </c>
    </row>
    <row r="5" spans="1:17">
      <c r="A5" s="444" t="s">
        <v>149</v>
      </c>
      <c r="B5" s="445">
        <f ca="1">tertiair!B16</f>
        <v>19461.912462884648</v>
      </c>
      <c r="C5" s="445">
        <f ca="1">tertiair!C16</f>
        <v>0</v>
      </c>
      <c r="D5" s="445">
        <f ca="1">tertiair!D16</f>
        <v>28492.067196566193</v>
      </c>
      <c r="E5" s="445">
        <f>tertiair!E16</f>
        <v>85.424525880684584</v>
      </c>
      <c r="F5" s="445">
        <f ca="1">tertiair!F16</f>
        <v>5857.5721142451011</v>
      </c>
      <c r="G5" s="445">
        <f>tertiair!G16</f>
        <v>0</v>
      </c>
      <c r="H5" s="445">
        <f>tertiair!H16</f>
        <v>0</v>
      </c>
      <c r="I5" s="445">
        <f>tertiair!I16</f>
        <v>0</v>
      </c>
      <c r="J5" s="445">
        <f>tertiair!J16</f>
        <v>4.8592645608401937E-2</v>
      </c>
      <c r="K5" s="445">
        <f>tertiair!K16</f>
        <v>0</v>
      </c>
      <c r="L5" s="445">
        <f ca="1">tertiair!L16</f>
        <v>0</v>
      </c>
      <c r="M5" s="445">
        <f>tertiair!M16</f>
        <v>0</v>
      </c>
      <c r="N5" s="445">
        <f ca="1">tertiair!N16</f>
        <v>1673.7796727481627</v>
      </c>
      <c r="O5" s="445">
        <f>tertiair!O16</f>
        <v>9.7945215316823084</v>
      </c>
      <c r="P5" s="446">
        <f>tertiair!P16</f>
        <v>105.07827661299004</v>
      </c>
      <c r="Q5" s="444">
        <f t="shared" ref="Q5:Q14" ca="1" si="0">SUM(B5:P5)</f>
        <v>55685.677363115065</v>
      </c>
    </row>
    <row r="6" spans="1:17">
      <c r="A6" s="444" t="s">
        <v>187</v>
      </c>
      <c r="B6" s="445">
        <f>'openbare verlichting'!B8</f>
        <v>943.08900000000006</v>
      </c>
      <c r="C6" s="445"/>
      <c r="D6" s="445"/>
      <c r="E6" s="445"/>
      <c r="F6" s="445"/>
      <c r="G6" s="445"/>
      <c r="H6" s="445"/>
      <c r="I6" s="445"/>
      <c r="J6" s="445"/>
      <c r="K6" s="445"/>
      <c r="L6" s="445"/>
      <c r="M6" s="445"/>
      <c r="N6" s="445"/>
      <c r="O6" s="445"/>
      <c r="P6" s="446"/>
      <c r="Q6" s="444">
        <f t="shared" si="0"/>
        <v>943.08900000000006</v>
      </c>
    </row>
    <row r="7" spans="1:17">
      <c r="A7" s="444" t="s">
        <v>105</v>
      </c>
      <c r="B7" s="445">
        <f>landbouw!B8</f>
        <v>144.732322343189</v>
      </c>
      <c r="C7" s="445">
        <f>landbouw!C8</f>
        <v>0</v>
      </c>
      <c r="D7" s="445">
        <f>landbouw!D8</f>
        <v>89.832295789370647</v>
      </c>
      <c r="E7" s="445">
        <f>landbouw!E8</f>
        <v>4.2671180397444175</v>
      </c>
      <c r="F7" s="445">
        <f>landbouw!F8</f>
        <v>460.01075670447887</v>
      </c>
      <c r="G7" s="445">
        <f>landbouw!G8</f>
        <v>0</v>
      </c>
      <c r="H7" s="445">
        <f>landbouw!H8</f>
        <v>0</v>
      </c>
      <c r="I7" s="445">
        <f>landbouw!I8</f>
        <v>0</v>
      </c>
      <c r="J7" s="445">
        <f>landbouw!J8</f>
        <v>36.500602930460289</v>
      </c>
      <c r="K7" s="445">
        <f>landbouw!K8</f>
        <v>0</v>
      </c>
      <c r="L7" s="445">
        <f>landbouw!L8</f>
        <v>0</v>
      </c>
      <c r="M7" s="445">
        <f>landbouw!M8</f>
        <v>0</v>
      </c>
      <c r="N7" s="445">
        <f>landbouw!N8</f>
        <v>0</v>
      </c>
      <c r="O7" s="445">
        <f>landbouw!O8</f>
        <v>0</v>
      </c>
      <c r="P7" s="446">
        <f>landbouw!P8</f>
        <v>0</v>
      </c>
      <c r="Q7" s="444">
        <f t="shared" si="0"/>
        <v>735.34309580724323</v>
      </c>
    </row>
    <row r="8" spans="1:17">
      <c r="A8" s="444" t="s">
        <v>587</v>
      </c>
      <c r="B8" s="445">
        <f>industrie!B18</f>
        <v>1599.9003537840422</v>
      </c>
      <c r="C8" s="445">
        <f>industrie!C18</f>
        <v>0</v>
      </c>
      <c r="D8" s="445">
        <f>industrie!D18</f>
        <v>2631.3562090505825</v>
      </c>
      <c r="E8" s="445">
        <f>industrie!E18</f>
        <v>4.4040681120752811</v>
      </c>
      <c r="F8" s="445">
        <f>industrie!F18</f>
        <v>358.41533780506268</v>
      </c>
      <c r="G8" s="445">
        <f>industrie!G18</f>
        <v>0</v>
      </c>
      <c r="H8" s="445">
        <f>industrie!H18</f>
        <v>0</v>
      </c>
      <c r="I8" s="445">
        <f>industrie!I18</f>
        <v>0</v>
      </c>
      <c r="J8" s="445">
        <f>industrie!J18</f>
        <v>0.11214305248347045</v>
      </c>
      <c r="K8" s="445">
        <f>industrie!K18</f>
        <v>0</v>
      </c>
      <c r="L8" s="445">
        <f>industrie!L18</f>
        <v>0</v>
      </c>
      <c r="M8" s="445">
        <f>industrie!M18</f>
        <v>0</v>
      </c>
      <c r="N8" s="445">
        <f>industrie!N18</f>
        <v>55.295602950936377</v>
      </c>
      <c r="O8" s="445">
        <f>industrie!O18</f>
        <v>0</v>
      </c>
      <c r="P8" s="446">
        <f>industrie!P18</f>
        <v>0</v>
      </c>
      <c r="Q8" s="444">
        <f t="shared" si="0"/>
        <v>4649.4837147551816</v>
      </c>
    </row>
    <row r="9" spans="1:17" s="450" customFormat="1">
      <c r="A9" s="448" t="s">
        <v>536</v>
      </c>
      <c r="B9" s="449">
        <f>transport!B14</f>
        <v>427.1843860655369</v>
      </c>
      <c r="C9" s="449">
        <f>transport!C14</f>
        <v>0</v>
      </c>
      <c r="D9" s="449">
        <f>transport!D14</f>
        <v>714.23513991365166</v>
      </c>
      <c r="E9" s="449">
        <f>transport!E14</f>
        <v>431.14350499777044</v>
      </c>
      <c r="F9" s="449">
        <f>transport!F14</f>
        <v>0</v>
      </c>
      <c r="G9" s="449">
        <f>transport!G14</f>
        <v>156268.20962980358</v>
      </c>
      <c r="H9" s="449">
        <f>transport!H14</f>
        <v>48105.705995694349</v>
      </c>
      <c r="I9" s="449">
        <f>transport!I14</f>
        <v>0</v>
      </c>
      <c r="J9" s="449">
        <f>transport!J14</f>
        <v>0</v>
      </c>
      <c r="K9" s="449">
        <f>transport!K14</f>
        <v>0</v>
      </c>
      <c r="L9" s="449">
        <f>transport!L14</f>
        <v>0</v>
      </c>
      <c r="M9" s="449">
        <f>transport!M14</f>
        <v>12142.277545364874</v>
      </c>
      <c r="N9" s="449">
        <f>transport!N14</f>
        <v>0</v>
      </c>
      <c r="O9" s="449">
        <f>transport!O14</f>
        <v>0</v>
      </c>
      <c r="P9" s="449">
        <f>transport!P14</f>
        <v>0</v>
      </c>
      <c r="Q9" s="448">
        <f>SUM(B9:P9)</f>
        <v>218088.75620183974</v>
      </c>
    </row>
    <row r="10" spans="1:17">
      <c r="A10" s="444" t="s">
        <v>526</v>
      </c>
      <c r="B10" s="445">
        <f>transport!B54</f>
        <v>57.961483254946913</v>
      </c>
      <c r="C10" s="445">
        <f>transport!C54</f>
        <v>0</v>
      </c>
      <c r="D10" s="445">
        <f>transport!D54</f>
        <v>0</v>
      </c>
      <c r="E10" s="445">
        <f>transport!E54</f>
        <v>0</v>
      </c>
      <c r="F10" s="445">
        <f>transport!F54</f>
        <v>0</v>
      </c>
      <c r="G10" s="445">
        <f>transport!G54</f>
        <v>4137.1862478567355</v>
      </c>
      <c r="H10" s="445">
        <f>transport!H54</f>
        <v>0</v>
      </c>
      <c r="I10" s="445">
        <f>transport!I54</f>
        <v>0</v>
      </c>
      <c r="J10" s="445">
        <f>transport!J54</f>
        <v>0</v>
      </c>
      <c r="K10" s="445">
        <f>transport!K54</f>
        <v>0</v>
      </c>
      <c r="L10" s="445">
        <f>transport!L54</f>
        <v>0</v>
      </c>
      <c r="M10" s="445">
        <f>transport!M54</f>
        <v>228.44960723127042</v>
      </c>
      <c r="N10" s="445">
        <f>transport!N54</f>
        <v>0</v>
      </c>
      <c r="O10" s="445">
        <f>transport!O54</f>
        <v>0</v>
      </c>
      <c r="P10" s="446">
        <f>transport!P54</f>
        <v>0</v>
      </c>
      <c r="Q10" s="444">
        <f t="shared" si="0"/>
        <v>4423.5973383429528</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1695.7807586445501</v>
      </c>
      <c r="C14" s="452"/>
      <c r="D14" s="452">
        <f>'SEAP template'!E25</f>
        <v>5307.0893149220492</v>
      </c>
      <c r="E14" s="452"/>
      <c r="F14" s="452"/>
      <c r="G14" s="452"/>
      <c r="H14" s="452"/>
      <c r="I14" s="452"/>
      <c r="J14" s="452"/>
      <c r="K14" s="452"/>
      <c r="L14" s="452"/>
      <c r="M14" s="452"/>
      <c r="N14" s="452"/>
      <c r="O14" s="452"/>
      <c r="P14" s="453"/>
      <c r="Q14" s="444">
        <f t="shared" si="0"/>
        <v>7002.8700735665989</v>
      </c>
    </row>
    <row r="15" spans="1:17" s="456" customFormat="1">
      <c r="A15" s="454" t="s">
        <v>530</v>
      </c>
      <c r="B15" s="455">
        <f ca="1">SUM(B4:B14)</f>
        <v>59832.816221253524</v>
      </c>
      <c r="C15" s="455">
        <f t="shared" ref="C15:Q15" ca="1" si="1">SUM(C4:C14)</f>
        <v>0</v>
      </c>
      <c r="D15" s="455">
        <f t="shared" ca="1" si="1"/>
        <v>167426.50276387951</v>
      </c>
      <c r="E15" s="455">
        <f t="shared" si="1"/>
        <v>2257.895287120426</v>
      </c>
      <c r="F15" s="455">
        <f t="shared" ca="1" si="1"/>
        <v>35070.214764430821</v>
      </c>
      <c r="G15" s="455">
        <f t="shared" si="1"/>
        <v>160405.39587766031</v>
      </c>
      <c r="H15" s="455">
        <f t="shared" si="1"/>
        <v>48105.705995694349</v>
      </c>
      <c r="I15" s="455">
        <f t="shared" si="1"/>
        <v>0</v>
      </c>
      <c r="J15" s="455">
        <f t="shared" si="1"/>
        <v>193.38318337552971</v>
      </c>
      <c r="K15" s="455">
        <f t="shared" si="1"/>
        <v>0</v>
      </c>
      <c r="L15" s="455">
        <f t="shared" ca="1" si="1"/>
        <v>0</v>
      </c>
      <c r="M15" s="455">
        <f t="shared" si="1"/>
        <v>12370.727152596144</v>
      </c>
      <c r="N15" s="455">
        <f t="shared" ca="1" si="1"/>
        <v>12261.012581790277</v>
      </c>
      <c r="O15" s="455">
        <f t="shared" si="1"/>
        <v>392.69845787337943</v>
      </c>
      <c r="P15" s="455">
        <f t="shared" si="1"/>
        <v>810.85355022788667</v>
      </c>
      <c r="Q15" s="455">
        <f t="shared" ca="1" si="1"/>
        <v>499127.20583590213</v>
      </c>
    </row>
    <row r="17" spans="1:17">
      <c r="A17" s="457" t="s">
        <v>531</v>
      </c>
      <c r="B17" s="737">
        <f ca="1">huishoudens!B10</f>
        <v>0.20940566808481362</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7434.3735219205128</v>
      </c>
      <c r="C22" s="445">
        <f t="shared" ref="C22:C32" ca="1" si="3">C4*$C$17</f>
        <v>0</v>
      </c>
      <c r="D22" s="445">
        <f t="shared" ref="D22:D32" si="4">D4*$D$17</f>
        <v>26298.76836674281</v>
      </c>
      <c r="E22" s="445">
        <f t="shared" ref="E22:E32" si="5">E4*$E$17</f>
        <v>393.3129279104644</v>
      </c>
      <c r="F22" s="445">
        <f t="shared" ref="F22:F32" si="6">F4*$F$17</f>
        <v>7581.2558203655417</v>
      </c>
      <c r="G22" s="445">
        <f t="shared" ref="G22:G32" si="7">G4*$G$17</f>
        <v>0</v>
      </c>
      <c r="H22" s="445">
        <f t="shared" ref="H22:H32" si="8">H4*$H$17</f>
        <v>0</v>
      </c>
      <c r="I22" s="445">
        <f t="shared" ref="I22:I32" si="9">I4*$I$17</f>
        <v>0</v>
      </c>
      <c r="J22" s="445">
        <f t="shared" ref="J22:J32" si="10">J4*$J$17</f>
        <v>55.479533040430049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41763.19016997976</v>
      </c>
    </row>
    <row r="23" spans="1:17">
      <c r="A23" s="444" t="s">
        <v>149</v>
      </c>
      <c r="B23" s="445">
        <f t="shared" ca="1" si="2"/>
        <v>4075.4347814985199</v>
      </c>
      <c r="C23" s="445">
        <f t="shared" ca="1" si="3"/>
        <v>0</v>
      </c>
      <c r="D23" s="445">
        <f t="shared" ca="1" si="4"/>
        <v>5755.3975737063711</v>
      </c>
      <c r="E23" s="445">
        <f t="shared" si="5"/>
        <v>19.391367374915401</v>
      </c>
      <c r="F23" s="445">
        <f t="shared" ca="1" si="6"/>
        <v>1563.9717545034421</v>
      </c>
      <c r="G23" s="445">
        <f t="shared" si="7"/>
        <v>0</v>
      </c>
      <c r="H23" s="445">
        <f t="shared" si="8"/>
        <v>0</v>
      </c>
      <c r="I23" s="445">
        <f t="shared" si="9"/>
        <v>0</v>
      </c>
      <c r="J23" s="445">
        <f t="shared" si="10"/>
        <v>1.7201796545374286E-2</v>
      </c>
      <c r="K23" s="445">
        <f t="shared" si="11"/>
        <v>0</v>
      </c>
      <c r="L23" s="445">
        <f t="shared" ca="1" si="12"/>
        <v>0</v>
      </c>
      <c r="M23" s="445">
        <f t="shared" si="13"/>
        <v>0</v>
      </c>
      <c r="N23" s="445">
        <f t="shared" ca="1" si="14"/>
        <v>0</v>
      </c>
      <c r="O23" s="445">
        <f t="shared" si="15"/>
        <v>0</v>
      </c>
      <c r="P23" s="446">
        <f t="shared" si="16"/>
        <v>0</v>
      </c>
      <c r="Q23" s="444">
        <f t="shared" ref="Q23:Q31" ca="1" si="17">SUM(B23:P23)</f>
        <v>11414.212678879794</v>
      </c>
    </row>
    <row r="24" spans="1:17">
      <c r="A24" s="444" t="s">
        <v>187</v>
      </c>
      <c r="B24" s="445">
        <f t="shared" ca="1" si="2"/>
        <v>197.48818210843879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197.48818210843879</v>
      </c>
    </row>
    <row r="25" spans="1:17">
      <c r="A25" s="444" t="s">
        <v>105</v>
      </c>
      <c r="B25" s="445">
        <f t="shared" ca="1" si="2"/>
        <v>30.307768653742087</v>
      </c>
      <c r="C25" s="445">
        <f t="shared" ca="1" si="3"/>
        <v>0</v>
      </c>
      <c r="D25" s="445">
        <f t="shared" si="4"/>
        <v>18.146123749452872</v>
      </c>
      <c r="E25" s="445">
        <f t="shared" si="5"/>
        <v>0.96863579502198283</v>
      </c>
      <c r="F25" s="445">
        <f t="shared" si="6"/>
        <v>122.82287204009586</v>
      </c>
      <c r="G25" s="445">
        <f t="shared" si="7"/>
        <v>0</v>
      </c>
      <c r="H25" s="445">
        <f t="shared" si="8"/>
        <v>0</v>
      </c>
      <c r="I25" s="445">
        <f t="shared" si="9"/>
        <v>0</v>
      </c>
      <c r="J25" s="445">
        <f t="shared" si="10"/>
        <v>12.921213437382942</v>
      </c>
      <c r="K25" s="445">
        <f t="shared" si="11"/>
        <v>0</v>
      </c>
      <c r="L25" s="445">
        <f t="shared" si="12"/>
        <v>0</v>
      </c>
      <c r="M25" s="445">
        <f t="shared" si="13"/>
        <v>0</v>
      </c>
      <c r="N25" s="445">
        <f t="shared" si="14"/>
        <v>0</v>
      </c>
      <c r="O25" s="445">
        <f t="shared" si="15"/>
        <v>0</v>
      </c>
      <c r="P25" s="446">
        <f t="shared" si="16"/>
        <v>0</v>
      </c>
      <c r="Q25" s="444">
        <f t="shared" ca="1" si="17"/>
        <v>185.16661367569574</v>
      </c>
    </row>
    <row r="26" spans="1:17">
      <c r="A26" s="444" t="s">
        <v>587</v>
      </c>
      <c r="B26" s="445">
        <f t="shared" ca="1" si="2"/>
        <v>335.028202453277</v>
      </c>
      <c r="C26" s="445">
        <f t="shared" ca="1" si="3"/>
        <v>0</v>
      </c>
      <c r="D26" s="445">
        <f t="shared" si="4"/>
        <v>531.53395422821768</v>
      </c>
      <c r="E26" s="445">
        <f t="shared" si="5"/>
        <v>0.99972346144108881</v>
      </c>
      <c r="F26" s="445">
        <f t="shared" si="6"/>
        <v>95.696895193951747</v>
      </c>
      <c r="G26" s="445">
        <f t="shared" si="7"/>
        <v>0</v>
      </c>
      <c r="H26" s="445">
        <f t="shared" si="8"/>
        <v>0</v>
      </c>
      <c r="I26" s="445">
        <f t="shared" si="9"/>
        <v>0</v>
      </c>
      <c r="J26" s="445">
        <f t="shared" si="10"/>
        <v>3.9698640579148535E-2</v>
      </c>
      <c r="K26" s="445">
        <f t="shared" si="11"/>
        <v>0</v>
      </c>
      <c r="L26" s="445">
        <f t="shared" si="12"/>
        <v>0</v>
      </c>
      <c r="M26" s="445">
        <f t="shared" si="13"/>
        <v>0</v>
      </c>
      <c r="N26" s="445">
        <f t="shared" si="14"/>
        <v>0</v>
      </c>
      <c r="O26" s="445">
        <f t="shared" si="15"/>
        <v>0</v>
      </c>
      <c r="P26" s="446">
        <f t="shared" si="16"/>
        <v>0</v>
      </c>
      <c r="Q26" s="444">
        <f t="shared" ca="1" si="17"/>
        <v>963.29847397746664</v>
      </c>
    </row>
    <row r="27" spans="1:17" s="450" customFormat="1">
      <c r="A27" s="448" t="s">
        <v>536</v>
      </c>
      <c r="B27" s="731">
        <f t="shared" ca="1" si="2"/>
        <v>89.454831759454706</v>
      </c>
      <c r="C27" s="449">
        <f t="shared" ca="1" si="3"/>
        <v>0</v>
      </c>
      <c r="D27" s="449">
        <f t="shared" si="4"/>
        <v>144.27549826255765</v>
      </c>
      <c r="E27" s="449">
        <f t="shared" si="5"/>
        <v>97.869575634493899</v>
      </c>
      <c r="F27" s="449">
        <f t="shared" si="6"/>
        <v>0</v>
      </c>
      <c r="G27" s="449">
        <f t="shared" si="7"/>
        <v>41723.611971157559</v>
      </c>
      <c r="H27" s="449">
        <f t="shared" si="8"/>
        <v>11978.320792927892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54033.532669741959</v>
      </c>
    </row>
    <row r="28" spans="1:17" ht="16.5" customHeight="1">
      <c r="A28" s="444" t="s">
        <v>526</v>
      </c>
      <c r="B28" s="445">
        <f t="shared" ca="1" si="2"/>
        <v>12.137463124188896</v>
      </c>
      <c r="C28" s="445">
        <f t="shared" ca="1" si="3"/>
        <v>0</v>
      </c>
      <c r="D28" s="445">
        <f t="shared" si="4"/>
        <v>0</v>
      </c>
      <c r="E28" s="445">
        <f t="shared" si="5"/>
        <v>0</v>
      </c>
      <c r="F28" s="445">
        <f t="shared" si="6"/>
        <v>0</v>
      </c>
      <c r="G28" s="445">
        <f t="shared" si="7"/>
        <v>1104.6287281777484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1116.7661913019372</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355.10610268933408</v>
      </c>
      <c r="C32" s="445">
        <f t="shared" ca="1" si="3"/>
        <v>0</v>
      </c>
      <c r="D32" s="445">
        <f t="shared" si="4"/>
        <v>1072.032041614254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1427.138144303588</v>
      </c>
    </row>
    <row r="33" spans="1:17" s="456" customFormat="1">
      <c r="A33" s="454" t="s">
        <v>530</v>
      </c>
      <c r="B33" s="455">
        <f ca="1">SUM(B22:B32)</f>
        <v>12529.330854207468</v>
      </c>
      <c r="C33" s="455">
        <f t="shared" ref="C33:Q33" ca="1" si="19">SUM(C22:C32)</f>
        <v>0</v>
      </c>
      <c r="D33" s="455">
        <f t="shared" ca="1" si="19"/>
        <v>33820.15355830366</v>
      </c>
      <c r="E33" s="455">
        <f t="shared" si="19"/>
        <v>512.54223017633672</v>
      </c>
      <c r="F33" s="455">
        <f t="shared" ca="1" si="19"/>
        <v>9363.7473421030336</v>
      </c>
      <c r="G33" s="455">
        <f t="shared" si="19"/>
        <v>42828.240699335307</v>
      </c>
      <c r="H33" s="455">
        <f t="shared" si="19"/>
        <v>11978.320792927892</v>
      </c>
      <c r="I33" s="455">
        <f t="shared" si="19"/>
        <v>0</v>
      </c>
      <c r="J33" s="455">
        <f t="shared" si="19"/>
        <v>68.457646914937513</v>
      </c>
      <c r="K33" s="455">
        <f t="shared" si="19"/>
        <v>0</v>
      </c>
      <c r="L33" s="455">
        <f t="shared" ca="1" si="19"/>
        <v>0</v>
      </c>
      <c r="M33" s="455">
        <f t="shared" si="19"/>
        <v>0</v>
      </c>
      <c r="N33" s="455">
        <f t="shared" ca="1" si="19"/>
        <v>0</v>
      </c>
      <c r="O33" s="455">
        <f t="shared" si="19"/>
        <v>0</v>
      </c>
      <c r="P33" s="455">
        <f t="shared" si="19"/>
        <v>0</v>
      </c>
      <c r="Q33" s="455">
        <f t="shared" ca="1" si="19"/>
        <v>111100.79312396864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3139.0114510839876</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3139.0114510839876</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0.20940566808481362</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0.20940566808481362</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4.8972607658411542</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2022-07-26T09:47:49Z</dcterms:modified>
</cp:coreProperties>
</file>