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F8C9BD90-BF02-4534-8674-E7D0487E17D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<sst xmlns="http://schemas.openxmlformats.org/spreadsheetml/2006/main" count="2372" uniqueCount="861">
  <si>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</si>
  <si>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</si>
  <si>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</si>
  <si>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</si>
  <si>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</si>
  <si>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</si>
  <si>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</si>
  <si>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</si>
  <si>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</si>
  <si>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</si>
  <si>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</si>
  <si>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</si>
  <si>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</si>
  <si>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</si>
  <si>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</si>
  <si>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</si>
  <si>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</si>
  <si>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</si>
  <si>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</si>
  <si>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</si>
  <si>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</si>
  <si>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</si>
  <si>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</si>
  <si>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</si>
  <si>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</si>
  <si>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</si>
  <si>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</si>
  <si>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</si>
  <si>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</si>
  <si>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</si>
  <si>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</si>
  <si>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</si>
  <si>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</si>
  <si>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</si>
  <si>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</si>
  <si>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</si>
  <si>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</si>
  <si>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</si>
  <si>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</si>
  <si>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</si>
  <si>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</si>
  <si>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</si>
  <si>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</si>
  <si>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</si>
  <si>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</si>
  <si>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</si>
  <si>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</si>
  <si>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</si>
  <si>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</si>
  <si>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</si>
  <si>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</si>
  <si>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</si>
  <si>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</si>
  <si>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</si>
  <si>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</si>
  <si>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</si>
  <si>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</si>
  <si>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</si>
  <si>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</si>
  <si>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</si>
  <si>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</si>
  <si>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</si>
  <si>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</si>
  <si>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</si>
  <si>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</si>
  <si>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</si>
  <si>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</si>
  <si>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</si>
  <si>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</si>
  <si>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</si>
  <si>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</si>
  <si>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</si>
  <si>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</si>
  <si>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</si>
  <si>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</si>
  <si>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</si>
  <si>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</si>
  <si>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</si>
  <si>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</si>
  <si>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</si>
  <si>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</si>
  <si>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</si>
  <si>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</si>
  <si>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</si>
  <si>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</si>
  <si>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</si>
  <si>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</si>
  <si>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</si>
  <si>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</si>
  <si>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</si>
  <si>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</si>
  <si>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</si>
  <si>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</si>
  <si>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</si>
  <si>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</si>
  <si>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</si>
  <si>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</si>
  <si>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</si>
  <si>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</si>
  <si>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</si>
  <si>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</si>
  <si>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</si>
  <si>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</si>
  <si>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</si>
  <si>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</si>
  <si>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</si>
  <si>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</si>
  <si>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</si>
  <si>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</si>
  <si>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</si>
  <si>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</si>
  <si>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</si>
  <si>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</si>
  <si>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</si>
  <si>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</si>
  <si>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</si>
  <si>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</si>
  <si>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</si>
  <si>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</si>
  <si>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</si>
  <si>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</si>
  <si>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</si>
  <si>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</si>
  <si>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</si>
  <si>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</si>
  <si>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</si>
  <si>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</si>
  <si>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</si>
  <si>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</si>
  <si>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</si>
  <si>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</si>
  <si>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</si>
  <si>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</si>
  <si>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</si>
  <si>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</si>
  <si>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</si>
  <si>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</si>
  <si>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</si>
  <si>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</si>
  <si>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</si>
  <si>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</si>
  <si>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</si>
  <si>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</si>
  <si>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</si>
  <si>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</si>
  <si>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</si>
  <si>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</si>
  <si>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</si>
  <si>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</si>
  <si>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</si>
  <si>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</si>
  <si>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</si>
  <si>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</si>
  <si>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</si>
  <si>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</si>
  <si>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</si>
  <si>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</si>
  <si>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</si>
  <si>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</si>
  <si>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</si>
  <si>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</si>
  <si>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</si>
  <si>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</si>
  <si>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</si>
  <si>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</si>
  <si>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</si>
  <si>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</si>
  <si>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</si>
  <si>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</si>
  <si>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</si>
  <si>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</si>
  <si>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</si>
  <si>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</si>
  <si>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</si>
  <si>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</si>
  <si>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</si>
  <si>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</si>
  <si>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</si>
  <si>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</si>
  <si>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</si>
  <si>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</si>
  <si>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</si>
  <si>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</si>
  <si>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</si>
  <si>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</si>
  <si>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</si>
  <si>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</si>
  <si>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</si>
  <si>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</si>
  <si>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</si>
  <si>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</si>
  <si>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</si>
  <si>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</si>
  <si>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</si>
  <si>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</si>
  <si>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</si>
  <si>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</si>
  <si>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</si>
  <si>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</si>
  <si>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</si>
  <si>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</si>
  <si>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</si>
  <si>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</si>
  <si>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</si>
  <si>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</si>
  <si>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</si>
  <si>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</si>
  <si>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</si>
  <si>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</si>
  <si>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</si>
  <si>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</si>
  <si>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</si>
  <si>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</si>
  <si>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</si>
  <si>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</si>
  <si>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</si>
  <si>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</si>
  <si>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</si>
  <si>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</si>
  <si>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</si>
  <si>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</si>
  <si>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</si>
  <si>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</si>
  <si>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</si>
  <si>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</si>
  <si>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</si>
  <si>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</si>
  <si>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</si>
  <si>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</si>
  <si>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</si>
  <si>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</si>
  <si>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</si>
  <si>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</si>
  <si>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</si>
  <si>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</si>
  <si>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</si>
  <si>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</si>
  <si>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</si>
  <si>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</si>
  <si>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</si>
  <si>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</si>
  <si>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</si>
  <si>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</si>
  <si>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</si>
  <si>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</si>
  <si>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</si>
  <si>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</si>
  <si>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</si>
  <si>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</si>
  <si>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</si>
  <si>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</si>
  <si>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</si>
  <si>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</si>
  <si>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</si>
  <si>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</si>
  <si>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</si>
  <si>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</si>
  <si>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</si>
  <si>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</si>
  <si>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</si>
  <si>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</si>
  <si>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</si>
  <si>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</si>
  <si>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</si>
  <si>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</si>
  <si>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</si>
  <si>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</si>
  <si>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</si>
  <si>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</si>
  <si>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</si>
  <si>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</si>
  <si>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</si>
  <si>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</si>
  <si>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</si>
  <si>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</si>
  <si>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</si>
  <si>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</si>
  <si>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</si>
  <si>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</si>
  <si>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</si>
  <si>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</si>
  <si>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</si>
  <si>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</si>
  <si>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</si>
  <si>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</si>
  <si>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</si>
  <si>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</si>
  <si>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</si>
  <si>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</si>
  <si>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</si>
  <si>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</si>
  <si>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</si>
  <si>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</si>
  <si>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</si>
  <si>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</si>
  <si>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</si>
  <si>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</si>
  <si>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</si>
  <si>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</si>
  <si>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</si>
  <si>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</si>
  <si>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</si>
  <si>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</si>
  <si>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</si>
  <si>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</si>
  <si>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</si>
  <si>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</si>
  <si>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</si>
  <si>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</si>
  <si>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</si>
  <si>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</si>
  <si>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</si>
  <si>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</si>
  <si>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</si>
  <si>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</si>
  <si>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</si>
  <si>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</si>
  <si>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</si>
  <si>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</si>
  <si>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</si>
  <si>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</si>
  <si>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</si>
  <si>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</si>
  <si>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</si>
  <si>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</si>
  <si>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</si>
  <si>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</si>
  <si>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</si>
  <si>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</si>
  <si>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</si>
  <si>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</si>
  <si>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</si>
  <si>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</si>
  <si>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</si>
  <si>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</si>
  <si>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</si>
  <si>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</si>
  <si>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</si>
  <si>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</si>
  <si>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</si>
  <si>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</si>
  <si>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</si>
  <si>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</si>
  <si>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</si>
  <si>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</si>
  <si>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</si>
  <si>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</si>
  <si>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</si>
  <si>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</si>
  <si>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</si>
  <si>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</si>
  <si>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</si>
  <si>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</si>
  <si>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</si>
  <si>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</si>
  <si>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</si>
  <si>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</si>
  <si>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</si>
  <si>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</si>
  <si>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</si>
  <si>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</si>
  <si>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</si>
  <si>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</si>
  <si>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</si>
  <si>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</si>
  <si>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</si>
  <si>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</si>
  <si>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</si>
  <si>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</si>
  <si>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</si>
  <si>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</si>
  <si>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</si>
  <si>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</si>
  <si>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</si>
  <si>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</si>
  <si>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</si>
  <si>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</si>
  <si>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</si>
  <si>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</si>
  <si>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</si>
  <si>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</si>
  <si>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</si>
  <si>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</si>
  <si>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</si>
  <si>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</si>
  <si>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</si>
  <si>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</si>
  <si>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</si>
  <si>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</si>
  <si>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</si>
  <si>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</si>
  <si>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</si>
  <si>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</si>
  <si>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</si>
  <si>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</si>
  <si>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</si>
  <si>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</si>
  <si>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</si>
  <si>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</si>
  <si>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</si>
  <si>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</si>
  <si>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</si>
  <si>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</si>
  <si>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</si>
  <si>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</si>
  <si>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</si>
  <si>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</si>
  <si>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</si>
  <si>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</si>
  <si>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</si>
  <si>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</si>
  <si>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</si>
  <si>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</si>
  <si>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</si>
  <si>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</si>
  <si>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</si>
  <si>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</si>
  <si>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</si>
  <si>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</si>
  <si>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</si>
  <si>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</si>
  <si>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</si>
  <si>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</si>
  <si>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</si>
  <si>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</si>
  <si>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</si>
  <si>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</si>
  <si>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</si>
  <si>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</si>
  <si>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</si>
  <si>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</si>
  <si>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</si>
  <si>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</si>
  <si>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</si>
  <si>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</si>
  <si>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</si>
  <si>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</si>
  <si>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</si>
  <si>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</si>
  <si>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</si>
  <si>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</si>
  <si>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</si>
  <si>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</si>
  <si>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</si>
  <si>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</si>
  <si>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</si>
  <si>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</si>
  <si>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</si>
  <si>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</si>
  <si>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</si>
  <si>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</si>
  <si>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</si>
  <si>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</si>
  <si>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</si>
  <si>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</si>
  <si>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</si>
  <si>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</si>
  <si>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</si>
  <si>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</si>
  <si>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</si>
  <si>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</si>
  <si>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</si>
  <si>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</si>
  <si>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</si>
  <si>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</si>
  <si>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</si>
  <si>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</si>
  <si>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</si>
  <si>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</si>
  <si>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</si>
  <si>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</si>
  <si>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</si>
  <si>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</si>
  <si>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</si>
  <si>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</si>
  <si>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</si>
  <si>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</si>
  <si>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</si>
  <si>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</si>
  <si>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</si>
  <si>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</si>
  <si>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</si>
  <si>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</si>
  <si>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</si>
  <si>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</si>
  <si>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</si>
  <si>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</si>
  <si>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</si>
  <si>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</si>
  <si>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</si>
  <si>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</si>
  <si>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</si>
  <si>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</si>
  <si>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</si>
  <si>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</si>
  <si>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</si>
  <si>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</si>
  <si>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</si>
  <si>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</si>
  <si>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</si>
  <si>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</si>
  <si>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</si>
  <si>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</si>
  <si>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</si>
  <si>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</si>
  <si>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</si>
  <si>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</si>
  <si>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</si>
  <si>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</si>
  <si>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</si>
  <si>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</si>
  <si>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</si>
  <si>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</si>
  <si>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</si>
  <si>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</si>
  <si>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</si>
  <si>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</si>
  <si>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</si>
  <si>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</si>
  <si>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</si>
  <si>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</si>
  <si>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</si>
  <si>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</si>
  <si>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</si>
  <si>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</si>
  <si>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</si>
  <si>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</si>
  <si>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</si>
  <si>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</si>
  <si>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</si>
  <si>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</si>
  <si>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</si>
  <si>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</si>
  <si>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</si>
  <si>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</si>
  <si>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</si>
  <si>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</si>
  <si>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</si>
  <si>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</si>
  <si>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</si>
  <si>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</si>
  <si>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</si>
  <si>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</si>
  <si>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</si>
  <si>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</si>
  <si>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</si>
  <si>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</si>
  <si>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</si>
  <si>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</si>
  <si>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</si>
  <si>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</si>
  <si>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</si>
  <si>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</si>
  <si>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</si>
  <si>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</si>
  <si>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</si>
  <si>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</si>
  <si>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</si>
  <si>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</si>
  <si>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</si>
  <si>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</si>
  <si>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</si>
  <si>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</si>
  <si>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</si>
  <si>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</si>
  <si>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</si>
  <si>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</si>
  <si>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</si>
  <si>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</si>
  <si>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</si>
  <si>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</si>
  <si>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</si>
  <si>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</si>
  <si>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</si>
  <si>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</si>
  <si>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</si>
  <si>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</si>
  <si>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</si>
  <si>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</si>
  <si>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</si>
  <si>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</si>
  <si>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</si>
  <si>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</si>
  <si>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</si>
  <si>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</si>
  <si>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</si>
  <si>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</si>
  <si>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</si>
  <si>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</si>
  <si>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</si>
  <si>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</si>
  <si>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</si>
  <si>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</si>
  <si>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</si>
  <si>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</si>
  <si>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</si>
  <si>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</si>
  <si>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</si>
  <si>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</si>
  <si>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</si>
  <si>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</si>
  <si>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</si>
  <si>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</si>
  <si>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</si>
  <si>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</si>
  <si>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</si>
  <si>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</si>
  <si>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</si>
  <si>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</si>
  <si>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</si>
  <si>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</si>
  <si>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</si>
  <si>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</si>
  <si>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</si>
  <si>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</si>
  <si>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</si>
  <si>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</si>
  <si>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</si>
  <si>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</si>
  <si>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</si>
  <si>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</si>
  <si>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</si>
  <si>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</si>
  <si>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</si>
  <si>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</si>
  <si>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</si>
  <si>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</si>
  <si>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</si>
  <si>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</si>
  <si>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</si>
  <si>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</si>
  <si>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</si>
  <si>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</si>
  <si>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</si>
  <si>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</si>
  <si>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</si>
  <si>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</si>
  <si>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</si>
  <si>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</si>
  <si>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</si>
  <si>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</si>
  <si>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</si>
  <si>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</si>
  <si>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</si>
  <si>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</si>
  <si>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</si>
  <si>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</si>
  <si>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</si>
  <si>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</si>
  <si>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</si>
  <si>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</si>
  <si>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</si>
  <si>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</si>
  <si>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</si>
  <si>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</si>
  <si>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</si>
  <si>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</si>
  <si>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</si>
  <si>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</si>
  <si>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</si>
  <si>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</si>
  <si>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</si>
  <si>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</si>
  <si>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</si>
  <si>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</si>
  <si>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</si>
  <si>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</si>
  <si>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</si>
  <si>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</si>
  <si>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</si>
  <si>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</si>
  <si>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</si>
  <si>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</si>
  <si>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</si>
  <si>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</si>
  <si>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</si>
  <si>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</si>
  <si>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</si>
  <si>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</si>
  <si>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</si>
  <si>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</si>
  <si>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</si>
  <si>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</si>
  <si>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</si>
  <si>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</si>
  <si>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</si>
  <si>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</si>
  <si>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</si>
  <si>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</si>
  <si>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</si>
  <si>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</si>
  <si>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</si>
  <si>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</si>
  <si>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</si>
  <si>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</si>
  <si>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</si>
  <si>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</si>
  <si>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</si>
  <si>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</si>
  <si>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</si>
  <si>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</si>
  <si>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</si>
  <si>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</si>
  <si>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</si>
  <si>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</si>
  <si>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</si>
  <si>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</si>
  <si>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</si>
  <si>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</si>
  <si>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</si>
  <si>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</si>
  <si>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</si>
  <si>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</si>
  <si>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</si>
  <si>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</si>
  <si>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</si>
  <si>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</si>
  <si>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</si>
  <si>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</si>
  <si>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</si>
  <si>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</si>
  <si>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</si>
  <si>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</si>
  <si>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</si>
  <si>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</si>
  <si>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</si>
  <si>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</si>
  <si>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</si>
  <si>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</si>
  <si>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</si>
  <si>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</si>
  <si>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</si>
  <si>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</si>
  <si>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</si>
  <si>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</si>
  <si>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</si>
  <si>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</si>
  <si>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</si>
  <si>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</si>
  <si>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</si>
  <si>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</si>
  <si>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</si>
  <si>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</si>
  <si>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</si>
  <si>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</si>
  <si>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</si>
  <si>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</si>
  <si>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</si>
  <si>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</si>
  <si>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</si>
  <si>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</si>
  <si>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</si>
  <si>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</si>
  <si>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</si>
  <si>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</si>
  <si>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</si>
  <si>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</si>
  <si>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</si>
  <si>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</si>
  <si>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</si>
  <si>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</si>
  <si>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</si>
  <si>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</si>
  <si>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</si>
  <si>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</si>
  <si>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</si>
  <si>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</si>
  <si>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</si>
  <si>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</si>
  <si>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</si>
  <si>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</si>
  <si>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</si>
  <si>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</si>
  <si>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</si>
  <si>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</si>
  <si>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</si>
  <si>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</si>
  <si>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</si>
  <si>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</si>
  <si>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</si>
  <si>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</si>
  <si>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</si>
  <si>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</si>
  <si>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</si>
  <si>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</si>
  <si>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</si>
  <si>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</si>
  <si>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</si>
  <si>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</si>
  <si>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</si>
  <si>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</si>
  <si>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</si>
  <si>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</si>
  <si>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</si>
  <si>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</si>
  <si>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</si>
  <si>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</si>
  <si>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</si>
  <si>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</si>
  <si>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</si>
  <si>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</si>
  <si>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</si>
  <si>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</si>
  <si>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</si>
  <si>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</si>
  <si>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</si>
  <si>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</si>
  <si>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</si>
  <si>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</si>
  <si>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</si>
  <si>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</si>
  <si>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</si>
  <si>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</si>
  <si>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</si>
  <si>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</si>
  <si>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</si>
  <si>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</si>
  <si>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</si>
  <si>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</si>
  <si>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</si>
  <si>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</si>
  <si>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</si>
  <si>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</si>
  <si>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</si>
  <si>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</si>
  <si>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</si>
  <si>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</si>
  <si>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</si>
  <si>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</si>
  <si>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</si>
  <si>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</si>
  <si>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</si>
  <si>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</si>
  <si>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</si>
  <si>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</si>
  <si>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</si>
  <si>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</si>
  <si>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</si>
  <si>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</si>
  <si>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</si>
  <si>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</si>
  <si>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</si>
  <si>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</si>
  <si>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</si>
  <si>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</si>
  <si>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</si>
  <si>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</si>
  <si>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</si>
  <si>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</si>
  <si>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</si>
  <si>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</si>
  <si>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</si>
  <si>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</si>
  <si>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</si>
  <si>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</si>
  <si>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</si>
  <si>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</si>
  <si>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23062</t>
  </si>
  <si>
    <t>OVERIJSE</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</si>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</sst>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EB9EBB79-DBE4-4189-B2EA-27F25E0F5E8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239646.75487058301</c:v>
                </c:pt>
                <c:pt idx="1">
                  <c:v>75926.082899629444</c:v>
                </c:pt>
                <c:pt idx="2">
                  <c:v>1108.673</c:v>
                </c:pt>
                <c:pt idx="3">
                  <c:v>2869.2441209755739</c:v>
                </c:pt>
                <c:pt idx="4">
                  <c:v>6229.7435329216223</c:v>
                </c:pt>
                <c:pt idx="5">
                  <c:v>302669.74921463931</c:v>
                </c:pt>
                <c:pt idx="6">
                  <c:v>4021.5292287937609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239646.75487058301</c:v>
                </c:pt>
                <c:pt idx="1">
                  <c:v>75926.082899629444</c:v>
                </c:pt>
                <c:pt idx="2">
                  <c:v>1108.673</c:v>
                </c:pt>
                <c:pt idx="3">
                  <c:v>2869.2441209755739</c:v>
                </c:pt>
                <c:pt idx="4">
                  <c:v>6229.7435329216223</c:v>
                </c:pt>
                <c:pt idx="5">
                  <c:v>302669.74921463931</c:v>
                </c:pt>
                <c:pt idx="6">
                  <c:v>4021.5292287937609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49015.490746987321</c:v>
                </c:pt>
                <c:pt idx="1">
                  <c:v>15587.755142626374</c:v>
                </c:pt>
                <c:pt idx="2">
                  <c:v>230.05766956377869</c:v>
                </c:pt>
                <c:pt idx="3">
                  <c:v>682.31260650402294</c:v>
                </c:pt>
                <c:pt idx="4">
                  <c:v>1298.6322926498804</c:v>
                </c:pt>
                <c:pt idx="5">
                  <c:v>75038.323936365719</c:v>
                </c:pt>
                <c:pt idx="6">
                  <c:v>1015.1614226540063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49015.490746987321</c:v>
                </c:pt>
                <c:pt idx="1">
                  <c:v>15587.755142626374</c:v>
                </c:pt>
                <c:pt idx="2">
                  <c:v>230.05766956377869</c:v>
                </c:pt>
                <c:pt idx="3">
                  <c:v>682.31260650402294</c:v>
                </c:pt>
                <c:pt idx="4">
                  <c:v>1298.6322926498804</c:v>
                </c:pt>
                <c:pt idx="5">
                  <c:v>75038.323936365719</c:v>
                </c:pt>
                <c:pt idx="6">
                  <c:v>1015.1614226540063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23062</v>
      </c>
      <c r="B6" s="382"/>
      <c r="C6" s="383"/>
    </row>
    <row r="7" spans="1:7" s="380" customFormat="1" ht="15.75" customHeight="1">
      <c r="A7" s="384" t="str">
        <f>txtMunicipality</f>
        <v>OVERIJSE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0.20750723573477364</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0.20750723573477364</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9911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1550.46</v>
      </c>
      <c r="C14" s="324"/>
      <c r="D14" s="324"/>
      <c r="E14" s="324"/>
      <c r="F14" s="324"/>
    </row>
    <row r="15" spans="1:6">
      <c r="A15" s="1264" t="s">
        <v>177</v>
      </c>
      <c r="B15" s="1265">
        <v>0</v>
      </c>
      <c r="C15" s="324"/>
      <c r="D15" s="324"/>
      <c r="E15" s="324"/>
      <c r="F15" s="324"/>
    </row>
    <row r="16" spans="1:6">
      <c r="A16" s="1264" t="s">
        <v>6</v>
      </c>
      <c r="B16" s="1265">
        <v>80</v>
      </c>
      <c r="C16" s="324"/>
      <c r="D16" s="324"/>
      <c r="E16" s="324"/>
      <c r="F16" s="324"/>
    </row>
    <row r="17" spans="1:6">
      <c r="A17" s="1264" t="s">
        <v>7</v>
      </c>
      <c r="B17" s="1265">
        <v>41</v>
      </c>
      <c r="C17" s="324"/>
      <c r="D17" s="324"/>
      <c r="E17" s="324"/>
      <c r="F17" s="324"/>
    </row>
    <row r="18" spans="1:6">
      <c r="A18" s="1264" t="s">
        <v>8</v>
      </c>
      <c r="B18" s="1265">
        <v>139</v>
      </c>
      <c r="C18" s="324"/>
      <c r="D18" s="324"/>
      <c r="E18" s="324"/>
      <c r="F18" s="324"/>
    </row>
    <row r="19" spans="1:6">
      <c r="A19" s="1264" t="s">
        <v>9</v>
      </c>
      <c r="B19" s="1265">
        <v>262</v>
      </c>
      <c r="C19" s="324"/>
      <c r="D19" s="324"/>
      <c r="E19" s="324"/>
      <c r="F19" s="324"/>
    </row>
    <row r="20" spans="1:6">
      <c r="A20" s="1264" t="s">
        <v>10</v>
      </c>
      <c r="B20" s="1265">
        <v>67</v>
      </c>
      <c r="C20" s="324"/>
      <c r="D20" s="324"/>
      <c r="E20" s="324"/>
      <c r="F20" s="324"/>
    </row>
    <row r="21" spans="1:6">
      <c r="A21" s="1264" t="s">
        <v>11</v>
      </c>
      <c r="B21" s="1265">
        <v>0</v>
      </c>
      <c r="C21" s="324"/>
      <c r="D21" s="324"/>
      <c r="E21" s="324"/>
      <c r="F21" s="324"/>
    </row>
    <row r="22" spans="1:6">
      <c r="A22" s="1264" t="s">
        <v>12</v>
      </c>
      <c r="B22" s="1265">
        <v>2</v>
      </c>
      <c r="C22" s="324"/>
      <c r="D22" s="324"/>
      <c r="E22" s="324"/>
      <c r="F22" s="324"/>
    </row>
    <row r="23" spans="1:6">
      <c r="A23" s="1264" t="s">
        <v>13</v>
      </c>
      <c r="B23" s="1265">
        <v>0</v>
      </c>
      <c r="C23" s="324"/>
      <c r="D23" s="324"/>
      <c r="E23" s="324"/>
      <c r="F23" s="324"/>
    </row>
    <row r="24" spans="1:6">
      <c r="A24" s="1264" t="s">
        <v>14</v>
      </c>
      <c r="B24" s="1265">
        <v>1</v>
      </c>
      <c r="C24" s="324"/>
      <c r="D24" s="324"/>
      <c r="E24" s="324"/>
      <c r="F24" s="324"/>
    </row>
    <row r="25" spans="1:6">
      <c r="A25" s="1264" t="s">
        <v>15</v>
      </c>
      <c r="B25" s="1265">
        <v>0</v>
      </c>
      <c r="C25" s="324"/>
      <c r="D25" s="324"/>
      <c r="E25" s="324"/>
      <c r="F25" s="324"/>
    </row>
    <row r="26" spans="1:6">
      <c r="A26" s="1264" t="s">
        <v>16</v>
      </c>
      <c r="B26" s="1265">
        <v>261</v>
      </c>
      <c r="C26" s="324"/>
      <c r="D26" s="324"/>
      <c r="E26" s="324"/>
      <c r="F26" s="324"/>
    </row>
    <row r="27" spans="1:6">
      <c r="A27" s="1264" t="s">
        <v>17</v>
      </c>
      <c r="B27" s="1265">
        <v>4</v>
      </c>
      <c r="C27" s="324"/>
      <c r="D27" s="324"/>
      <c r="E27" s="324"/>
      <c r="F27" s="324"/>
    </row>
    <row r="28" spans="1:6">
      <c r="A28" s="1264" t="s">
        <v>18</v>
      </c>
      <c r="B28" s="1266">
        <v>35</v>
      </c>
      <c r="C28" s="324"/>
      <c r="D28" s="324"/>
      <c r="E28" s="324"/>
      <c r="F28" s="324"/>
    </row>
    <row r="29" spans="1:6">
      <c r="A29" s="1264" t="s">
        <v>657</v>
      </c>
      <c r="B29" s="1266">
        <v>149</v>
      </c>
      <c r="C29" s="324"/>
      <c r="D29" s="324"/>
      <c r="E29" s="324"/>
      <c r="F29" s="324"/>
    </row>
    <row r="30" spans="1:6">
      <c r="A30" s="1259" t="s">
        <v>658</v>
      </c>
      <c r="B30" s="1267">
        <v>27</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3</v>
      </c>
      <c r="F35" s="1265">
        <v>14455.723570333401</v>
      </c>
    </row>
    <row r="36" spans="1:6">
      <c r="A36" s="1264" t="s">
        <v>24</v>
      </c>
      <c r="B36" s="1264" t="s">
        <v>26</v>
      </c>
      <c r="C36" s="1265">
        <v>0</v>
      </c>
      <c r="D36" s="1265">
        <v>0</v>
      </c>
      <c r="E36" s="1265">
        <v>9</v>
      </c>
      <c r="F36" s="1265">
        <v>21420.641690877201</v>
      </c>
    </row>
    <row r="37" spans="1:6">
      <c r="A37" s="1264" t="s">
        <v>24</v>
      </c>
      <c r="B37" s="1264" t="s">
        <v>27</v>
      </c>
      <c r="C37" s="1265">
        <v>0</v>
      </c>
      <c r="D37" s="1265">
        <v>0</v>
      </c>
      <c r="E37" s="1265">
        <v>0</v>
      </c>
      <c r="F37" s="1265">
        <v>0</v>
      </c>
    </row>
    <row r="38" spans="1:6">
      <c r="A38" s="1264" t="s">
        <v>24</v>
      </c>
      <c r="B38" s="1264" t="s">
        <v>28</v>
      </c>
      <c r="C38" s="1265">
        <v>1</v>
      </c>
      <c r="D38" s="1265">
        <v>32781.875993532303</v>
      </c>
      <c r="E38" s="1265">
        <v>1</v>
      </c>
      <c r="F38" s="1265">
        <v>48959.897612412598</v>
      </c>
    </row>
    <row r="39" spans="1:6">
      <c r="A39" s="1264" t="s">
        <v>29</v>
      </c>
      <c r="B39" s="1264" t="s">
        <v>30</v>
      </c>
      <c r="C39" s="1265">
        <v>6422</v>
      </c>
      <c r="D39" s="1265">
        <v>144512071.39848301</v>
      </c>
      <c r="E39" s="1265">
        <v>9751</v>
      </c>
      <c r="F39" s="1265">
        <v>39269942.091022901</v>
      </c>
    </row>
    <row r="40" spans="1:6">
      <c r="A40" s="1264" t="s">
        <v>29</v>
      </c>
      <c r="B40" s="1264" t="s">
        <v>28</v>
      </c>
      <c r="C40" s="1265">
        <v>0</v>
      </c>
      <c r="D40" s="1265">
        <v>0</v>
      </c>
      <c r="E40" s="1265">
        <v>0</v>
      </c>
      <c r="F40" s="1265">
        <v>0</v>
      </c>
    </row>
    <row r="41" spans="1:6">
      <c r="A41" s="1264" t="s">
        <v>31</v>
      </c>
      <c r="B41" s="1264" t="s">
        <v>32</v>
      </c>
      <c r="C41" s="1265">
        <v>78</v>
      </c>
      <c r="D41" s="1265">
        <v>2168618.48269078</v>
      </c>
      <c r="E41" s="1265">
        <v>160</v>
      </c>
      <c r="F41" s="1265">
        <v>1298566.0158597</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0</v>
      </c>
      <c r="D44" s="1265">
        <v>0</v>
      </c>
      <c r="E44" s="1265">
        <v>11</v>
      </c>
      <c r="F44" s="1265">
        <v>101915.381647024</v>
      </c>
    </row>
    <row r="45" spans="1:6">
      <c r="A45" s="1264" t="s">
        <v>31</v>
      </c>
      <c r="B45" s="1264" t="s">
        <v>36</v>
      </c>
      <c r="C45" s="1265">
        <v>0</v>
      </c>
      <c r="D45" s="1265">
        <v>0</v>
      </c>
      <c r="E45" s="1265">
        <v>4</v>
      </c>
      <c r="F45" s="1265">
        <v>243851.99339134601</v>
      </c>
    </row>
    <row r="46" spans="1:6">
      <c r="A46" s="1264" t="s">
        <v>31</v>
      </c>
      <c r="B46" s="1264" t="s">
        <v>37</v>
      </c>
      <c r="C46" s="1265">
        <v>0</v>
      </c>
      <c r="D46" s="1265">
        <v>0</v>
      </c>
      <c r="E46" s="1265">
        <v>0</v>
      </c>
      <c r="F46" s="1265">
        <v>0</v>
      </c>
    </row>
    <row r="47" spans="1:6">
      <c r="A47" s="1264" t="s">
        <v>31</v>
      </c>
      <c r="B47" s="1264" t="s">
        <v>38</v>
      </c>
      <c r="C47" s="1265">
        <v>7</v>
      </c>
      <c r="D47" s="1265">
        <v>204479.01467449099</v>
      </c>
      <c r="E47" s="1265">
        <v>12</v>
      </c>
      <c r="F47" s="1265">
        <v>349319.18321316002</v>
      </c>
    </row>
    <row r="48" spans="1:6">
      <c r="A48" s="1264" t="s">
        <v>31</v>
      </c>
      <c r="B48" s="1264" t="s">
        <v>28</v>
      </c>
      <c r="C48" s="1265">
        <v>7</v>
      </c>
      <c r="D48" s="1265">
        <v>123530.552664499</v>
      </c>
      <c r="E48" s="1265">
        <v>3</v>
      </c>
      <c r="F48" s="1265">
        <v>13786.528829594001</v>
      </c>
    </row>
    <row r="49" spans="1:6">
      <c r="A49" s="1264" t="s">
        <v>31</v>
      </c>
      <c r="B49" s="1264" t="s">
        <v>39</v>
      </c>
      <c r="C49" s="1265">
        <v>0</v>
      </c>
      <c r="D49" s="1265">
        <v>0</v>
      </c>
      <c r="E49" s="1265">
        <v>0</v>
      </c>
      <c r="F49" s="1265">
        <v>0</v>
      </c>
    </row>
    <row r="50" spans="1:6">
      <c r="A50" s="1264" t="s">
        <v>31</v>
      </c>
      <c r="B50" s="1264" t="s">
        <v>40</v>
      </c>
      <c r="C50" s="1265">
        <v>5</v>
      </c>
      <c r="D50" s="1265">
        <v>490717.43428948597</v>
      </c>
      <c r="E50" s="1265">
        <v>9</v>
      </c>
      <c r="F50" s="1265">
        <v>479308.14333335101</v>
      </c>
    </row>
    <row r="51" spans="1:6">
      <c r="A51" s="1264" t="s">
        <v>41</v>
      </c>
      <c r="B51" s="1264" t="s">
        <v>42</v>
      </c>
      <c r="C51" s="1265">
        <v>17</v>
      </c>
      <c r="D51" s="1265">
        <v>1157425.0331774</v>
      </c>
      <c r="E51" s="1265">
        <v>80</v>
      </c>
      <c r="F51" s="1265">
        <v>408985.694524616</v>
      </c>
    </row>
    <row r="52" spans="1:6">
      <c r="A52" s="1264" t="s">
        <v>41</v>
      </c>
      <c r="B52" s="1264" t="s">
        <v>28</v>
      </c>
      <c r="C52" s="1265">
        <v>0</v>
      </c>
      <c r="D52" s="1265">
        <v>0</v>
      </c>
      <c r="E52" s="1265">
        <v>0</v>
      </c>
      <c r="F52" s="1265">
        <v>0</v>
      </c>
    </row>
    <row r="53" spans="1:6">
      <c r="A53" s="1264" t="s">
        <v>43</v>
      </c>
      <c r="B53" s="1264" t="s">
        <v>44</v>
      </c>
      <c r="C53" s="1265">
        <v>176</v>
      </c>
      <c r="D53" s="1265">
        <v>4697264.5905526597</v>
      </c>
      <c r="E53" s="1265">
        <v>370</v>
      </c>
      <c r="F53" s="1265">
        <v>1467132.42959889</v>
      </c>
    </row>
    <row r="54" spans="1:6">
      <c r="A54" s="1264" t="s">
        <v>45</v>
      </c>
      <c r="B54" s="1264" t="s">
        <v>46</v>
      </c>
      <c r="C54" s="1265">
        <v>0</v>
      </c>
      <c r="D54" s="1265">
        <v>0</v>
      </c>
      <c r="E54" s="1265">
        <v>1</v>
      </c>
      <c r="F54" s="1265">
        <v>1108673</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98</v>
      </c>
      <c r="D57" s="1265">
        <v>9860048.9731559195</v>
      </c>
      <c r="E57" s="1265">
        <v>105</v>
      </c>
      <c r="F57" s="1265">
        <v>3623115.8085800698</v>
      </c>
    </row>
    <row r="58" spans="1:6">
      <c r="A58" s="1264" t="s">
        <v>48</v>
      </c>
      <c r="B58" s="1264" t="s">
        <v>50</v>
      </c>
      <c r="C58" s="1265">
        <v>54</v>
      </c>
      <c r="D58" s="1265">
        <v>4008268.8322760598</v>
      </c>
      <c r="E58" s="1265">
        <v>73</v>
      </c>
      <c r="F58" s="1265">
        <v>2092100.1961385701</v>
      </c>
    </row>
    <row r="59" spans="1:6">
      <c r="A59" s="1264" t="s">
        <v>48</v>
      </c>
      <c r="B59" s="1264" t="s">
        <v>51</v>
      </c>
      <c r="C59" s="1265">
        <v>158</v>
      </c>
      <c r="D59" s="1265">
        <v>11806345.4642055</v>
      </c>
      <c r="E59" s="1265">
        <v>308</v>
      </c>
      <c r="F59" s="1265">
        <v>9629673.7109765206</v>
      </c>
    </row>
    <row r="60" spans="1:6">
      <c r="A60" s="1264" t="s">
        <v>48</v>
      </c>
      <c r="B60" s="1264" t="s">
        <v>52</v>
      </c>
      <c r="C60" s="1265">
        <v>82</v>
      </c>
      <c r="D60" s="1265">
        <v>5114711.7401965102</v>
      </c>
      <c r="E60" s="1265">
        <v>96</v>
      </c>
      <c r="F60" s="1265">
        <v>3317409.4922373602</v>
      </c>
    </row>
    <row r="61" spans="1:6">
      <c r="A61" s="1264" t="s">
        <v>48</v>
      </c>
      <c r="B61" s="1264" t="s">
        <v>53</v>
      </c>
      <c r="C61" s="1265">
        <v>318</v>
      </c>
      <c r="D61" s="1265">
        <v>12952117.931311101</v>
      </c>
      <c r="E61" s="1265">
        <v>648</v>
      </c>
      <c r="F61" s="1265">
        <v>8765224.7261715401</v>
      </c>
    </row>
    <row r="62" spans="1:6">
      <c r="A62" s="1264" t="s">
        <v>48</v>
      </c>
      <c r="B62" s="1264" t="s">
        <v>54</v>
      </c>
      <c r="C62" s="1265">
        <v>12</v>
      </c>
      <c r="D62" s="1265">
        <v>1796320.1382591301</v>
      </c>
      <c r="E62" s="1265">
        <v>19</v>
      </c>
      <c r="F62" s="1265">
        <v>390824.76775293</v>
      </c>
    </row>
    <row r="63" spans="1:6">
      <c r="A63" s="1264" t="s">
        <v>48</v>
      </c>
      <c r="B63" s="1264" t="s">
        <v>28</v>
      </c>
      <c r="C63" s="1265">
        <v>0</v>
      </c>
      <c r="D63" s="1265">
        <v>0</v>
      </c>
      <c r="E63" s="1265">
        <v>0</v>
      </c>
      <c r="F63" s="1265">
        <v>0</v>
      </c>
    </row>
    <row r="64" spans="1:6">
      <c r="A64" s="1264" t="s">
        <v>55</v>
      </c>
      <c r="B64" s="1264" t="s">
        <v>56</v>
      </c>
      <c r="C64" s="1265">
        <v>0</v>
      </c>
      <c r="D64" s="1265">
        <v>0</v>
      </c>
      <c r="E64" s="1265">
        <v>3</v>
      </c>
      <c r="F64" s="1265">
        <v>16446.667257666799</v>
      </c>
    </row>
    <row r="65" spans="1:6">
      <c r="A65" s="1264" t="s">
        <v>55</v>
      </c>
      <c r="B65" s="1264" t="s">
        <v>28</v>
      </c>
      <c r="C65" s="1265">
        <v>1</v>
      </c>
      <c r="D65" s="1265">
        <v>143130.29209077399</v>
      </c>
      <c r="E65" s="1265">
        <v>0</v>
      </c>
      <c r="F65" s="1265">
        <v>0</v>
      </c>
    </row>
    <row r="66" spans="1:6">
      <c r="A66" s="1264" t="s">
        <v>55</v>
      </c>
      <c r="B66" s="1264" t="s">
        <v>57</v>
      </c>
      <c r="C66" s="1265">
        <v>0</v>
      </c>
      <c r="D66" s="1265">
        <v>0</v>
      </c>
      <c r="E66" s="1265">
        <v>21</v>
      </c>
      <c r="F66" s="1265">
        <v>265074</v>
      </c>
    </row>
    <row r="67" spans="1:6">
      <c r="A67" s="1264" t="s">
        <v>55</v>
      </c>
      <c r="B67" s="1264" t="s">
        <v>58</v>
      </c>
      <c r="C67" s="1265">
        <v>0</v>
      </c>
      <c r="D67" s="1265">
        <v>0</v>
      </c>
      <c r="E67" s="1265">
        <v>0</v>
      </c>
      <c r="F67" s="1265">
        <v>0</v>
      </c>
    </row>
    <row r="68" spans="1:6">
      <c r="A68" s="1259" t="s">
        <v>55</v>
      </c>
      <c r="B68" s="1259" t="s">
        <v>59</v>
      </c>
      <c r="C68" s="1267">
        <v>6</v>
      </c>
      <c r="D68" s="1267">
        <v>445104.27153862198</v>
      </c>
      <c r="E68" s="1267">
        <v>15</v>
      </c>
      <c r="F68" s="1267">
        <v>240176.46570017401</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88566049</v>
      </c>
      <c r="E73" s="443"/>
      <c r="F73" s="324"/>
    </row>
    <row r="74" spans="1:6">
      <c r="A74" s="1264" t="s">
        <v>63</v>
      </c>
      <c r="B74" s="1264" t="s">
        <v>608</v>
      </c>
      <c r="C74" s="1277" t="s">
        <v>610</v>
      </c>
      <c r="D74" s="1265">
        <v>3152562.1365252552</v>
      </c>
      <c r="E74" s="443"/>
      <c r="F74" s="324"/>
    </row>
    <row r="75" spans="1:6">
      <c r="A75" s="1264" t="s">
        <v>64</v>
      </c>
      <c r="B75" s="1264" t="s">
        <v>607</v>
      </c>
      <c r="C75" s="1277" t="s">
        <v>611</v>
      </c>
      <c r="D75" s="1265">
        <v>49581861</v>
      </c>
      <c r="E75" s="443"/>
      <c r="F75" s="324"/>
    </row>
    <row r="76" spans="1:6">
      <c r="A76" s="1264" t="s">
        <v>64</v>
      </c>
      <c r="B76" s="1264" t="s">
        <v>608</v>
      </c>
      <c r="C76" s="1277" t="s">
        <v>612</v>
      </c>
      <c r="D76" s="1265">
        <v>991351.13652525505</v>
      </c>
      <c r="E76" s="443"/>
      <c r="F76" s="324"/>
    </row>
    <row r="77" spans="1:6">
      <c r="A77" s="1264" t="s">
        <v>65</v>
      </c>
      <c r="B77" s="1264" t="s">
        <v>607</v>
      </c>
      <c r="C77" s="1277" t="s">
        <v>613</v>
      </c>
      <c r="D77" s="1265">
        <v>219927186</v>
      </c>
      <c r="E77" s="443"/>
      <c r="F77" s="324"/>
    </row>
    <row r="78" spans="1:6">
      <c r="A78" s="1259" t="s">
        <v>65</v>
      </c>
      <c r="B78" s="1259" t="s">
        <v>608</v>
      </c>
      <c r="C78" s="1259" t="s">
        <v>614</v>
      </c>
      <c r="D78" s="1267">
        <v>16163898</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1113773.7269494899</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19.88005758236136</v>
      </c>
      <c r="C89" s="324"/>
      <c r="D89" s="324"/>
      <c r="E89" s="324"/>
      <c r="F89" s="324"/>
    </row>
    <row r="90" spans="1:6">
      <c r="A90" s="1264" t="s">
        <v>524</v>
      </c>
      <c r="B90" s="1265">
        <v>0</v>
      </c>
      <c r="C90" s="324"/>
      <c r="D90" s="324"/>
      <c r="E90" s="324"/>
      <c r="F90" s="324"/>
    </row>
    <row r="91" spans="1:6">
      <c r="A91" s="1264" t="s">
        <v>67</v>
      </c>
      <c r="B91" s="1265">
        <v>4230.4405151852752</v>
      </c>
      <c r="C91" s="324"/>
      <c r="D91" s="324"/>
      <c r="E91" s="324"/>
      <c r="F91" s="324"/>
    </row>
    <row r="92" spans="1:6">
      <c r="A92" s="1259" t="s">
        <v>68</v>
      </c>
      <c r="B92" s="1260">
        <v>477.34189400886612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3706</v>
      </c>
      <c r="C97" s="324"/>
      <c r="D97" s="324"/>
      <c r="E97" s="324"/>
      <c r="F97" s="324"/>
    </row>
    <row r="98" spans="1:6">
      <c r="A98" s="1264" t="s">
        <v>71</v>
      </c>
      <c r="B98" s="1265">
        <v>4</v>
      </c>
      <c r="C98" s="324"/>
      <c r="D98" s="324"/>
      <c r="E98" s="324"/>
      <c r="F98" s="324"/>
    </row>
    <row r="99" spans="1:6">
      <c r="A99" s="1264" t="s">
        <v>72</v>
      </c>
      <c r="B99" s="1265">
        <v>74</v>
      </c>
      <c r="C99" s="324"/>
      <c r="D99" s="324"/>
      <c r="E99" s="324"/>
      <c r="F99" s="324"/>
    </row>
    <row r="100" spans="1:6">
      <c r="A100" s="1264" t="s">
        <v>73</v>
      </c>
      <c r="B100" s="1265">
        <v>477</v>
      </c>
      <c r="C100" s="324"/>
      <c r="D100" s="324"/>
      <c r="E100" s="324"/>
      <c r="F100" s="324"/>
    </row>
    <row r="101" spans="1:6">
      <c r="A101" s="1264" t="s">
        <v>74</v>
      </c>
      <c r="B101" s="1265">
        <v>44</v>
      </c>
      <c r="C101" s="324"/>
      <c r="D101" s="324"/>
      <c r="E101" s="324"/>
      <c r="F101" s="324"/>
    </row>
    <row r="102" spans="1:6">
      <c r="A102" s="1264" t="s">
        <v>75</v>
      </c>
      <c r="B102" s="1265">
        <v>114</v>
      </c>
      <c r="C102" s="324"/>
      <c r="D102" s="324"/>
      <c r="E102" s="324"/>
      <c r="F102" s="324"/>
    </row>
    <row r="103" spans="1:6">
      <c r="A103" s="1264" t="s">
        <v>76</v>
      </c>
      <c r="B103" s="1265">
        <v>138</v>
      </c>
      <c r="C103" s="324"/>
      <c r="D103" s="324"/>
      <c r="E103" s="324"/>
      <c r="F103" s="324"/>
    </row>
    <row r="104" spans="1:6">
      <c r="A104" s="1264" t="s">
        <v>77</v>
      </c>
      <c r="B104" s="1265">
        <v>3945</v>
      </c>
      <c r="C104" s="324"/>
      <c r="D104" s="324"/>
      <c r="E104" s="324"/>
      <c r="F104" s="324"/>
    </row>
    <row r="105" spans="1:6">
      <c r="A105" s="1259" t="s">
        <v>78</v>
      </c>
      <c r="B105" s="1267">
        <v>13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31</v>
      </c>
      <c r="C123" s="1265">
        <v>72</v>
      </c>
      <c r="D123" s="324"/>
      <c r="E123" s="324"/>
      <c r="F123" s="324"/>
    </row>
    <row r="124" spans="1:6">
      <c r="A124" s="1264" t="s">
        <v>88</v>
      </c>
      <c r="B124" s="1265">
        <v>1</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187</v>
      </c>
      <c r="C129" s="324"/>
      <c r="D129" s="324"/>
      <c r="E129" s="324"/>
      <c r="F129" s="324"/>
    </row>
    <row r="130" spans="1:6">
      <c r="A130" s="1264" t="s">
        <v>284</v>
      </c>
      <c r="B130" s="1265">
        <v>1</v>
      </c>
      <c r="C130" s="324"/>
      <c r="D130" s="324"/>
      <c r="E130" s="324"/>
      <c r="F130" s="324"/>
    </row>
    <row r="131" spans="1:6">
      <c r="A131" s="1264" t="s">
        <v>285</v>
      </c>
      <c r="B131" s="1265">
        <v>1</v>
      </c>
      <c r="C131" s="324"/>
      <c r="D131" s="324"/>
      <c r="E131" s="324"/>
      <c r="F131" s="324"/>
    </row>
    <row r="132" spans="1:6">
      <c r="A132" s="1259" t="s">
        <v>286</v>
      </c>
      <c r="B132" s="1260">
        <v>17</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77435.089253749626</v>
      </c>
      <c r="C3" s="43" t="s">
        <v>163</v>
      </c>
      <c r="D3" s="43"/>
      <c r="E3" s="153"/>
      <c r="F3" s="43"/>
      <c r="G3" s="43"/>
      <c r="H3" s="43"/>
      <c r="I3" s="43"/>
      <c r="J3" s="43"/>
      <c r="K3" s="96"/>
    </row>
    <row r="4" spans="1:11">
      <c r="A4" s="350" t="s">
        <v>164</v>
      </c>
      <c r="B4" s="49">
        <f>IF(ISERROR('SEAP template'!B78+'SEAP template'!C78),0,'SEAP template'!B78+'SEAP template'!C78)</f>
        <v>4727.6624667765027</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0.20750723573477364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1108.673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1108.673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0.20750723573477364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230.05766956377869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39269.942091022902</v>
      </c>
      <c r="C5" s="17">
        <f>IF(ISERROR('Eigen informatie GS &amp; warmtenet'!B59),0,'Eigen informatie GS &amp; warmtenet'!B59)</f>
        <v>0</v>
      </c>
      <c r="D5" s="30">
        <f>(SUM(HH_hh_gas_kWh,HH_rest_gas_kWh)/1000)*0.903</f>
        <v>130494.40047283017</v>
      </c>
      <c r="E5" s="17">
        <f>B32*B41</f>
        <v>2940.7458236534608</v>
      </c>
      <c r="F5" s="17">
        <f>B36*B45</f>
        <v>48192.007169473683</v>
      </c>
      <c r="G5" s="18"/>
      <c r="H5" s="17"/>
      <c r="I5" s="17"/>
      <c r="J5" s="17">
        <f>B35*B44+C35*C44</f>
        <v>265.99572665968293</v>
      </c>
      <c r="K5" s="17"/>
      <c r="L5" s="17"/>
      <c r="M5" s="17"/>
      <c r="N5" s="17">
        <f>B34*B43+C34*C43</f>
        <v>13223.213886860001</v>
      </c>
      <c r="O5" s="17">
        <f>B52*B53*B54</f>
        <v>513.84517882124123</v>
      </c>
      <c r="P5" s="17">
        <f>B60*B61*B62/1000-B60*B61*B62/1000/B63</f>
        <v>516.16400607656612</v>
      </c>
    </row>
    <row r="6" spans="1:16">
      <c r="A6" s="16" t="s">
        <v>573</v>
      </c>
      <c r="B6" s="739">
        <f>kWh_PV_kleiner_dan_10kW</f>
        <v>4230.4405151852752</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43500.382606208179</v>
      </c>
      <c r="C8" s="21">
        <f>C5</f>
        <v>0</v>
      </c>
      <c r="D8" s="21">
        <f>D5</f>
        <v>130494.40047283017</v>
      </c>
      <c r="E8" s="21">
        <f>E5</f>
        <v>2940.7458236534608</v>
      </c>
      <c r="F8" s="21">
        <f>F5</f>
        <v>48192.007169473683</v>
      </c>
      <c r="G8" s="21"/>
      <c r="H8" s="21"/>
      <c r="I8" s="21"/>
      <c r="J8" s="21">
        <f>J5</f>
        <v>265.99572665968293</v>
      </c>
      <c r="K8" s="21"/>
      <c r="L8" s="21">
        <f>L5</f>
        <v>0</v>
      </c>
      <c r="M8" s="21">
        <f>M5</f>
        <v>0</v>
      </c>
      <c r="N8" s="21">
        <f>N5</f>
        <v>13223.213886860001</v>
      </c>
      <c r="O8" s="21">
        <f>O5</f>
        <v>513.84517882124123</v>
      </c>
      <c r="P8" s="21">
        <f>P5</f>
        <v>516.16400607656612</v>
      </c>
    </row>
    <row r="9" spans="1:16">
      <c r="B9" s="19"/>
      <c r="C9" s="19"/>
      <c r="D9" s="253"/>
      <c r="E9" s="19"/>
      <c r="F9" s="19"/>
      <c r="G9" s="19"/>
      <c r="H9" s="19"/>
      <c r="I9" s="19"/>
      <c r="J9" s="19"/>
      <c r="K9" s="19"/>
      <c r="L9" s="19"/>
      <c r="M9" s="19"/>
      <c r="N9" s="19"/>
      <c r="O9" s="19"/>
      <c r="P9" s="19"/>
    </row>
    <row r="10" spans="1:16">
      <c r="A10" s="24" t="s">
        <v>207</v>
      </c>
      <c r="B10" s="25">
        <f ca="1">'EF ele_warmte'!B12</f>
        <v>0.20750723573477364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9026.644148019288</v>
      </c>
      <c r="C12" s="23">
        <f ca="1">C10*C8</f>
        <v>0</v>
      </c>
      <c r="D12" s="23">
        <f>D8*D10</f>
        <v>26359.868895511696</v>
      </c>
      <c r="E12" s="23">
        <f>E10*E8</f>
        <v>667.5493019693356</v>
      </c>
      <c r="F12" s="23">
        <f>F10*F8</f>
        <v>12867.265914249474</v>
      </c>
      <c r="G12" s="23"/>
      <c r="H12" s="23"/>
      <c r="I12" s="23"/>
      <c r="J12" s="23">
        <f>J10*J8</f>
        <v>94.162487237527756</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9911</v>
      </c>
      <c r="C26" s="36"/>
      <c r="D26" s="224"/>
    </row>
    <row r="27" spans="1:5" s="15" customFormat="1">
      <c r="A27" s="226" t="s">
        <v>784</v>
      </c>
      <c r="B27" s="37">
        <f>SUM(HH_hh_gas_aantal,HH_rest_gas_aantal)</f>
        <v>6422</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6100.9</v>
      </c>
      <c r="C31" s="34" t="s">
        <v>104</v>
      </c>
      <c r="D31" s="170"/>
    </row>
    <row r="32" spans="1:5">
      <c r="A32" s="167" t="s">
        <v>72</v>
      </c>
      <c r="B32" s="33">
        <f>IF((B21*($B$26-($B$27-0.05*$B$27)-$B$60))&lt;0,0,B21*($B$26-($B$27-0.05*$B$27)-$B$60))</f>
        <v>58.014825276658357</v>
      </c>
      <c r="C32" s="34" t="s">
        <v>104</v>
      </c>
      <c r="D32" s="170"/>
    </row>
    <row r="33" spans="1:6">
      <c r="A33" s="167" t="s">
        <v>73</v>
      </c>
      <c r="B33" s="33">
        <f>IF((B22*($B$26-($B$27-0.05*$B$27)-$B$60))&lt;0,0,B22*($B$26-($B$27-0.05*$B$27)-$B$60))</f>
        <v>942.04586287034601</v>
      </c>
      <c r="C33" s="34" t="s">
        <v>104</v>
      </c>
      <c r="D33" s="170"/>
    </row>
    <row r="34" spans="1:6">
      <c r="A34" s="167" t="s">
        <v>74</v>
      </c>
      <c r="B34" s="33">
        <f>IF((B24*($B$26-($B$27-0.05*$B$27)-$B$60))&lt;0,0,B24*($B$26-($B$27-0.05*$B$27)-$B$60))</f>
        <v>411.918287735023</v>
      </c>
      <c r="C34" s="33">
        <f>B26*C24</f>
        <v>1665.0473241945629</v>
      </c>
      <c r="D34" s="229"/>
    </row>
    <row r="35" spans="1:6">
      <c r="A35" s="167" t="s">
        <v>76</v>
      </c>
      <c r="B35" s="33">
        <f>IF((B19*($B$26-($B$27-0.05*$B$27)-$B$60))&lt;0,0,B19*($B$26-($B$27-0.05*$B$27)-$B$60))</f>
        <v>25.218906236634165</v>
      </c>
      <c r="C35" s="33">
        <f>B35/2</f>
        <v>12.609453118317083</v>
      </c>
      <c r="D35" s="229"/>
    </row>
    <row r="36" spans="1:6">
      <c r="A36" s="167" t="s">
        <v>77</v>
      </c>
      <c r="B36" s="33">
        <f>IF((B18*($B$26-($B$27-0.05*$B$27)-$B$60))&lt;0,0,B18*($B$26-($B$27-0.05*$B$27)-$B$60))</f>
        <v>2323.9021178813377</v>
      </c>
      <c r="C36" s="34" t="s">
        <v>104</v>
      </c>
      <c r="D36" s="170"/>
    </row>
    <row r="37" spans="1:6">
      <c r="A37" s="167" t="s">
        <v>78</v>
      </c>
      <c r="B37" s="33">
        <f>B60</f>
        <v>49</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259</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49</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27818.34870185699</v>
      </c>
      <c r="C5" s="17">
        <f>IF(ISERROR('Eigen informatie GS &amp; warmtenet'!B60),0,'Eigen informatie GS &amp; warmtenet'!B60)</f>
        <v>0</v>
      </c>
      <c r="D5" s="30">
        <f>SUM(D6:D12)</f>
        <v>41120.645210702016</v>
      </c>
      <c r="E5" s="17">
        <f>SUM(E6:E12)</f>
        <v>88.170099229942608</v>
      </c>
      <c r="F5" s="17">
        <f>SUM(F6:F12)</f>
        <v>5576.2130679852207</v>
      </c>
      <c r="G5" s="18"/>
      <c r="H5" s="17"/>
      <c r="I5" s="17"/>
      <c r="J5" s="17">
        <f>SUM(J6:J12)</f>
        <v>3.5781239952760606E-2</v>
      </c>
      <c r="K5" s="17"/>
      <c r="L5" s="17"/>
      <c r="M5" s="17"/>
      <c r="N5" s="17">
        <f>SUM(N6:N12)</f>
        <v>1265.2336395429807</v>
      </c>
      <c r="O5" s="17">
        <f>B38*B39*B40</f>
        <v>4.8972607658411542</v>
      </c>
      <c r="P5" s="17">
        <f>B46*B47*B48/1000-B46*B47*B48/1000/B49</f>
        <v>52.539138306495019</v>
      </c>
      <c r="R5" s="32"/>
    </row>
    <row r="6" spans="1:18">
      <c r="A6" s="32" t="s">
        <v>53</v>
      </c>
      <c r="B6" s="37">
        <f>B26</f>
        <v>8765.2247261715402</v>
      </c>
      <c r="C6" s="33"/>
      <c r="D6" s="37">
        <f>IF(ISERROR(TER_kantoor_gas_kWh/1000),0,TER_kantoor_gas_kWh/1000)*0.903</f>
        <v>11695.762491973925</v>
      </c>
      <c r="E6" s="33">
        <f>$C$26*'E Balans VL '!I12/100/3.6*1000000</f>
        <v>2.1317646896747351</v>
      </c>
      <c r="F6" s="33">
        <f>$C$26*('E Balans VL '!L12+'E Balans VL '!N12)/100/3.6*1000000</f>
        <v>839.32577013822083</v>
      </c>
      <c r="G6" s="34"/>
      <c r="H6" s="33"/>
      <c r="I6" s="33"/>
      <c r="J6" s="33">
        <f>$C$26*('E Balans VL '!D12+'E Balans VL '!E12)/100/3.6*1000000</f>
        <v>0</v>
      </c>
      <c r="K6" s="33"/>
      <c r="L6" s="33"/>
      <c r="M6" s="33"/>
      <c r="N6" s="33">
        <f>$C$26*'E Balans VL '!Y12/100/3.6*1000000</f>
        <v>4.4498768283064578</v>
      </c>
      <c r="O6" s="33"/>
      <c r="P6" s="33"/>
      <c r="R6" s="32"/>
    </row>
    <row r="7" spans="1:18">
      <c r="A7" s="32" t="s">
        <v>52</v>
      </c>
      <c r="B7" s="37">
        <f t="shared" ref="B7:B12" si="0">B27</f>
        <v>3317.4094922373602</v>
      </c>
      <c r="C7" s="33"/>
      <c r="D7" s="37">
        <f>IF(ISERROR(TER_horeca_gas_kWh/1000),0,TER_horeca_gas_kWh/1000)*0.903</f>
        <v>4618.584701397449</v>
      </c>
      <c r="E7" s="33">
        <f>$C$27*'E Balans VL '!I9/100/3.6*1000000</f>
        <v>0</v>
      </c>
      <c r="F7" s="33">
        <f>$C$27*('E Balans VL '!L9+'E Balans VL '!N9)/100/3.6*1000000</f>
        <v>272.09090454817061</v>
      </c>
      <c r="G7" s="34"/>
      <c r="H7" s="33"/>
      <c r="I7" s="33"/>
      <c r="J7" s="33">
        <f>$C$27*('E Balans VL '!D9+'E Balans VL '!E9)/100/3.6*1000000</f>
        <v>0</v>
      </c>
      <c r="K7" s="33"/>
      <c r="L7" s="33"/>
      <c r="M7" s="33"/>
      <c r="N7" s="33">
        <f>$C$27*'E Balans VL '!Y9/100/3.6*1000000</f>
        <v>21.788088212474936</v>
      </c>
      <c r="O7" s="33"/>
      <c r="P7" s="33"/>
      <c r="R7" s="32"/>
    </row>
    <row r="8" spans="1:18">
      <c r="A8" s="6" t="s">
        <v>51</v>
      </c>
      <c r="B8" s="37">
        <f t="shared" si="0"/>
        <v>9629.6737109765199</v>
      </c>
      <c r="C8" s="33"/>
      <c r="D8" s="37">
        <f>IF(ISERROR(TER_handel_gas_kWh/1000),0,TER_handel_gas_kWh/1000)*0.903</f>
        <v>10661.129954177568</v>
      </c>
      <c r="E8" s="33">
        <f>$C$28*'E Balans VL '!I13/100/3.6*1000000</f>
        <v>34.041395436300327</v>
      </c>
      <c r="F8" s="33">
        <f>$C$28*('E Balans VL '!L13+'E Balans VL '!N13)/100/3.6*1000000</f>
        <v>886.68695518499021</v>
      </c>
      <c r="G8" s="34"/>
      <c r="H8" s="33"/>
      <c r="I8" s="33"/>
      <c r="J8" s="33">
        <f>$C$28*('E Balans VL '!D13+'E Balans VL '!E13)/100/3.6*1000000</f>
        <v>0</v>
      </c>
      <c r="K8" s="33"/>
      <c r="L8" s="33"/>
      <c r="M8" s="33"/>
      <c r="N8" s="33">
        <f>$C$28*'E Balans VL '!Y13/100/3.6*1000000</f>
        <v>3.4874532451471953</v>
      </c>
      <c r="O8" s="33"/>
      <c r="P8" s="33"/>
      <c r="R8" s="32"/>
    </row>
    <row r="9" spans="1:18">
      <c r="A9" s="32" t="s">
        <v>50</v>
      </c>
      <c r="B9" s="37">
        <f t="shared" si="0"/>
        <v>2092.10019613857</v>
      </c>
      <c r="C9" s="33"/>
      <c r="D9" s="37">
        <f>IF(ISERROR(TER_gezond_gas_kWh/1000),0,TER_gezond_gas_kWh/1000)*0.903</f>
        <v>3619.466755545282</v>
      </c>
      <c r="E9" s="33">
        <f>$C$29*'E Balans VL '!I10/100/3.6*1000000</f>
        <v>0</v>
      </c>
      <c r="F9" s="33">
        <f>$C$29*('E Balans VL '!L10+'E Balans VL '!N10)/100/3.6*1000000</f>
        <v>257.0059678027219</v>
      </c>
      <c r="G9" s="34"/>
      <c r="H9" s="33"/>
      <c r="I9" s="33"/>
      <c r="J9" s="33">
        <f>$C$29*('E Balans VL '!D10+'E Balans VL '!E10)/100/3.6*1000000</f>
        <v>0</v>
      </c>
      <c r="K9" s="33"/>
      <c r="L9" s="33"/>
      <c r="M9" s="33"/>
      <c r="N9" s="33">
        <f>$C$29*'E Balans VL '!Y10/100/3.6*1000000</f>
        <v>15.427781056384285</v>
      </c>
      <c r="O9" s="33"/>
      <c r="P9" s="33"/>
      <c r="R9" s="32"/>
    </row>
    <row r="10" spans="1:18">
      <c r="A10" s="32" t="s">
        <v>49</v>
      </c>
      <c r="B10" s="37">
        <f t="shared" si="0"/>
        <v>3623.1158085800698</v>
      </c>
      <c r="C10" s="33"/>
      <c r="D10" s="37">
        <f>IF(ISERROR(TER_ander_gas_kWh/1000),0,TER_ander_gas_kWh/1000)*0.903</f>
        <v>8903.6242227597959</v>
      </c>
      <c r="E10" s="33">
        <f>$C$30*'E Balans VL '!I14/100/3.6*1000000</f>
        <v>51.996939103967549</v>
      </c>
      <c r="F10" s="33">
        <f>$C$30*('E Balans VL '!L14+'E Balans VL '!N14)/100/3.6*1000000</f>
        <v>3275.4114008581373</v>
      </c>
      <c r="G10" s="34"/>
      <c r="H10" s="33"/>
      <c r="I10" s="33"/>
      <c r="J10" s="33">
        <f>$C$30*('E Balans VL '!D14+'E Balans VL '!E14)/100/3.6*1000000</f>
        <v>3.5781239952760606E-2</v>
      </c>
      <c r="K10" s="33"/>
      <c r="L10" s="33"/>
      <c r="M10" s="33"/>
      <c r="N10" s="33">
        <f>$C$30*'E Balans VL '!Y14/100/3.6*1000000</f>
        <v>1218.9799225335591</v>
      </c>
      <c r="O10" s="33"/>
      <c r="P10" s="33"/>
      <c r="R10" s="32"/>
    </row>
    <row r="11" spans="1:18">
      <c r="A11" s="32" t="s">
        <v>54</v>
      </c>
      <c r="B11" s="37">
        <f t="shared" si="0"/>
        <v>390.82476775292997</v>
      </c>
      <c r="C11" s="33"/>
      <c r="D11" s="37">
        <f>IF(ISERROR(TER_onderwijs_gas_kWh/1000),0,TER_onderwijs_gas_kWh/1000)*0.903</f>
        <v>1622.0770848479945</v>
      </c>
      <c r="E11" s="33">
        <f>$C$31*'E Balans VL '!I11/100/3.6*1000000</f>
        <v>0</v>
      </c>
      <c r="F11" s="33">
        <f>$C$31*('E Balans VL '!L11+'E Balans VL '!N11)/100/3.6*1000000</f>
        <v>45.69206945297983</v>
      </c>
      <c r="G11" s="34"/>
      <c r="H11" s="33"/>
      <c r="I11" s="33"/>
      <c r="J11" s="33">
        <f>$C$31*('E Balans VL '!D11+'E Balans VL '!E11)/100/3.6*1000000</f>
        <v>0</v>
      </c>
      <c r="K11" s="33"/>
      <c r="L11" s="33"/>
      <c r="M11" s="33"/>
      <c r="N11" s="33">
        <f>$C$31*'E Balans VL '!Y11/100/3.6*1000000</f>
        <v>1.1005176671084227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27818.34870185699</v>
      </c>
      <c r="C16" s="21">
        <f t="shared" ca="1" si="1"/>
        <v>0</v>
      </c>
      <c r="D16" s="21">
        <f t="shared" ca="1" si="1"/>
        <v>41120.645210702016</v>
      </c>
      <c r="E16" s="21">
        <f t="shared" si="1"/>
        <v>88.170099229942608</v>
      </c>
      <c r="F16" s="21">
        <f t="shared" ca="1" si="1"/>
        <v>5576.2130679852207</v>
      </c>
      <c r="G16" s="21">
        <f t="shared" si="1"/>
        <v>0</v>
      </c>
      <c r="H16" s="21">
        <f t="shared" si="1"/>
        <v>0</v>
      </c>
      <c r="I16" s="21">
        <f t="shared" si="1"/>
        <v>0</v>
      </c>
      <c r="J16" s="21">
        <f t="shared" si="1"/>
        <v>3.5781239952760606E-2</v>
      </c>
      <c r="K16" s="21">
        <f t="shared" si="1"/>
        <v>0</v>
      </c>
      <c r="L16" s="21">
        <f t="shared" ca="1" si="1"/>
        <v>0</v>
      </c>
      <c r="M16" s="21">
        <f t="shared" si="1"/>
        <v>0</v>
      </c>
      <c r="N16" s="21">
        <f t="shared" ca="1" si="1"/>
        <v>1265.2336395429807</v>
      </c>
      <c r="O16" s="21">
        <f>O5</f>
        <v>4.8972607658411542</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0.20750723573477364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5772.5086418283727</v>
      </c>
      <c r="C20" s="23">
        <f t="shared" ref="C20:P20" ca="1" si="2">C16*C18</f>
        <v>0</v>
      </c>
      <c r="D20" s="23">
        <f t="shared" ca="1" si="2"/>
        <v>8306.370332561808</v>
      </c>
      <c r="E20" s="23">
        <f t="shared" si="2"/>
        <v>20.014612525196974</v>
      </c>
      <c r="F20" s="23">
        <f t="shared" ca="1" si="2"/>
        <v>1488.848889152054</v>
      </c>
      <c r="G20" s="23">
        <f t="shared" si="2"/>
        <v>0</v>
      </c>
      <c r="H20" s="23">
        <f t="shared" si="2"/>
        <v>0</v>
      </c>
      <c r="I20" s="23">
        <f t="shared" si="2"/>
        <v>0</v>
      </c>
      <c r="J20" s="23">
        <f t="shared" si="2"/>
        <v>1.2666558943277255E-2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8765.2247261715402</v>
      </c>
      <c r="C26" s="39">
        <f>IF(ISERROR(B26*3.6/1000000/'E Balans VL '!Z12*100),0,B26*3.6/1000000/'E Balans VL '!Z12*100)</f>
        <v>0.24706907431958838</v>
      </c>
      <c r="D26" s="232" t="s">
        <v>660</v>
      </c>
      <c r="F26" s="6"/>
    </row>
    <row r="27" spans="1:18">
      <c r="A27" s="227" t="s">
        <v>52</v>
      </c>
      <c r="B27" s="33">
        <f>IF(ISERROR(TER_horeca_ele_kWh/1000),0,TER_horeca_ele_kWh/1000)</f>
        <v>3317.4094922373602</v>
      </c>
      <c r="C27" s="39">
        <f>IF(ISERROR(B27*3.6/1000000/'E Balans VL '!Z9*100),0,B27*3.6/1000000/'E Balans VL '!Z9*100)</f>
        <v>0.24594516054454729</v>
      </c>
      <c r="D27" s="232" t="s">
        <v>660</v>
      </c>
      <c r="F27" s="6"/>
    </row>
    <row r="28" spans="1:18">
      <c r="A28" s="167" t="s">
        <v>51</v>
      </c>
      <c r="B28" s="33">
        <f>IF(ISERROR(TER_handel_ele_kWh/1000),0,TER_handel_ele_kWh/1000)</f>
        <v>9629.6737109765199</v>
      </c>
      <c r="C28" s="39">
        <f>IF(ISERROR(B28*3.6/1000000/'E Balans VL '!Z13*100),0,B28*3.6/1000000/'E Balans VL '!Z13*100)</f>
        <v>0.28848212897679049</v>
      </c>
      <c r="D28" s="232" t="s">
        <v>660</v>
      </c>
      <c r="F28" s="6"/>
    </row>
    <row r="29" spans="1:18">
      <c r="A29" s="227" t="s">
        <v>50</v>
      </c>
      <c r="B29" s="33">
        <f>IF(ISERROR(TER_gezond_ele_kWh/1000),0,TER_gezond_ele_kWh/1000)</f>
        <v>2092.10019613857</v>
      </c>
      <c r="C29" s="39">
        <f>IF(ISERROR(B29*3.6/1000000/'E Balans VL '!Z10*100),0,B29*3.6/1000000/'E Balans VL '!Z10*100)</f>
        <v>0.2068676873889036</v>
      </c>
      <c r="D29" s="232" t="s">
        <v>660</v>
      </c>
      <c r="F29" s="6"/>
    </row>
    <row r="30" spans="1:18">
      <c r="A30" s="227" t="s">
        <v>49</v>
      </c>
      <c r="B30" s="33">
        <f>IF(ISERROR(TER_ander_ele_kWh/1000),0,TER_ander_ele_kWh/1000)</f>
        <v>3623.1158085800698</v>
      </c>
      <c r="C30" s="39">
        <f>IF(ISERROR(B30*3.6/1000000/'E Balans VL '!Z14*100),0,B30*3.6/1000000/'E Balans VL '!Z14*100)</f>
        <v>0.14654432745157928</v>
      </c>
      <c r="D30" s="232" t="s">
        <v>660</v>
      </c>
      <c r="F30" s="6"/>
    </row>
    <row r="31" spans="1:18">
      <c r="A31" s="227" t="s">
        <v>54</v>
      </c>
      <c r="B31" s="33">
        <f>IF(ISERROR(TER_onderwijs_ele_kWh/1000),0,TER_onderwijs_ele_kWh/1000)</f>
        <v>390.82476775292997</v>
      </c>
      <c r="C31" s="39">
        <f>IF(ISERROR(B31*3.6/1000000/'E Balans VL '!Z11*100),0,B31*3.6/1000000/'E Balans VL '!Z11*100)</f>
        <v>0.10737665628070235</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1</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2486.7472462741753</v>
      </c>
      <c r="C5" s="17">
        <f>IF(ISERROR('Eigen informatie GS &amp; warmtenet'!B61),0,'Eigen informatie GS &amp; warmtenet'!B61)</f>
        <v>0</v>
      </c>
      <c r="D5" s="30">
        <f>SUM(D6:D15)</f>
        <v>2697.5729723402883</v>
      </c>
      <c r="E5" s="17">
        <f>SUM(E6:E15)</f>
        <v>10.122838352815066</v>
      </c>
      <c r="F5" s="17">
        <f>SUM(F6:F15)</f>
        <v>881.42178619452977</v>
      </c>
      <c r="G5" s="18"/>
      <c r="H5" s="17"/>
      <c r="I5" s="17"/>
      <c r="J5" s="17">
        <f>SUM(J6:J15)</f>
        <v>0.18927675621253981</v>
      </c>
      <c r="K5" s="17"/>
      <c r="L5" s="17"/>
      <c r="M5" s="17"/>
      <c r="N5" s="17">
        <f>SUM(N6:N15)</f>
        <v>153.68941300360174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101.91538164702399</v>
      </c>
      <c r="C8" s="33"/>
      <c r="D8" s="37">
        <f>IF( ISERROR(IND_metaal_Gas_kWH/1000),0,IND_metaal_Gas_kWH/1000)*0.903</f>
        <v>0</v>
      </c>
      <c r="E8" s="33">
        <f>C30*'E Balans VL '!I18/100/3.6*1000000</f>
        <v>0.55701182838992036</v>
      </c>
      <c r="F8" s="33">
        <f>C30*'E Balans VL '!L18/100/3.6*1000000+C30*'E Balans VL '!N18/100/3.6*1000000</f>
        <v>6.9759561019291789</v>
      </c>
      <c r="G8" s="34"/>
      <c r="H8" s="33"/>
      <c r="I8" s="33"/>
      <c r="J8" s="40">
        <f>C30*'E Balans VL '!D18/100/3.6*1000000+C30*'E Balans VL '!E18/100/3.6*1000000</f>
        <v>0.10156554833002671</v>
      </c>
      <c r="K8" s="33"/>
      <c r="L8" s="33"/>
      <c r="M8" s="33"/>
      <c r="N8" s="33">
        <f>C30*'E Balans VL '!Y18/100/3.6*1000000</f>
        <v>1.5073775700054217</v>
      </c>
      <c r="O8" s="33"/>
      <c r="P8" s="33"/>
      <c r="R8" s="32"/>
    </row>
    <row r="9" spans="1:18">
      <c r="A9" s="6" t="s">
        <v>32</v>
      </c>
      <c r="B9" s="37">
        <f t="shared" si="0"/>
        <v>1298.5660158597</v>
      </c>
      <c r="C9" s="33"/>
      <c r="D9" s="37">
        <f>IF( ISERROR(IND_andere_gas_kWh/1000),0,IND_andere_gas_kWh/1000)*0.903</f>
        <v>1958.2624898697745</v>
      </c>
      <c r="E9" s="33">
        <f>C31*'E Balans VL '!I19/100/3.6*1000000</f>
        <v>4.8868473148992821</v>
      </c>
      <c r="F9" s="33">
        <f>C31*'E Balans VL '!L19/100/3.6*1000000+C31*'E Balans VL '!N19/100/3.6*1000000</f>
        <v>835.79220423880247</v>
      </c>
      <c r="G9" s="34"/>
      <c r="H9" s="33"/>
      <c r="I9" s="33"/>
      <c r="J9" s="40">
        <f>C31*'E Balans VL '!D19/100/3.6*1000000+C31*'E Balans VL '!E19/100/3.6*1000000</f>
        <v>0</v>
      </c>
      <c r="K9" s="33"/>
      <c r="L9" s="33"/>
      <c r="M9" s="33"/>
      <c r="N9" s="33">
        <f>C31*'E Balans VL '!Y19/100/3.6*1000000</f>
        <v>46.911566245029235</v>
      </c>
      <c r="O9" s="33"/>
      <c r="P9" s="33"/>
      <c r="R9" s="32"/>
    </row>
    <row r="10" spans="1:18">
      <c r="A10" s="6" t="s">
        <v>40</v>
      </c>
      <c r="B10" s="37">
        <f t="shared" si="0"/>
        <v>479.30814333335098</v>
      </c>
      <c r="C10" s="33"/>
      <c r="D10" s="37">
        <f>IF( ISERROR(IND_voed_gas_kWh/1000),0,IND_voed_gas_kWh/1000)*0.903</f>
        <v>443.11784316340584</v>
      </c>
      <c r="E10" s="33">
        <f>C32*'E Balans VL '!I20/100/3.6*1000000</f>
        <v>0.94882637011191684</v>
      </c>
      <c r="F10" s="33">
        <f>C32*'E Balans VL '!L20/100/3.6*1000000+C32*'E Balans VL '!N20/100/3.6*1000000</f>
        <v>10.179917145021108</v>
      </c>
      <c r="G10" s="34"/>
      <c r="H10" s="33"/>
      <c r="I10" s="33"/>
      <c r="J10" s="40">
        <f>C32*'E Balans VL '!D20/100/3.6*1000000+C32*'E Balans VL '!E20/100/3.6*1000000</f>
        <v>0</v>
      </c>
      <c r="K10" s="33"/>
      <c r="L10" s="33"/>
      <c r="M10" s="33"/>
      <c r="N10" s="33">
        <f>C32*'E Balans VL '!Y20/100/3.6*1000000</f>
        <v>19.317939528174431</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243.85199339134601</v>
      </c>
      <c r="C12" s="33"/>
      <c r="D12" s="37">
        <f>IF( ISERROR(IND_min_gas_kWh/1000),0,IND_min_gas_kWh/1000)*0.903</f>
        <v>0</v>
      </c>
      <c r="E12" s="33">
        <f>C34*'E Balans VL '!I22/100/3.6*1000000</f>
        <v>2.9837593125355664</v>
      </c>
      <c r="F12" s="33">
        <f>C34*'E Balans VL '!L22/100/3.6*1000000+C34*'E Balans VL '!N22/100/3.6*1000000</f>
        <v>26.326897361586717</v>
      </c>
      <c r="G12" s="34"/>
      <c r="H12" s="33"/>
      <c r="I12" s="33"/>
      <c r="J12" s="40">
        <f>C34*'E Balans VL '!D22/100/3.6*1000000+C34*'E Balans VL '!E22/100/3.6*1000000</f>
        <v>0</v>
      </c>
      <c r="K12" s="33"/>
      <c r="L12" s="33"/>
      <c r="M12" s="33"/>
      <c r="N12" s="33">
        <f>C34*'E Balans VL '!Y22/100/3.6*1000000</f>
        <v>117.61735067238921</v>
      </c>
      <c r="O12" s="33"/>
      <c r="P12" s="33"/>
      <c r="R12" s="32"/>
    </row>
    <row r="13" spans="1:18">
      <c r="A13" s="6" t="s">
        <v>38</v>
      </c>
      <c r="B13" s="37">
        <f t="shared" si="0"/>
        <v>349.31918321316004</v>
      </c>
      <c r="C13" s="33"/>
      <c r="D13" s="37">
        <f>IF( ISERROR(IND_papier_gas_kWh/1000),0,IND_papier_gas_kWh/1000)*0.903</f>
        <v>184.64455025106537</v>
      </c>
      <c r="E13" s="33">
        <f>C35*'E Balans VL '!I23/100/3.6*1000000</f>
        <v>0</v>
      </c>
      <c r="F13" s="33">
        <f>C35*'E Balans VL '!L23/100/3.6*1000000+C35*'E Balans VL '!N23/100/3.6*1000000</f>
        <v>4.2793804917287445E-2</v>
      </c>
      <c r="G13" s="34"/>
      <c r="H13" s="33"/>
      <c r="I13" s="33"/>
      <c r="J13" s="40">
        <f>C35*'E Balans VL '!D23/100/3.6*1000000+C35*'E Balans VL '!E23/100/3.6*1000000</f>
        <v>2.7217148288808498E-2</v>
      </c>
      <c r="K13" s="33"/>
      <c r="L13" s="33"/>
      <c r="M13" s="33"/>
      <c r="N13" s="33">
        <f>C35*'E Balans VL '!Y23/100/3.6*1000000</f>
        <v>-32.055622088602568</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13.786528829594001</v>
      </c>
      <c r="C15" s="33"/>
      <c r="D15" s="37">
        <f>IF( ISERROR(IND_rest_gas_kWh/1000),0,IND_rest_gas_kWh/1000)*0.903</f>
        <v>111.5480890560426</v>
      </c>
      <c r="E15" s="33">
        <f>C37*'E Balans VL '!I15/100/3.6*1000000</f>
        <v>0.74639352687838012</v>
      </c>
      <c r="F15" s="33">
        <f>C37*'E Balans VL '!L15/100/3.6*1000000+C37*'E Balans VL '!N15/100/3.6*1000000</f>
        <v>2.1040175422729472</v>
      </c>
      <c r="G15" s="34"/>
      <c r="H15" s="33"/>
      <c r="I15" s="33"/>
      <c r="J15" s="40">
        <f>C37*'E Balans VL '!D15/100/3.6*1000000+C37*'E Balans VL '!E15/100/3.6*1000000</f>
        <v>6.0494059593704595E-2</v>
      </c>
      <c r="K15" s="33"/>
      <c r="L15" s="33"/>
      <c r="M15" s="33"/>
      <c r="N15" s="33">
        <f>C37*'E Balans VL '!Y15/100/3.6*1000000</f>
        <v>0.39080107660601199</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2486.7472462741753</v>
      </c>
      <c r="C18" s="21">
        <f>C5+C16</f>
        <v>0</v>
      </c>
      <c r="D18" s="21">
        <f>MAX((D5+D16),0)</f>
        <v>2697.5729723402883</v>
      </c>
      <c r="E18" s="21">
        <f>MAX((E5+E16),0)</f>
        <v>10.122838352815066</v>
      </c>
      <c r="F18" s="21">
        <f>MAX((F5+F16),0)</f>
        <v>881.42178619452977</v>
      </c>
      <c r="G18" s="21"/>
      <c r="H18" s="21"/>
      <c r="I18" s="21"/>
      <c r="J18" s="21">
        <f>MAX((J5+J16),0)</f>
        <v>0.18927675621253981</v>
      </c>
      <c r="K18" s="21"/>
      <c r="L18" s="21">
        <f>MAX((L5+L16),0)</f>
        <v>0</v>
      </c>
      <c r="M18" s="21"/>
      <c r="N18" s="21">
        <f>MAX((N5+N16),0)</f>
        <v>153.68941300360174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0.20750723573477364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516.01804704541451</v>
      </c>
      <c r="C22" s="23">
        <f ca="1">C18*C20</f>
        <v>0</v>
      </c>
      <c r="D22" s="23">
        <f>D18*D20</f>
        <v>544.9097404127383</v>
      </c>
      <c r="E22" s="23">
        <f>E18*E20</f>
        <v>2.2978843060890202</v>
      </c>
      <c r="F22" s="23">
        <f>F18*F20</f>
        <v>235.33961691393947</v>
      </c>
      <c r="G22" s="23"/>
      <c r="H22" s="23"/>
      <c r="I22" s="23"/>
      <c r="J22" s="23">
        <f>J18*J20</f>
        <v>6.7003971699239093E-2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101.91538164702399</v>
      </c>
      <c r="C30" s="39">
        <f>IF(ISERROR(B30*3.6/1000000/'E Balans VL '!Z18*100),0,B30*3.6/1000000/'E Balans VL '!Z18*100)</f>
        <v>5.6864070604680413E-3</v>
      </c>
      <c r="D30" s="232" t="s">
        <v>660</v>
      </c>
    </row>
    <row r="31" spans="1:18">
      <c r="A31" s="6" t="s">
        <v>32</v>
      </c>
      <c r="B31" s="37">
        <f>IF( ISERROR(IND_ander_ele_kWh/1000),0,IND_ander_ele_kWh/1000)</f>
        <v>1298.5660158597</v>
      </c>
      <c r="C31" s="39">
        <f>IF(ISERROR(B31*3.6/1000000/'E Balans VL '!Z19*100),0,B31*3.6/1000000/'E Balans VL '!Z19*100)</f>
        <v>5.2855643895279601E-2</v>
      </c>
      <c r="D31" s="232" t="s">
        <v>660</v>
      </c>
    </row>
    <row r="32" spans="1:18">
      <c r="A32" s="167" t="s">
        <v>40</v>
      </c>
      <c r="B32" s="37">
        <f>IF( ISERROR(IND_voed_ele_kWh/1000),0,IND_voed_ele_kWh/1000)</f>
        <v>479.30814333335098</v>
      </c>
      <c r="C32" s="39">
        <f>IF(ISERROR(B32*3.6/1000000/'E Balans VL '!Z20*100),0,B32*3.6/1000000/'E Balans VL '!Z20*100)</f>
        <v>1.3940601199196063E-2</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243.85199339134601</v>
      </c>
      <c r="C34" s="39">
        <f>IF(ISERROR(B34*3.6/1000000/'E Balans VL '!Z22*100),0,B34*3.6/1000000/'E Balans VL '!Z22*100)</f>
        <v>9.7823366759936289E-2</v>
      </c>
      <c r="D34" s="232" t="s">
        <v>660</v>
      </c>
    </row>
    <row r="35" spans="1:5">
      <c r="A35" s="167" t="s">
        <v>38</v>
      </c>
      <c r="B35" s="37">
        <f>IF( ISERROR(IND_papier_ele_kWh/1000),0,IND_papier_ele_kWh/1000)</f>
        <v>349.31918321316004</v>
      </c>
      <c r="C35" s="39">
        <f>IF(ISERROR(B35*3.6/1000000/'E Balans VL '!Z22*100),0,B35*3.6/1000000/'E Balans VL '!Z22*100)</f>
        <v>0.14013245534926613</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13.786528829594001</v>
      </c>
      <c r="C37" s="39">
        <f>IF(ISERROR(B37*3.6/1000000/'E Balans VL '!Z15*100),0,B37*3.6/1000000/'E Balans VL '!Z15*100)</f>
        <v>1.110441632296279E-4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408.98569452461601</v>
      </c>
      <c r="C5" s="17">
        <f>'Eigen informatie GS &amp; warmtenet'!B62</f>
        <v>0</v>
      </c>
      <c r="D5" s="30">
        <f>IF(ISERROR(SUM(LB_lb_gas_kWh,LB_rest_gas_kWh)/1000),0,SUM(LB_lb_gas_kWh,LB_rest_gas_kWh)/1000)*0.903</f>
        <v>1045.1548049591922</v>
      </c>
      <c r="E5" s="17">
        <f>B17*'E Balans VL '!I25/3.6*1000000/100</f>
        <v>12.058054530246514</v>
      </c>
      <c r="F5" s="17">
        <f>B17*('E Balans VL '!L25/3.6*1000000+'E Balans VL '!N25/3.6*1000000)/100</f>
        <v>1299.9018862798555</v>
      </c>
      <c r="G5" s="18"/>
      <c r="H5" s="17"/>
      <c r="I5" s="17"/>
      <c r="J5" s="17">
        <f>('E Balans VL '!D25+'E Balans VL '!E25)/3.6*1000000*landbouw!B17/100</f>
        <v>103.14368068166389</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408.98569452461601</v>
      </c>
      <c r="C8" s="21">
        <f>C5+C6</f>
        <v>0</v>
      </c>
      <c r="D8" s="21">
        <f>MAX((D5+D6),0)</f>
        <v>1045.1548049591922</v>
      </c>
      <c r="E8" s="21">
        <f>MAX((E5+E6),0)</f>
        <v>12.058054530246514</v>
      </c>
      <c r="F8" s="21">
        <f>MAX((F5+F6),0)</f>
        <v>1299.9018862798555</v>
      </c>
      <c r="G8" s="21"/>
      <c r="H8" s="21"/>
      <c r="I8" s="21"/>
      <c r="J8" s="21">
        <f>MAX((J5+J6),0)</f>
        <v>103.14368068166389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0.20750723573477364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84.867490925869618</v>
      </c>
      <c r="C12" s="23">
        <f ca="1">C8*C10</f>
        <v>0</v>
      </c>
      <c r="D12" s="23">
        <f>D8*D10</f>
        <v>211.12127060175683</v>
      </c>
      <c r="E12" s="23">
        <f>E8*E10</f>
        <v>2.7371783783659587</v>
      </c>
      <c r="F12" s="23">
        <f>F8*F10</f>
        <v>347.07380363672144</v>
      </c>
      <c r="G12" s="23"/>
      <c r="H12" s="23"/>
      <c r="I12" s="23"/>
      <c r="J12" s="23">
        <f>J8*J10</f>
        <v>36.512862961309018</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5.6173117887279592E-2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38.204576174604611</v>
      </c>
      <c r="C26" s="242">
        <f>B26*'GWP N2O_CH4'!B5</f>
        <v>802.29609966669682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4.7384740329920056</v>
      </c>
      <c r="C27" s="242">
        <f>B27*'GWP N2O_CH4'!B5</f>
        <v>99.507954692832115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0.54286386661416264</v>
      </c>
      <c r="C28" s="242">
        <f>B28*'GWP N2O_CH4'!B4</f>
        <v>168.28779865039041</v>
      </c>
      <c r="D28" s="50"/>
    </row>
    <row r="29" spans="1:4">
      <c r="A29" s="41" t="s">
        <v>266</v>
      </c>
      <c r="B29" s="242">
        <f>B34*'ha_N2O bodem landbouw'!B4</f>
        <v>10.065105447846655</v>
      </c>
      <c r="C29" s="242">
        <f>B29*'GWP N2O_CH4'!B4</f>
        <v>3120.1826888324631</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2.2938662756119255E-3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2.1316547070620536E-3</v>
      </c>
      <c r="C5" s="430" t="s">
        <v>204</v>
      </c>
      <c r="D5" s="415">
        <f>SUM(D6:D11)</f>
        <v>3.4296614007763818E-3</v>
      </c>
      <c r="E5" s="415">
        <f>SUM(E6:E11)</f>
        <v>2.1126238254047438E-3</v>
      </c>
      <c r="F5" s="428" t="s">
        <v>204</v>
      </c>
      <c r="G5" s="415">
        <f>SUM(G6:G11)</f>
        <v>0.78909818504107521</v>
      </c>
      <c r="H5" s="415">
        <f>SUM(H6:H11)</f>
        <v>0.23226530031253945</v>
      </c>
      <c r="I5" s="430" t="s">
        <v>204</v>
      </c>
      <c r="J5" s="430" t="s">
        <v>204</v>
      </c>
      <c r="K5" s="430" t="s">
        <v>204</v>
      </c>
      <c r="L5" s="430" t="s">
        <v>204</v>
      </c>
      <c r="M5" s="415">
        <f>SUM(M6:M11)</f>
        <v>6.0573671885843561E-2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4.4205476821911847E-4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7.7145025767803692E-4</v>
      </c>
      <c r="E6" s="844">
        <f>vkm_GW_PW*SUMIFS(TableVerdeelsleutelVkm[LPG],TableVerdeelsleutelVkm[Voertuigtype],"Lichte voertuigen")*SUMIFS(TableECFTransport[EnergieConsumptieFactor (PJ per km)],TableECFTransport[Index],CONCATENATE($A6,"_LPG_LPG"))</f>
        <v>4.2416697885249647E-4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0.13054770369215715</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5.0934339934802668E-2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1.0890834599002273E-2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7.2976135137603093E-7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3.0202958005989211E-2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3.3100941758238709E-7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1.700474750780777E-3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3.2780683249647165E-4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7.3336320022562255E-4</v>
      </c>
      <c r="E8" s="418">
        <f>vkm_NGW_PW*SUMIFS(TableVerdeelsleutelVkm[LPG],TableVerdeelsleutelVkm[Voertuigtype],"Lichte voertuigen")*SUMIFS(TableECFTransport[EnergieConsumptieFactor (PJ per km)],TableECFTransport[Index],CONCATENATE($A8,"_LPG_LPG"))</f>
        <v>3.8512528153820963E-4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0.10953536871082989</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4.7664152539947241E-2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9.4804833745710387E-3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2.2947993211522182E-7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1.2230680933796053E-2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1.2563789458141465E-7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6.8860627698789912E-4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1.357092213816413E-3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1.9248479428727223E-3</v>
      </c>
      <c r="E10" s="418">
        <f>vkm_SW_PW*SUMIFS(TableVerdeelsleutelVkm[LPG],TableVerdeelsleutelVkm[Voertuigtype],"Lichte voertuigen")*SUMIFS(TableECFTransport[EnergieConsumptieFactor (PJ per km)],TableECFTransport[Index],CONCATENATE($A10,"_LPG_LPG"))</f>
        <v>1.3033315650140377E-3</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0.36028444349608046</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0.13366460435004526</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2.9576506564408231E-2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3.7416512465589673E-6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0.1462970302022224</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1.7468404321030804E-6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8.2367663200933437E-3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592.12630751723714</v>
      </c>
      <c r="C14" s="21"/>
      <c r="D14" s="21">
        <f t="shared" ref="D14:M14" si="0">((D5)*10^9/3600)+D12</f>
        <v>952.68372243788383</v>
      </c>
      <c r="E14" s="21">
        <f t="shared" si="0"/>
        <v>586.83995150131773</v>
      </c>
      <c r="F14" s="21"/>
      <c r="G14" s="21">
        <f t="shared" si="0"/>
        <v>219193.94028918757</v>
      </c>
      <c r="H14" s="21">
        <f t="shared" si="0"/>
        <v>64518.138975705406</v>
      </c>
      <c r="I14" s="21"/>
      <c r="J14" s="21"/>
      <c r="K14" s="21"/>
      <c r="L14" s="21"/>
      <c r="M14" s="21">
        <f t="shared" si="0"/>
        <v>16826.019968289878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0.20750723573477364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122.8704932787404</v>
      </c>
      <c r="C18" s="23"/>
      <c r="D18" s="23">
        <f t="shared" ref="D18:M18" si="1">D14*D16</f>
        <v>192.44211193245255</v>
      </c>
      <c r="E18" s="23">
        <f t="shared" si="1"/>
        <v>133.21266899079913</v>
      </c>
      <c r="F18" s="23"/>
      <c r="G18" s="23">
        <f t="shared" si="1"/>
        <v>58524.78205721308</v>
      </c>
      <c r="H18" s="23">
        <f t="shared" si="1"/>
        <v>16065.016604950646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1.896957639704087E-4</v>
      </c>
      <c r="C50" s="313">
        <f t="shared" ref="C50:P50" si="2">SUM(C51:C52)</f>
        <v>0</v>
      </c>
      <c r="D50" s="313">
        <f t="shared" si="2"/>
        <v>0</v>
      </c>
      <c r="E50" s="313">
        <f t="shared" si="2"/>
        <v>0</v>
      </c>
      <c r="F50" s="313">
        <f t="shared" si="2"/>
        <v>0</v>
      </c>
      <c r="G50" s="313">
        <f t="shared" si="2"/>
        <v>1.3540141864952537E-2</v>
      </c>
      <c r="H50" s="313">
        <f t="shared" si="2"/>
        <v>0</v>
      </c>
      <c r="I50" s="313">
        <f t="shared" si="2"/>
        <v>0</v>
      </c>
      <c r="J50" s="313">
        <f t="shared" si="2"/>
        <v>0</v>
      </c>
      <c r="K50" s="313">
        <f t="shared" si="2"/>
        <v>0</v>
      </c>
      <c r="L50" s="313">
        <f t="shared" si="2"/>
        <v>0</v>
      </c>
      <c r="M50" s="313">
        <f t="shared" si="2"/>
        <v>7.4766759473459472E-4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1.896957639704087E-4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1.3540141864952537E-2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7.4766759473459472E-4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52.693267769557977</v>
      </c>
      <c r="C54" s="21">
        <f t="shared" ref="C54:P54" si="3">(C50)*10^9/3600</f>
        <v>0</v>
      </c>
      <c r="D54" s="21">
        <f t="shared" si="3"/>
        <v>0</v>
      </c>
      <c r="E54" s="21">
        <f t="shared" si="3"/>
        <v>0</v>
      </c>
      <c r="F54" s="21">
        <f t="shared" si="3"/>
        <v>0</v>
      </c>
      <c r="G54" s="21">
        <f t="shared" si="3"/>
        <v>3761.150518042371</v>
      </c>
      <c r="H54" s="21">
        <f t="shared" si="3"/>
        <v>0</v>
      </c>
      <c r="I54" s="21">
        <f t="shared" si="3"/>
        <v>0</v>
      </c>
      <c r="J54" s="21">
        <f t="shared" si="3"/>
        <v>0</v>
      </c>
      <c r="K54" s="21">
        <f t="shared" si="3"/>
        <v>0</v>
      </c>
      <c r="L54" s="21">
        <f t="shared" si="3"/>
        <v>0</v>
      </c>
      <c r="M54" s="21">
        <f t="shared" si="3"/>
        <v>207.68544298183187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0.20750723573477364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10.934234336693217</v>
      </c>
      <c r="C58" s="23">
        <f t="shared" ref="C58:P58" ca="1" si="4">C54*C56</f>
        <v>0</v>
      </c>
      <c r="D58" s="23">
        <f t="shared" si="4"/>
        <v>0</v>
      </c>
      <c r="E58" s="23">
        <f t="shared" si="4"/>
        <v>0</v>
      </c>
      <c r="F58" s="23">
        <f t="shared" si="4"/>
        <v>0</v>
      </c>
      <c r="G58" s="23">
        <f t="shared" si="4"/>
        <v>1004.2271883173131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19.88005758236136</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4707.7824091941411</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4727.6624667765027</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28927.021701856989</v>
      </c>
      <c r="D10" s="642">
        <f ca="1">tertiair!C16</f>
        <v>0</v>
      </c>
      <c r="E10" s="642">
        <f ca="1">tertiair!D16</f>
        <v>41120.645210702016</v>
      </c>
      <c r="F10" s="642">
        <f>tertiair!E16</f>
        <v>88.170099229942608</v>
      </c>
      <c r="G10" s="642">
        <f ca="1">tertiair!F16</f>
        <v>5576.2130679852207</v>
      </c>
      <c r="H10" s="642">
        <f>tertiair!G16</f>
        <v>0</v>
      </c>
      <c r="I10" s="642">
        <f>tertiair!H16</f>
        <v>0</v>
      </c>
      <c r="J10" s="642">
        <f>tertiair!I16</f>
        <v>0</v>
      </c>
      <c r="K10" s="642">
        <f>tertiair!J16</f>
        <v>3.5781239952760606E-2</v>
      </c>
      <c r="L10" s="642">
        <f>tertiair!K16</f>
        <v>0</v>
      </c>
      <c r="M10" s="642">
        <f ca="1">tertiair!L16</f>
        <v>0</v>
      </c>
      <c r="N10" s="642">
        <f>tertiair!M16</f>
        <v>0</v>
      </c>
      <c r="O10" s="642">
        <f ca="1">tertiair!N16</f>
        <v>1265.2336395429807</v>
      </c>
      <c r="P10" s="642">
        <f>tertiair!O16</f>
        <v>4.8972607658411542</v>
      </c>
      <c r="Q10" s="643">
        <f>tertiair!P16</f>
        <v>52.539138306495019</v>
      </c>
      <c r="R10" s="645">
        <f ca="1">SUM(C10:Q10)</f>
        <v>77034.755899629454</v>
      </c>
      <c r="S10" s="67"/>
    </row>
    <row r="11" spans="1:19" s="441" customFormat="1">
      <c r="A11" s="762" t="s">
        <v>214</v>
      </c>
      <c r="B11" s="767"/>
      <c r="C11" s="642">
        <f>huishoudens!B8</f>
        <v>43500.382606208179</v>
      </c>
      <c r="D11" s="642">
        <f>huishoudens!C8</f>
        <v>0</v>
      </c>
      <c r="E11" s="642">
        <f>huishoudens!D8</f>
        <v>130494.40047283017</v>
      </c>
      <c r="F11" s="642">
        <f>huishoudens!E8</f>
        <v>2940.7458236534608</v>
      </c>
      <c r="G11" s="642">
        <f>huishoudens!F8</f>
        <v>48192.007169473683</v>
      </c>
      <c r="H11" s="642">
        <f>huishoudens!G8</f>
        <v>0</v>
      </c>
      <c r="I11" s="642">
        <f>huishoudens!H8</f>
        <v>0</v>
      </c>
      <c r="J11" s="642">
        <f>huishoudens!I8</f>
        <v>0</v>
      </c>
      <c r="K11" s="642">
        <f>huishoudens!J8</f>
        <v>265.99572665968293</v>
      </c>
      <c r="L11" s="642">
        <f>huishoudens!K8</f>
        <v>0</v>
      </c>
      <c r="M11" s="642">
        <f>huishoudens!L8</f>
        <v>0</v>
      </c>
      <c r="N11" s="642">
        <f>huishoudens!M8</f>
        <v>0</v>
      </c>
      <c r="O11" s="642">
        <f>huishoudens!N8</f>
        <v>13223.213886860001</v>
      </c>
      <c r="P11" s="642">
        <f>huishoudens!O8</f>
        <v>513.84517882124123</v>
      </c>
      <c r="Q11" s="643">
        <f>huishoudens!P8</f>
        <v>516.16400607656612</v>
      </c>
      <c r="R11" s="645">
        <f>SUM(C11:Q11)</f>
        <v>239646.75487058301</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2486.7472462741753</v>
      </c>
      <c r="D13" s="642">
        <f>industrie!C18</f>
        <v>0</v>
      </c>
      <c r="E13" s="642">
        <f>industrie!D18</f>
        <v>2697.5729723402883</v>
      </c>
      <c r="F13" s="642">
        <f>industrie!E18</f>
        <v>10.122838352815066</v>
      </c>
      <c r="G13" s="642">
        <f>industrie!F18</f>
        <v>881.42178619452977</v>
      </c>
      <c r="H13" s="642">
        <f>industrie!G18</f>
        <v>0</v>
      </c>
      <c r="I13" s="642">
        <f>industrie!H18</f>
        <v>0</v>
      </c>
      <c r="J13" s="642">
        <f>industrie!I18</f>
        <v>0</v>
      </c>
      <c r="K13" s="642">
        <f>industrie!J18</f>
        <v>0.18927675621253981</v>
      </c>
      <c r="L13" s="642">
        <f>industrie!K18</f>
        <v>0</v>
      </c>
      <c r="M13" s="642">
        <f>industrie!L18</f>
        <v>0</v>
      </c>
      <c r="N13" s="642">
        <f>industrie!M18</f>
        <v>0</v>
      </c>
      <c r="O13" s="642">
        <f>industrie!N18</f>
        <v>153.68941300360174</v>
      </c>
      <c r="P13" s="642">
        <f>industrie!O18</f>
        <v>0</v>
      </c>
      <c r="Q13" s="643">
        <f>industrie!P18</f>
        <v>0</v>
      </c>
      <c r="R13" s="645">
        <f>SUM(C13:Q13)</f>
        <v>6229.7435329216223</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74914.151554339333</v>
      </c>
      <c r="D16" s="678">
        <f t="shared" ref="D16:R16" ca="1" si="0">SUM(D9:D15)</f>
        <v>0</v>
      </c>
      <c r="E16" s="678">
        <f t="shared" ca="1" si="0"/>
        <v>174312.61865587247</v>
      </c>
      <c r="F16" s="678">
        <f t="shared" si="0"/>
        <v>3039.0387612362183</v>
      </c>
      <c r="G16" s="678">
        <f t="shared" ca="1" si="0"/>
        <v>54649.642023653432</v>
      </c>
      <c r="H16" s="678">
        <f t="shared" si="0"/>
        <v>0</v>
      </c>
      <c r="I16" s="678">
        <f t="shared" si="0"/>
        <v>0</v>
      </c>
      <c r="J16" s="678">
        <f t="shared" si="0"/>
        <v>0</v>
      </c>
      <c r="K16" s="678">
        <f t="shared" si="0"/>
        <v>266.22078465584826</v>
      </c>
      <c r="L16" s="678">
        <f t="shared" si="0"/>
        <v>0</v>
      </c>
      <c r="M16" s="678">
        <f t="shared" ca="1" si="0"/>
        <v>0</v>
      </c>
      <c r="N16" s="678">
        <f t="shared" si="0"/>
        <v>0</v>
      </c>
      <c r="O16" s="678">
        <f t="shared" ca="1" si="0"/>
        <v>14642.136939406584</v>
      </c>
      <c r="P16" s="678">
        <f t="shared" si="0"/>
        <v>518.74243958708234</v>
      </c>
      <c r="Q16" s="678">
        <f t="shared" si="0"/>
        <v>568.70314438306116</v>
      </c>
      <c r="R16" s="678">
        <f t="shared" ca="1" si="0"/>
        <v>322911.25430313405</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52.693267769557977</v>
      </c>
      <c r="D19" s="642">
        <f>transport!C54</f>
        <v>0</v>
      </c>
      <c r="E19" s="642">
        <f>transport!D54</f>
        <v>0</v>
      </c>
      <c r="F19" s="642">
        <f>transport!E54</f>
        <v>0</v>
      </c>
      <c r="G19" s="642">
        <f>transport!F54</f>
        <v>0</v>
      </c>
      <c r="H19" s="642">
        <f>transport!G54</f>
        <v>3761.150518042371</v>
      </c>
      <c r="I19" s="642">
        <f>transport!H54</f>
        <v>0</v>
      </c>
      <c r="J19" s="642">
        <f>transport!I54</f>
        <v>0</v>
      </c>
      <c r="K19" s="642">
        <f>transport!J54</f>
        <v>0</v>
      </c>
      <c r="L19" s="642">
        <f>transport!K54</f>
        <v>0</v>
      </c>
      <c r="M19" s="642">
        <f>transport!L54</f>
        <v>0</v>
      </c>
      <c r="N19" s="642">
        <f>transport!M54</f>
        <v>207.68544298183187</v>
      </c>
      <c r="O19" s="642">
        <f>transport!N54</f>
        <v>0</v>
      </c>
      <c r="P19" s="642">
        <f>transport!O54</f>
        <v>0</v>
      </c>
      <c r="Q19" s="643">
        <f>transport!P54</f>
        <v>0</v>
      </c>
      <c r="R19" s="645">
        <f>SUM(C19:Q19)</f>
        <v>4021.5292287937609</v>
      </c>
      <c r="S19" s="67"/>
    </row>
    <row r="20" spans="1:19" s="441" customFormat="1">
      <c r="A20" s="762" t="s">
        <v>296</v>
      </c>
      <c r="B20" s="767"/>
      <c r="C20" s="642">
        <f>transport!B14</f>
        <v>592.12630751723714</v>
      </c>
      <c r="D20" s="642">
        <f>transport!C14</f>
        <v>0</v>
      </c>
      <c r="E20" s="642">
        <f>transport!D14</f>
        <v>952.68372243788383</v>
      </c>
      <c r="F20" s="642">
        <f>transport!E14</f>
        <v>586.83995150131773</v>
      </c>
      <c r="G20" s="642">
        <f>transport!F14</f>
        <v>0</v>
      </c>
      <c r="H20" s="642">
        <f>transport!G14</f>
        <v>219193.94028918757</v>
      </c>
      <c r="I20" s="642">
        <f>transport!H14</f>
        <v>64518.138975705406</v>
      </c>
      <c r="J20" s="642">
        <f>transport!I14</f>
        <v>0</v>
      </c>
      <c r="K20" s="642">
        <f>transport!J14</f>
        <v>0</v>
      </c>
      <c r="L20" s="642">
        <f>transport!K14</f>
        <v>0</v>
      </c>
      <c r="M20" s="642">
        <f>transport!L14</f>
        <v>0</v>
      </c>
      <c r="N20" s="642">
        <f>transport!M14</f>
        <v>16826.019968289878</v>
      </c>
      <c r="O20" s="642">
        <f>transport!N14</f>
        <v>0</v>
      </c>
      <c r="P20" s="642">
        <f>transport!O14</f>
        <v>0</v>
      </c>
      <c r="Q20" s="643">
        <f>transport!P14</f>
        <v>0</v>
      </c>
      <c r="R20" s="645">
        <f>SUM(C20:Q20)</f>
        <v>302669.74921463931</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644.81957528679516</v>
      </c>
      <c r="D22" s="765">
        <f t="shared" ref="D22:R22" si="1">SUM(D18:D21)</f>
        <v>0</v>
      </c>
      <c r="E22" s="765">
        <f t="shared" si="1"/>
        <v>952.68372243788383</v>
      </c>
      <c r="F22" s="765">
        <f t="shared" si="1"/>
        <v>586.83995150131773</v>
      </c>
      <c r="G22" s="765">
        <f t="shared" si="1"/>
        <v>0</v>
      </c>
      <c r="H22" s="765">
        <f t="shared" si="1"/>
        <v>222955.09080722995</v>
      </c>
      <c r="I22" s="765">
        <f t="shared" si="1"/>
        <v>64518.138975705406</v>
      </c>
      <c r="J22" s="765">
        <f t="shared" si="1"/>
        <v>0</v>
      </c>
      <c r="K22" s="765">
        <f t="shared" si="1"/>
        <v>0</v>
      </c>
      <c r="L22" s="765">
        <f t="shared" si="1"/>
        <v>0</v>
      </c>
      <c r="M22" s="765">
        <f t="shared" si="1"/>
        <v>0</v>
      </c>
      <c r="N22" s="765">
        <f t="shared" si="1"/>
        <v>17033.705411271709</v>
      </c>
      <c r="O22" s="765">
        <f t="shared" si="1"/>
        <v>0</v>
      </c>
      <c r="P22" s="765">
        <f t="shared" si="1"/>
        <v>0</v>
      </c>
      <c r="Q22" s="765">
        <f t="shared" si="1"/>
        <v>0</v>
      </c>
      <c r="R22" s="765">
        <f t="shared" si="1"/>
        <v>306691.27844343305</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408.98569452461601</v>
      </c>
      <c r="D24" s="642">
        <f>+landbouw!C8</f>
        <v>0</v>
      </c>
      <c r="E24" s="642">
        <f>+landbouw!D8</f>
        <v>1045.1548049591922</v>
      </c>
      <c r="F24" s="642">
        <f>+landbouw!E8</f>
        <v>12.058054530246514</v>
      </c>
      <c r="G24" s="642">
        <f>+landbouw!F8</f>
        <v>1299.9018862798555</v>
      </c>
      <c r="H24" s="642">
        <f>+landbouw!G8</f>
        <v>0</v>
      </c>
      <c r="I24" s="642">
        <f>+landbouw!H8</f>
        <v>0</v>
      </c>
      <c r="J24" s="642">
        <f>+landbouw!I8</f>
        <v>0</v>
      </c>
      <c r="K24" s="642">
        <f>+landbouw!J8</f>
        <v>103.14368068166389</v>
      </c>
      <c r="L24" s="642">
        <f>+landbouw!K8</f>
        <v>0</v>
      </c>
      <c r="M24" s="642">
        <f>+landbouw!L8</f>
        <v>0</v>
      </c>
      <c r="N24" s="642">
        <f>+landbouw!M8</f>
        <v>0</v>
      </c>
      <c r="O24" s="642">
        <f>+landbouw!N8</f>
        <v>0</v>
      </c>
      <c r="P24" s="642">
        <f>+landbouw!O8</f>
        <v>0</v>
      </c>
      <c r="Q24" s="643">
        <f>+landbouw!P8</f>
        <v>0</v>
      </c>
      <c r="R24" s="645">
        <f>SUM(C24:Q24)</f>
        <v>2869.2441209755739</v>
      </c>
      <c r="S24" s="67"/>
    </row>
    <row r="25" spans="1:19" s="441" customFormat="1" ht="15" thickBot="1">
      <c r="A25" s="784" t="s">
        <v>672</v>
      </c>
      <c r="B25" s="895"/>
      <c r="C25" s="896">
        <f>IF(Onbekend_ele_kWh="---",0,Onbekend_ele_kWh)/1000+IF(REST_rest_ele_kWh="---",0,REST_rest_ele_kWh)/1000</f>
        <v>1467.13242959889</v>
      </c>
      <c r="D25" s="896"/>
      <c r="E25" s="896">
        <f>IF(onbekend_gas_kWh="---",0,onbekend_gas_kWh)/1000+IF(REST_rest_gas_kWh="---",0,REST_rest_gas_kWh)/1000</f>
        <v>4697.2645905526597</v>
      </c>
      <c r="F25" s="896"/>
      <c r="G25" s="896"/>
      <c r="H25" s="896"/>
      <c r="I25" s="896"/>
      <c r="J25" s="896"/>
      <c r="K25" s="896"/>
      <c r="L25" s="896"/>
      <c r="M25" s="896"/>
      <c r="N25" s="896"/>
      <c r="O25" s="896"/>
      <c r="P25" s="896"/>
      <c r="Q25" s="897"/>
      <c r="R25" s="645">
        <f>SUM(C25:Q25)</f>
        <v>6164.3970201515494</v>
      </c>
      <c r="S25" s="67"/>
    </row>
    <row r="26" spans="1:19" s="441" customFormat="1" ht="15.75" thickBot="1">
      <c r="A26" s="650" t="s">
        <v>673</v>
      </c>
      <c r="B26" s="770"/>
      <c r="C26" s="765">
        <f>SUM(C24:C25)</f>
        <v>1876.118124123506</v>
      </c>
      <c r="D26" s="765">
        <f t="shared" ref="D26:R26" si="2">SUM(D24:D25)</f>
        <v>0</v>
      </c>
      <c r="E26" s="765">
        <f t="shared" si="2"/>
        <v>5742.4193955118517</v>
      </c>
      <c r="F26" s="765">
        <f t="shared" si="2"/>
        <v>12.058054530246514</v>
      </c>
      <c r="G26" s="765">
        <f t="shared" si="2"/>
        <v>1299.9018862798555</v>
      </c>
      <c r="H26" s="765">
        <f t="shared" si="2"/>
        <v>0</v>
      </c>
      <c r="I26" s="765">
        <f t="shared" si="2"/>
        <v>0</v>
      </c>
      <c r="J26" s="765">
        <f t="shared" si="2"/>
        <v>0</v>
      </c>
      <c r="K26" s="765">
        <f t="shared" si="2"/>
        <v>103.14368068166389</v>
      </c>
      <c r="L26" s="765">
        <f t="shared" si="2"/>
        <v>0</v>
      </c>
      <c r="M26" s="765">
        <f t="shared" si="2"/>
        <v>0</v>
      </c>
      <c r="N26" s="765">
        <f t="shared" si="2"/>
        <v>0</v>
      </c>
      <c r="O26" s="765">
        <f t="shared" si="2"/>
        <v>0</v>
      </c>
      <c r="P26" s="765">
        <f t="shared" si="2"/>
        <v>0</v>
      </c>
      <c r="Q26" s="765">
        <f t="shared" si="2"/>
        <v>0</v>
      </c>
      <c r="R26" s="765">
        <f t="shared" si="2"/>
        <v>9033.6411411271238</v>
      </c>
      <c r="S26" s="67"/>
    </row>
    <row r="27" spans="1:19" s="441" customFormat="1" ht="17.25" thickTop="1" thickBot="1">
      <c r="A27" s="651" t="s">
        <v>109</v>
      </c>
      <c r="B27" s="757"/>
      <c r="C27" s="652">
        <f ca="1">C22+C16+C26</f>
        <v>77435.089253749626</v>
      </c>
      <c r="D27" s="652">
        <f t="shared" ref="D27:R27" ca="1" si="3">D22+D16+D26</f>
        <v>0</v>
      </c>
      <c r="E27" s="652">
        <f t="shared" ca="1" si="3"/>
        <v>181007.72177382221</v>
      </c>
      <c r="F27" s="652">
        <f t="shared" si="3"/>
        <v>3637.9367672677827</v>
      </c>
      <c r="G27" s="652">
        <f t="shared" ca="1" si="3"/>
        <v>55949.543909933287</v>
      </c>
      <c r="H27" s="652">
        <f t="shared" si="3"/>
        <v>222955.09080722995</v>
      </c>
      <c r="I27" s="652">
        <f t="shared" si="3"/>
        <v>64518.138975705406</v>
      </c>
      <c r="J27" s="652">
        <f t="shared" si="3"/>
        <v>0</v>
      </c>
      <c r="K27" s="652">
        <f t="shared" si="3"/>
        <v>369.36446533751217</v>
      </c>
      <c r="L27" s="652">
        <f t="shared" si="3"/>
        <v>0</v>
      </c>
      <c r="M27" s="652">
        <f t="shared" ca="1" si="3"/>
        <v>0</v>
      </c>
      <c r="N27" s="652">
        <f t="shared" si="3"/>
        <v>17033.705411271709</v>
      </c>
      <c r="O27" s="652">
        <f t="shared" ca="1" si="3"/>
        <v>14642.136939406584</v>
      </c>
      <c r="P27" s="652">
        <f t="shared" si="3"/>
        <v>518.74243958708234</v>
      </c>
      <c r="Q27" s="652">
        <f t="shared" si="3"/>
        <v>568.70314438306116</v>
      </c>
      <c r="R27" s="652">
        <f t="shared" ca="1" si="3"/>
        <v>638636.17388769425</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6002.566311392151</v>
      </c>
      <c r="D40" s="642">
        <f ca="1">tertiair!C20</f>
        <v>0</v>
      </c>
      <c r="E40" s="642">
        <f ca="1">tertiair!D20</f>
        <v>8306.370332561808</v>
      </c>
      <c r="F40" s="642">
        <f>tertiair!E20</f>
        <v>20.014612525196974</v>
      </c>
      <c r="G40" s="642">
        <f ca="1">tertiair!F20</f>
        <v>1488.848889152054</v>
      </c>
      <c r="H40" s="642">
        <f>tertiair!G20</f>
        <v>0</v>
      </c>
      <c r="I40" s="642">
        <f>tertiair!H20</f>
        <v>0</v>
      </c>
      <c r="J40" s="642">
        <f>tertiair!I20</f>
        <v>0</v>
      </c>
      <c r="K40" s="642">
        <f>tertiair!J20</f>
        <v>1.2666558943277255E-2</v>
      </c>
      <c r="L40" s="642">
        <f>tertiair!K20</f>
        <v>0</v>
      </c>
      <c r="M40" s="642">
        <f ca="1">tertiair!L20</f>
        <v>0</v>
      </c>
      <c r="N40" s="642">
        <f>tertiair!M20</f>
        <v>0</v>
      </c>
      <c r="O40" s="642">
        <f ca="1">tertiair!N20</f>
        <v>0</v>
      </c>
      <c r="P40" s="642">
        <f>tertiair!O20</f>
        <v>0</v>
      </c>
      <c r="Q40" s="725">
        <f>tertiair!P20</f>
        <v>0</v>
      </c>
      <c r="R40" s="803">
        <f t="shared" ca="1" si="4"/>
        <v>15817.812812190154</v>
      </c>
    </row>
    <row r="41" spans="1:18">
      <c r="A41" s="775" t="s">
        <v>214</v>
      </c>
      <c r="B41" s="782"/>
      <c r="C41" s="642">
        <f ca="1">huishoudens!B12</f>
        <v>9026.644148019288</v>
      </c>
      <c r="D41" s="642">
        <f ca="1">huishoudens!C12</f>
        <v>0</v>
      </c>
      <c r="E41" s="642">
        <f>huishoudens!D12</f>
        <v>26359.868895511696</v>
      </c>
      <c r="F41" s="642">
        <f>huishoudens!E12</f>
        <v>667.5493019693356</v>
      </c>
      <c r="G41" s="642">
        <f>huishoudens!F12</f>
        <v>12867.265914249474</v>
      </c>
      <c r="H41" s="642">
        <f>huishoudens!G12</f>
        <v>0</v>
      </c>
      <c r="I41" s="642">
        <f>huishoudens!H12</f>
        <v>0</v>
      </c>
      <c r="J41" s="642">
        <f>huishoudens!I12</f>
        <v>0</v>
      </c>
      <c r="K41" s="642">
        <f>huishoudens!J12</f>
        <v>94.162487237527756</v>
      </c>
      <c r="L41" s="642">
        <f>huishoudens!K12</f>
        <v>0</v>
      </c>
      <c r="M41" s="642">
        <f>huishoudens!L12</f>
        <v>0</v>
      </c>
      <c r="N41" s="642">
        <f>huishoudens!M12</f>
        <v>0</v>
      </c>
      <c r="O41" s="642">
        <f>huishoudens!N12</f>
        <v>0</v>
      </c>
      <c r="P41" s="642">
        <f>huishoudens!O12</f>
        <v>0</v>
      </c>
      <c r="Q41" s="725">
        <f>huishoudens!P12</f>
        <v>0</v>
      </c>
      <c r="R41" s="803">
        <f t="shared" ca="1" si="4"/>
        <v>49015.490746987321</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516.01804704541451</v>
      </c>
      <c r="D43" s="642">
        <f ca="1">industrie!C22</f>
        <v>0</v>
      </c>
      <c r="E43" s="642">
        <f>industrie!D22</f>
        <v>544.9097404127383</v>
      </c>
      <c r="F43" s="642">
        <f>industrie!E22</f>
        <v>2.2978843060890202</v>
      </c>
      <c r="G43" s="642">
        <f>industrie!F22</f>
        <v>235.33961691393947</v>
      </c>
      <c r="H43" s="642">
        <f>industrie!G22</f>
        <v>0</v>
      </c>
      <c r="I43" s="642">
        <f>industrie!H22</f>
        <v>0</v>
      </c>
      <c r="J43" s="642">
        <f>industrie!I22</f>
        <v>0</v>
      </c>
      <c r="K43" s="642">
        <f>industrie!J22</f>
        <v>6.7003971699239093E-2</v>
      </c>
      <c r="L43" s="642">
        <f>industrie!K22</f>
        <v>0</v>
      </c>
      <c r="M43" s="642">
        <f>industrie!L22</f>
        <v>0</v>
      </c>
      <c r="N43" s="642">
        <f>industrie!M22</f>
        <v>0</v>
      </c>
      <c r="O43" s="642">
        <f>industrie!N22</f>
        <v>0</v>
      </c>
      <c r="P43" s="642">
        <f>industrie!O22</f>
        <v>0</v>
      </c>
      <c r="Q43" s="725">
        <f>industrie!P22</f>
        <v>0</v>
      </c>
      <c r="R43" s="802">
        <f t="shared" ca="1" si="4"/>
        <v>1298.6322926498804</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15545.228506456853</v>
      </c>
      <c r="D46" s="678">
        <f t="shared" ref="D46:Q46" ca="1" si="5">SUM(D39:D45)</f>
        <v>0</v>
      </c>
      <c r="E46" s="678">
        <f t="shared" ca="1" si="5"/>
        <v>35211.148968486246</v>
      </c>
      <c r="F46" s="678">
        <f t="shared" si="5"/>
        <v>689.86179880062161</v>
      </c>
      <c r="G46" s="678">
        <f t="shared" ca="1" si="5"/>
        <v>14591.454420315467</v>
      </c>
      <c r="H46" s="678">
        <f t="shared" si="5"/>
        <v>0</v>
      </c>
      <c r="I46" s="678">
        <f t="shared" si="5"/>
        <v>0</v>
      </c>
      <c r="J46" s="678">
        <f t="shared" si="5"/>
        <v>0</v>
      </c>
      <c r="K46" s="678">
        <f t="shared" si="5"/>
        <v>94.242157768170273</v>
      </c>
      <c r="L46" s="678">
        <f t="shared" si="5"/>
        <v>0</v>
      </c>
      <c r="M46" s="678">
        <f t="shared" ca="1" si="5"/>
        <v>0</v>
      </c>
      <c r="N46" s="678">
        <f t="shared" si="5"/>
        <v>0</v>
      </c>
      <c r="O46" s="678">
        <f t="shared" ca="1" si="5"/>
        <v>0</v>
      </c>
      <c r="P46" s="678">
        <f t="shared" si="5"/>
        <v>0</v>
      </c>
      <c r="Q46" s="678">
        <f t="shared" si="5"/>
        <v>0</v>
      </c>
      <c r="R46" s="678">
        <f ca="1">SUM(R39:R45)</f>
        <v>66131.935851827351</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10.934234336693217</v>
      </c>
      <c r="D49" s="642">
        <f ca="1">transport!C58</f>
        <v>0</v>
      </c>
      <c r="E49" s="642">
        <f>transport!D58</f>
        <v>0</v>
      </c>
      <c r="F49" s="642">
        <f>transport!E58</f>
        <v>0</v>
      </c>
      <c r="G49" s="642">
        <f>transport!F58</f>
        <v>0</v>
      </c>
      <c r="H49" s="642">
        <f>transport!G58</f>
        <v>1004.2271883173131</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1015.1614226540063</v>
      </c>
    </row>
    <row r="50" spans="1:18">
      <c r="A50" s="778" t="s">
        <v>296</v>
      </c>
      <c r="B50" s="788"/>
      <c r="C50" s="648">
        <f ca="1">transport!B18</f>
        <v>122.8704932787404</v>
      </c>
      <c r="D50" s="648">
        <f>transport!C18</f>
        <v>0</v>
      </c>
      <c r="E50" s="648">
        <f>transport!D18</f>
        <v>192.44211193245255</v>
      </c>
      <c r="F50" s="648">
        <f>transport!E18</f>
        <v>133.21266899079913</v>
      </c>
      <c r="G50" s="648">
        <f>transport!F18</f>
        <v>0</v>
      </c>
      <c r="H50" s="648">
        <f>transport!G18</f>
        <v>58524.78205721308</v>
      </c>
      <c r="I50" s="648">
        <f>transport!H18</f>
        <v>16065.016604950646</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75038.323936365719</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133.80472761543362</v>
      </c>
      <c r="D52" s="678">
        <f t="shared" ref="D52:Q52" ca="1" si="6">SUM(D48:D51)</f>
        <v>0</v>
      </c>
      <c r="E52" s="678">
        <f t="shared" si="6"/>
        <v>192.44211193245255</v>
      </c>
      <c r="F52" s="678">
        <f t="shared" si="6"/>
        <v>133.21266899079913</v>
      </c>
      <c r="G52" s="678">
        <f t="shared" si="6"/>
        <v>0</v>
      </c>
      <c r="H52" s="678">
        <f t="shared" si="6"/>
        <v>59529.009245530397</v>
      </c>
      <c r="I52" s="678">
        <f t="shared" si="6"/>
        <v>16065.016604950646</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76053.485359019731</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84.867490925869618</v>
      </c>
      <c r="D54" s="648">
        <f ca="1">+landbouw!C12</f>
        <v>0</v>
      </c>
      <c r="E54" s="648">
        <f>+landbouw!D12</f>
        <v>211.12127060175683</v>
      </c>
      <c r="F54" s="648">
        <f>+landbouw!E12</f>
        <v>2.7371783783659587</v>
      </c>
      <c r="G54" s="648">
        <f>+landbouw!F12</f>
        <v>347.07380363672144</v>
      </c>
      <c r="H54" s="648">
        <f>+landbouw!G12</f>
        <v>0</v>
      </c>
      <c r="I54" s="648">
        <f>+landbouw!H12</f>
        <v>0</v>
      </c>
      <c r="J54" s="648">
        <f>+landbouw!I12</f>
        <v>0</v>
      </c>
      <c r="K54" s="648">
        <f>+landbouw!J12</f>
        <v>36.512862961309018</v>
      </c>
      <c r="L54" s="648">
        <f>+landbouw!K12</f>
        <v>0</v>
      </c>
      <c r="M54" s="648">
        <f>+landbouw!L12</f>
        <v>0</v>
      </c>
      <c r="N54" s="648">
        <f>+landbouw!M12</f>
        <v>0</v>
      </c>
      <c r="O54" s="648">
        <f>+landbouw!N12</f>
        <v>0</v>
      </c>
      <c r="P54" s="648">
        <f>+landbouw!O12</f>
        <v>0</v>
      </c>
      <c r="Q54" s="649">
        <f>+landbouw!P12</f>
        <v>0</v>
      </c>
      <c r="R54" s="677">
        <f ca="1">SUM(C54:Q54)</f>
        <v>682.31260650402294</v>
      </c>
    </row>
    <row r="55" spans="1:18" ht="15" thickBot="1">
      <c r="A55" s="778" t="s">
        <v>672</v>
      </c>
      <c r="B55" s="788"/>
      <c r="C55" s="648">
        <f ca="1">C25*'EF ele_warmte'!B12</f>
        <v>304.44059492290808</v>
      </c>
      <c r="D55" s="648"/>
      <c r="E55" s="648">
        <f>E25*EF_CO2_aardgas</f>
        <v>948.84744729163731</v>
      </c>
      <c r="F55" s="648"/>
      <c r="G55" s="648"/>
      <c r="H55" s="648"/>
      <c r="I55" s="648"/>
      <c r="J55" s="648"/>
      <c r="K55" s="648"/>
      <c r="L55" s="648"/>
      <c r="M55" s="648"/>
      <c r="N55" s="648"/>
      <c r="O55" s="648"/>
      <c r="P55" s="648"/>
      <c r="Q55" s="649"/>
      <c r="R55" s="677">
        <f ca="1">SUM(C55:Q55)</f>
        <v>1253.2880422145454</v>
      </c>
    </row>
    <row r="56" spans="1:18" ht="15.75" thickBot="1">
      <c r="A56" s="776" t="s">
        <v>673</v>
      </c>
      <c r="B56" s="789"/>
      <c r="C56" s="678">
        <f ca="1">SUM(C54:C55)</f>
        <v>389.30808584877769</v>
      </c>
      <c r="D56" s="678">
        <f t="shared" ref="D56:Q56" ca="1" si="7">SUM(D54:D55)</f>
        <v>0</v>
      </c>
      <c r="E56" s="678">
        <f t="shared" si="7"/>
        <v>1159.9687178933941</v>
      </c>
      <c r="F56" s="678">
        <f t="shared" si="7"/>
        <v>2.7371783783659587</v>
      </c>
      <c r="G56" s="678">
        <f t="shared" si="7"/>
        <v>347.07380363672144</v>
      </c>
      <c r="H56" s="678">
        <f t="shared" si="7"/>
        <v>0</v>
      </c>
      <c r="I56" s="678">
        <f t="shared" si="7"/>
        <v>0</v>
      </c>
      <c r="J56" s="678">
        <f t="shared" si="7"/>
        <v>0</v>
      </c>
      <c r="K56" s="678">
        <f t="shared" si="7"/>
        <v>36.512862961309018</v>
      </c>
      <c r="L56" s="678">
        <f t="shared" si="7"/>
        <v>0</v>
      </c>
      <c r="M56" s="678">
        <f t="shared" si="7"/>
        <v>0</v>
      </c>
      <c r="N56" s="678">
        <f t="shared" si="7"/>
        <v>0</v>
      </c>
      <c r="O56" s="678">
        <f t="shared" si="7"/>
        <v>0</v>
      </c>
      <c r="P56" s="678">
        <f t="shared" si="7"/>
        <v>0</v>
      </c>
      <c r="Q56" s="679">
        <f t="shared" si="7"/>
        <v>0</v>
      </c>
      <c r="R56" s="680">
        <f ca="1">SUM(R54:R55)</f>
        <v>1935.6006487185682</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16068.341319921064</v>
      </c>
      <c r="D61" s="686">
        <f t="shared" ref="D61:Q61" ca="1" si="8">D46+D52+D56</f>
        <v>0</v>
      </c>
      <c r="E61" s="686">
        <f t="shared" ca="1" si="8"/>
        <v>36563.559798312097</v>
      </c>
      <c r="F61" s="686">
        <f t="shared" si="8"/>
        <v>825.81164616978663</v>
      </c>
      <c r="G61" s="686">
        <f t="shared" ca="1" si="8"/>
        <v>14938.528223952189</v>
      </c>
      <c r="H61" s="686">
        <f t="shared" si="8"/>
        <v>59529.009245530397</v>
      </c>
      <c r="I61" s="686">
        <f t="shared" si="8"/>
        <v>16065.016604950646</v>
      </c>
      <c r="J61" s="686">
        <f t="shared" si="8"/>
        <v>0</v>
      </c>
      <c r="K61" s="686">
        <f t="shared" si="8"/>
        <v>130.7550207294793</v>
      </c>
      <c r="L61" s="686">
        <f t="shared" si="8"/>
        <v>0</v>
      </c>
      <c r="M61" s="686">
        <f t="shared" ca="1" si="8"/>
        <v>0</v>
      </c>
      <c r="N61" s="686">
        <f t="shared" si="8"/>
        <v>0</v>
      </c>
      <c r="O61" s="686">
        <f t="shared" ca="1" si="8"/>
        <v>0</v>
      </c>
      <c r="P61" s="686">
        <f t="shared" si="8"/>
        <v>0</v>
      </c>
      <c r="Q61" s="686">
        <f t="shared" si="8"/>
        <v>0</v>
      </c>
      <c r="R61" s="686">
        <f ca="1">R46+R52+R56</f>
        <v>144121.02185956566</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0.2075072357347737</v>
      </c>
      <c r="D63" s="732">
        <f t="shared" ca="1" si="9"/>
        <v>0</v>
      </c>
      <c r="E63" s="921">
        <f t="shared" ca="1" si="9"/>
        <v>0.20200000000000007</v>
      </c>
      <c r="F63" s="732">
        <f t="shared" si="9"/>
        <v>0.22699999999999998</v>
      </c>
      <c r="G63" s="732">
        <f t="shared" ca="1" si="9"/>
        <v>0.26700000000000002</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19.88005758236136</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4707.7824091941411</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4727.6624667765027</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43500.382606208179</v>
      </c>
      <c r="C4" s="445">
        <f>huishoudens!C8</f>
        <v>0</v>
      </c>
      <c r="D4" s="445">
        <f>huishoudens!D8</f>
        <v>130494.40047283017</v>
      </c>
      <c r="E4" s="445">
        <f>huishoudens!E8</f>
        <v>2940.7458236534608</v>
      </c>
      <c r="F4" s="445">
        <f>huishoudens!F8</f>
        <v>48192.007169473683</v>
      </c>
      <c r="G4" s="445">
        <f>huishoudens!G8</f>
        <v>0</v>
      </c>
      <c r="H4" s="445">
        <f>huishoudens!H8</f>
        <v>0</v>
      </c>
      <c r="I4" s="445">
        <f>huishoudens!I8</f>
        <v>0</v>
      </c>
      <c r="J4" s="445">
        <f>huishoudens!J8</f>
        <v>265.99572665968293</v>
      </c>
      <c r="K4" s="445">
        <f>huishoudens!K8</f>
        <v>0</v>
      </c>
      <c r="L4" s="445">
        <f>huishoudens!L8</f>
        <v>0</v>
      </c>
      <c r="M4" s="445">
        <f>huishoudens!M8</f>
        <v>0</v>
      </c>
      <c r="N4" s="445">
        <f>huishoudens!N8</f>
        <v>13223.213886860001</v>
      </c>
      <c r="O4" s="445">
        <f>huishoudens!O8</f>
        <v>513.84517882124123</v>
      </c>
      <c r="P4" s="446">
        <f>huishoudens!P8</f>
        <v>516.16400607656612</v>
      </c>
      <c r="Q4" s="447">
        <f>SUM(B4:P4)</f>
        <v>239646.75487058301</v>
      </c>
    </row>
    <row r="5" spans="1:17">
      <c r="A5" s="444" t="s">
        <v>149</v>
      </c>
      <c r="B5" s="445">
        <f ca="1">tertiair!B16</f>
        <v>27818.34870185699</v>
      </c>
      <c r="C5" s="445">
        <f ca="1">tertiair!C16</f>
        <v>0</v>
      </c>
      <c r="D5" s="445">
        <f ca="1">tertiair!D16</f>
        <v>41120.645210702016</v>
      </c>
      <c r="E5" s="445">
        <f>tertiair!E16</f>
        <v>88.170099229942608</v>
      </c>
      <c r="F5" s="445">
        <f ca="1">tertiair!F16</f>
        <v>5576.2130679852207</v>
      </c>
      <c r="G5" s="445">
        <f>tertiair!G16</f>
        <v>0</v>
      </c>
      <c r="H5" s="445">
        <f>tertiair!H16</f>
        <v>0</v>
      </c>
      <c r="I5" s="445">
        <f>tertiair!I16</f>
        <v>0</v>
      </c>
      <c r="J5" s="445">
        <f>tertiair!J16</f>
        <v>3.5781239952760606E-2</v>
      </c>
      <c r="K5" s="445">
        <f>tertiair!K16</f>
        <v>0</v>
      </c>
      <c r="L5" s="445">
        <f ca="1">tertiair!L16</f>
        <v>0</v>
      </c>
      <c r="M5" s="445">
        <f>tertiair!M16</f>
        <v>0</v>
      </c>
      <c r="N5" s="445">
        <f ca="1">tertiair!N16</f>
        <v>1265.2336395429807</v>
      </c>
      <c r="O5" s="445">
        <f>tertiair!O16</f>
        <v>4.8972607658411542</v>
      </c>
      <c r="P5" s="446">
        <f>tertiair!P16</f>
        <v>52.539138306495019</v>
      </c>
      <c r="Q5" s="444">
        <f t="shared" ref="Q5:Q14" ca="1" si="0">SUM(B5:P5)</f>
        <v>75926.082899629444</v>
      </c>
    </row>
    <row r="6" spans="1:17">
      <c r="A6" s="444" t="s">
        <v>187</v>
      </c>
      <c r="B6" s="445">
        <f>'openbare verlichting'!B8</f>
        <v>1108.673</v>
      </c>
      <c r="C6" s="445"/>
      <c r="D6" s="445"/>
      <c r="E6" s="445"/>
      <c r="F6" s="445"/>
      <c r="G6" s="445"/>
      <c r="H6" s="445"/>
      <c r="I6" s="445"/>
      <c r="J6" s="445"/>
      <c r="K6" s="445"/>
      <c r="L6" s="445"/>
      <c r="M6" s="445"/>
      <c r="N6" s="445"/>
      <c r="O6" s="445"/>
      <c r="P6" s="446"/>
      <c r="Q6" s="444">
        <f t="shared" si="0"/>
        <v>1108.673</v>
      </c>
    </row>
    <row r="7" spans="1:17">
      <c r="A7" s="444" t="s">
        <v>105</v>
      </c>
      <c r="B7" s="445">
        <f>landbouw!B8</f>
        <v>408.98569452461601</v>
      </c>
      <c r="C7" s="445">
        <f>landbouw!C8</f>
        <v>0</v>
      </c>
      <c r="D7" s="445">
        <f>landbouw!D8</f>
        <v>1045.1548049591922</v>
      </c>
      <c r="E7" s="445">
        <f>landbouw!E8</f>
        <v>12.058054530246514</v>
      </c>
      <c r="F7" s="445">
        <f>landbouw!F8</f>
        <v>1299.9018862798555</v>
      </c>
      <c r="G7" s="445">
        <f>landbouw!G8</f>
        <v>0</v>
      </c>
      <c r="H7" s="445">
        <f>landbouw!H8</f>
        <v>0</v>
      </c>
      <c r="I7" s="445">
        <f>landbouw!I8</f>
        <v>0</v>
      </c>
      <c r="J7" s="445">
        <f>landbouw!J8</f>
        <v>103.14368068166389</v>
      </c>
      <c r="K7" s="445">
        <f>landbouw!K8</f>
        <v>0</v>
      </c>
      <c r="L7" s="445">
        <f>landbouw!L8</f>
        <v>0</v>
      </c>
      <c r="M7" s="445">
        <f>landbouw!M8</f>
        <v>0</v>
      </c>
      <c r="N7" s="445">
        <f>landbouw!N8</f>
        <v>0</v>
      </c>
      <c r="O7" s="445">
        <f>landbouw!O8</f>
        <v>0</v>
      </c>
      <c r="P7" s="446">
        <f>landbouw!P8</f>
        <v>0</v>
      </c>
      <c r="Q7" s="444">
        <f t="shared" si="0"/>
        <v>2869.2441209755739</v>
      </c>
    </row>
    <row r="8" spans="1:17">
      <c r="A8" s="444" t="s">
        <v>587</v>
      </c>
      <c r="B8" s="445">
        <f>industrie!B18</f>
        <v>2486.7472462741753</v>
      </c>
      <c r="C8" s="445">
        <f>industrie!C18</f>
        <v>0</v>
      </c>
      <c r="D8" s="445">
        <f>industrie!D18</f>
        <v>2697.5729723402883</v>
      </c>
      <c r="E8" s="445">
        <f>industrie!E18</f>
        <v>10.122838352815066</v>
      </c>
      <c r="F8" s="445">
        <f>industrie!F18</f>
        <v>881.42178619452977</v>
      </c>
      <c r="G8" s="445">
        <f>industrie!G18</f>
        <v>0</v>
      </c>
      <c r="H8" s="445">
        <f>industrie!H18</f>
        <v>0</v>
      </c>
      <c r="I8" s="445">
        <f>industrie!I18</f>
        <v>0</v>
      </c>
      <c r="J8" s="445">
        <f>industrie!J18</f>
        <v>0.18927675621253981</v>
      </c>
      <c r="K8" s="445">
        <f>industrie!K18</f>
        <v>0</v>
      </c>
      <c r="L8" s="445">
        <f>industrie!L18</f>
        <v>0</v>
      </c>
      <c r="M8" s="445">
        <f>industrie!M18</f>
        <v>0</v>
      </c>
      <c r="N8" s="445">
        <f>industrie!N18</f>
        <v>153.68941300360174</v>
      </c>
      <c r="O8" s="445">
        <f>industrie!O18</f>
        <v>0</v>
      </c>
      <c r="P8" s="446">
        <f>industrie!P18</f>
        <v>0</v>
      </c>
      <c r="Q8" s="444">
        <f t="shared" si="0"/>
        <v>6229.7435329216223</v>
      </c>
    </row>
    <row r="9" spans="1:17" s="450" customFormat="1">
      <c r="A9" s="448" t="s">
        <v>536</v>
      </c>
      <c r="B9" s="449">
        <f>transport!B14</f>
        <v>592.12630751723714</v>
      </c>
      <c r="C9" s="449">
        <f>transport!C14</f>
        <v>0</v>
      </c>
      <c r="D9" s="449">
        <f>transport!D14</f>
        <v>952.68372243788383</v>
      </c>
      <c r="E9" s="449">
        <f>transport!E14</f>
        <v>586.83995150131773</v>
      </c>
      <c r="F9" s="449">
        <f>transport!F14</f>
        <v>0</v>
      </c>
      <c r="G9" s="449">
        <f>transport!G14</f>
        <v>219193.94028918757</v>
      </c>
      <c r="H9" s="449">
        <f>transport!H14</f>
        <v>64518.138975705406</v>
      </c>
      <c r="I9" s="449">
        <f>transport!I14</f>
        <v>0</v>
      </c>
      <c r="J9" s="449">
        <f>transport!J14</f>
        <v>0</v>
      </c>
      <c r="K9" s="449">
        <f>transport!K14</f>
        <v>0</v>
      </c>
      <c r="L9" s="449">
        <f>transport!L14</f>
        <v>0</v>
      </c>
      <c r="M9" s="449">
        <f>transport!M14</f>
        <v>16826.019968289878</v>
      </c>
      <c r="N9" s="449">
        <f>transport!N14</f>
        <v>0</v>
      </c>
      <c r="O9" s="449">
        <f>transport!O14</f>
        <v>0</v>
      </c>
      <c r="P9" s="449">
        <f>transport!P14</f>
        <v>0</v>
      </c>
      <c r="Q9" s="448">
        <f>SUM(B9:P9)</f>
        <v>302669.74921463931</v>
      </c>
    </row>
    <row r="10" spans="1:17">
      <c r="A10" s="444" t="s">
        <v>526</v>
      </c>
      <c r="B10" s="445">
        <f>transport!B54</f>
        <v>52.693267769557977</v>
      </c>
      <c r="C10" s="445">
        <f>transport!C54</f>
        <v>0</v>
      </c>
      <c r="D10" s="445">
        <f>transport!D54</f>
        <v>0</v>
      </c>
      <c r="E10" s="445">
        <f>transport!E54</f>
        <v>0</v>
      </c>
      <c r="F10" s="445">
        <f>transport!F54</f>
        <v>0</v>
      </c>
      <c r="G10" s="445">
        <f>transport!G54</f>
        <v>3761.150518042371</v>
      </c>
      <c r="H10" s="445">
        <f>transport!H54</f>
        <v>0</v>
      </c>
      <c r="I10" s="445">
        <f>transport!I54</f>
        <v>0</v>
      </c>
      <c r="J10" s="445">
        <f>transport!J54</f>
        <v>0</v>
      </c>
      <c r="K10" s="445">
        <f>transport!K54</f>
        <v>0</v>
      </c>
      <c r="L10" s="445">
        <f>transport!L54</f>
        <v>0</v>
      </c>
      <c r="M10" s="445">
        <f>transport!M54</f>
        <v>207.68544298183187</v>
      </c>
      <c r="N10" s="445">
        <f>transport!N54</f>
        <v>0</v>
      </c>
      <c r="O10" s="445">
        <f>transport!O54</f>
        <v>0</v>
      </c>
      <c r="P10" s="446">
        <f>transport!P54</f>
        <v>0</v>
      </c>
      <c r="Q10" s="444">
        <f t="shared" si="0"/>
        <v>4021.5292287937609</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1467.13242959889</v>
      </c>
      <c r="C14" s="452"/>
      <c r="D14" s="452">
        <f>'SEAP template'!E25</f>
        <v>4697.2645905526597</v>
      </c>
      <c r="E14" s="452"/>
      <c r="F14" s="452"/>
      <c r="G14" s="452"/>
      <c r="H14" s="452"/>
      <c r="I14" s="452"/>
      <c r="J14" s="452"/>
      <c r="K14" s="452"/>
      <c r="L14" s="452"/>
      <c r="M14" s="452"/>
      <c r="N14" s="452"/>
      <c r="O14" s="452"/>
      <c r="P14" s="453"/>
      <c r="Q14" s="444">
        <f t="shared" si="0"/>
        <v>6164.3970201515494</v>
      </c>
    </row>
    <row r="15" spans="1:17" s="456" customFormat="1">
      <c r="A15" s="454" t="s">
        <v>530</v>
      </c>
      <c r="B15" s="455">
        <f ca="1">SUM(B4:B14)</f>
        <v>77435.089253749626</v>
      </c>
      <c r="C15" s="455">
        <f t="shared" ref="C15:Q15" ca="1" si="1">SUM(C4:C14)</f>
        <v>0</v>
      </c>
      <c r="D15" s="455">
        <f t="shared" ca="1" si="1"/>
        <v>181007.72177382221</v>
      </c>
      <c r="E15" s="455">
        <f t="shared" si="1"/>
        <v>3637.9367672677827</v>
      </c>
      <c r="F15" s="455">
        <f t="shared" ca="1" si="1"/>
        <v>55949.543909933287</v>
      </c>
      <c r="G15" s="455">
        <f t="shared" si="1"/>
        <v>222955.09080722995</v>
      </c>
      <c r="H15" s="455">
        <f t="shared" si="1"/>
        <v>64518.138975705406</v>
      </c>
      <c r="I15" s="455">
        <f t="shared" si="1"/>
        <v>0</v>
      </c>
      <c r="J15" s="455">
        <f t="shared" si="1"/>
        <v>369.36446533751217</v>
      </c>
      <c r="K15" s="455">
        <f t="shared" si="1"/>
        <v>0</v>
      </c>
      <c r="L15" s="455">
        <f t="shared" ca="1" si="1"/>
        <v>0</v>
      </c>
      <c r="M15" s="455">
        <f t="shared" si="1"/>
        <v>17033.705411271709</v>
      </c>
      <c r="N15" s="455">
        <f t="shared" ca="1" si="1"/>
        <v>14642.136939406584</v>
      </c>
      <c r="O15" s="455">
        <f t="shared" si="1"/>
        <v>518.74243958708234</v>
      </c>
      <c r="P15" s="455">
        <f t="shared" si="1"/>
        <v>568.70314438306116</v>
      </c>
      <c r="Q15" s="455">
        <f t="shared" ca="1" si="1"/>
        <v>638636.17388769437</v>
      </c>
    </row>
    <row r="17" spans="1:17">
      <c r="A17" s="457" t="s">
        <v>531</v>
      </c>
      <c r="B17" s="737">
        <f ca="1">huishoudens!B10</f>
        <v>0.20750723573477364</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9026.644148019288</v>
      </c>
      <c r="C22" s="445">
        <f t="shared" ref="C22:C32" ca="1" si="3">C4*$C$17</f>
        <v>0</v>
      </c>
      <c r="D22" s="445">
        <f t="shared" ref="D22:D32" si="4">D4*$D$17</f>
        <v>26359.868895511696</v>
      </c>
      <c r="E22" s="445">
        <f t="shared" ref="E22:E32" si="5">E4*$E$17</f>
        <v>667.5493019693356</v>
      </c>
      <c r="F22" s="445">
        <f t="shared" ref="F22:F32" si="6">F4*$F$17</f>
        <v>12867.265914249474</v>
      </c>
      <c r="G22" s="445">
        <f t="shared" ref="G22:G32" si="7">G4*$G$17</f>
        <v>0</v>
      </c>
      <c r="H22" s="445">
        <f t="shared" ref="H22:H32" si="8">H4*$H$17</f>
        <v>0</v>
      </c>
      <c r="I22" s="445">
        <f t="shared" ref="I22:I32" si="9">I4*$I$17</f>
        <v>0</v>
      </c>
      <c r="J22" s="445">
        <f t="shared" ref="J22:J32" si="10">J4*$J$17</f>
        <v>94.162487237527756</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49015.490746987321</v>
      </c>
    </row>
    <row r="23" spans="1:17">
      <c r="A23" s="444" t="s">
        <v>149</v>
      </c>
      <c r="B23" s="445">
        <f t="shared" ca="1" si="2"/>
        <v>5772.5086418283727</v>
      </c>
      <c r="C23" s="445">
        <f t="shared" ca="1" si="3"/>
        <v>0</v>
      </c>
      <c r="D23" s="445">
        <f t="shared" ca="1" si="4"/>
        <v>8306.370332561808</v>
      </c>
      <c r="E23" s="445">
        <f t="shared" si="5"/>
        <v>20.014612525196974</v>
      </c>
      <c r="F23" s="445">
        <f t="shared" ca="1" si="6"/>
        <v>1488.848889152054</v>
      </c>
      <c r="G23" s="445">
        <f t="shared" si="7"/>
        <v>0</v>
      </c>
      <c r="H23" s="445">
        <f t="shared" si="8"/>
        <v>0</v>
      </c>
      <c r="I23" s="445">
        <f t="shared" si="9"/>
        <v>0</v>
      </c>
      <c r="J23" s="445">
        <f t="shared" si="10"/>
        <v>1.2666558943277255E-2</v>
      </c>
      <c r="K23" s="445">
        <f t="shared" si="11"/>
        <v>0</v>
      </c>
      <c r="L23" s="445">
        <f t="shared" ca="1" si="12"/>
        <v>0</v>
      </c>
      <c r="M23" s="445">
        <f t="shared" si="13"/>
        <v>0</v>
      </c>
      <c r="N23" s="445">
        <f t="shared" ca="1" si="14"/>
        <v>0</v>
      </c>
      <c r="O23" s="445">
        <f t="shared" si="15"/>
        <v>0</v>
      </c>
      <c r="P23" s="446">
        <f t="shared" si="16"/>
        <v>0</v>
      </c>
      <c r="Q23" s="444">
        <f t="shared" ref="Q23:Q31" ca="1" si="17">SUM(B23:P23)</f>
        <v>15587.755142626374</v>
      </c>
    </row>
    <row r="24" spans="1:17">
      <c r="A24" s="444" t="s">
        <v>187</v>
      </c>
      <c r="B24" s="445">
        <f t="shared" ca="1" si="2"/>
        <v>230.05766956377869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230.05766956377869</v>
      </c>
    </row>
    <row r="25" spans="1:17">
      <c r="A25" s="444" t="s">
        <v>105</v>
      </c>
      <c r="B25" s="445">
        <f t="shared" ca="1" si="2"/>
        <v>84.867490925869618</v>
      </c>
      <c r="C25" s="445">
        <f t="shared" ca="1" si="3"/>
        <v>0</v>
      </c>
      <c r="D25" s="445">
        <f t="shared" si="4"/>
        <v>211.12127060175683</v>
      </c>
      <c r="E25" s="445">
        <f t="shared" si="5"/>
        <v>2.7371783783659587</v>
      </c>
      <c r="F25" s="445">
        <f t="shared" si="6"/>
        <v>347.07380363672144</v>
      </c>
      <c r="G25" s="445">
        <f t="shared" si="7"/>
        <v>0</v>
      </c>
      <c r="H25" s="445">
        <f t="shared" si="8"/>
        <v>0</v>
      </c>
      <c r="I25" s="445">
        <f t="shared" si="9"/>
        <v>0</v>
      </c>
      <c r="J25" s="445">
        <f t="shared" si="10"/>
        <v>36.512862961309018</v>
      </c>
      <c r="K25" s="445">
        <f t="shared" si="11"/>
        <v>0</v>
      </c>
      <c r="L25" s="445">
        <f t="shared" si="12"/>
        <v>0</v>
      </c>
      <c r="M25" s="445">
        <f t="shared" si="13"/>
        <v>0</v>
      </c>
      <c r="N25" s="445">
        <f t="shared" si="14"/>
        <v>0</v>
      </c>
      <c r="O25" s="445">
        <f t="shared" si="15"/>
        <v>0</v>
      </c>
      <c r="P25" s="446">
        <f t="shared" si="16"/>
        <v>0</v>
      </c>
      <c r="Q25" s="444">
        <f t="shared" ca="1" si="17"/>
        <v>682.31260650402294</v>
      </c>
    </row>
    <row r="26" spans="1:17">
      <c r="A26" s="444" t="s">
        <v>587</v>
      </c>
      <c r="B26" s="445">
        <f t="shared" ca="1" si="2"/>
        <v>516.01804704541451</v>
      </c>
      <c r="C26" s="445">
        <f t="shared" ca="1" si="3"/>
        <v>0</v>
      </c>
      <c r="D26" s="445">
        <f t="shared" si="4"/>
        <v>544.9097404127383</v>
      </c>
      <c r="E26" s="445">
        <f t="shared" si="5"/>
        <v>2.2978843060890202</v>
      </c>
      <c r="F26" s="445">
        <f t="shared" si="6"/>
        <v>235.33961691393947</v>
      </c>
      <c r="G26" s="445">
        <f t="shared" si="7"/>
        <v>0</v>
      </c>
      <c r="H26" s="445">
        <f t="shared" si="8"/>
        <v>0</v>
      </c>
      <c r="I26" s="445">
        <f t="shared" si="9"/>
        <v>0</v>
      </c>
      <c r="J26" s="445">
        <f t="shared" si="10"/>
        <v>6.7003971699239093E-2</v>
      </c>
      <c r="K26" s="445">
        <f t="shared" si="11"/>
        <v>0</v>
      </c>
      <c r="L26" s="445">
        <f t="shared" si="12"/>
        <v>0</v>
      </c>
      <c r="M26" s="445">
        <f t="shared" si="13"/>
        <v>0</v>
      </c>
      <c r="N26" s="445">
        <f t="shared" si="14"/>
        <v>0</v>
      </c>
      <c r="O26" s="445">
        <f t="shared" si="15"/>
        <v>0</v>
      </c>
      <c r="P26" s="446">
        <f t="shared" si="16"/>
        <v>0</v>
      </c>
      <c r="Q26" s="444">
        <f t="shared" ca="1" si="17"/>
        <v>1298.6322926498804</v>
      </c>
    </row>
    <row r="27" spans="1:17" s="450" customFormat="1">
      <c r="A27" s="448" t="s">
        <v>536</v>
      </c>
      <c r="B27" s="731">
        <f t="shared" ca="1" si="2"/>
        <v>122.8704932787404</v>
      </c>
      <c r="C27" s="449">
        <f t="shared" ca="1" si="3"/>
        <v>0</v>
      </c>
      <c r="D27" s="449">
        <f t="shared" si="4"/>
        <v>192.44211193245255</v>
      </c>
      <c r="E27" s="449">
        <f t="shared" si="5"/>
        <v>133.21266899079913</v>
      </c>
      <c r="F27" s="449">
        <f t="shared" si="6"/>
        <v>0</v>
      </c>
      <c r="G27" s="449">
        <f t="shared" si="7"/>
        <v>58524.78205721308</v>
      </c>
      <c r="H27" s="449">
        <f t="shared" si="8"/>
        <v>16065.016604950646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75038.323936365719</v>
      </c>
    </row>
    <row r="28" spans="1:17" ht="16.5" customHeight="1">
      <c r="A28" s="444" t="s">
        <v>526</v>
      </c>
      <c r="B28" s="445">
        <f t="shared" ca="1" si="2"/>
        <v>10.934234336693217</v>
      </c>
      <c r="C28" s="445">
        <f t="shared" ca="1" si="3"/>
        <v>0</v>
      </c>
      <c r="D28" s="445">
        <f t="shared" si="4"/>
        <v>0</v>
      </c>
      <c r="E28" s="445">
        <f t="shared" si="5"/>
        <v>0</v>
      </c>
      <c r="F28" s="445">
        <f t="shared" si="6"/>
        <v>0</v>
      </c>
      <c r="G28" s="445">
        <f t="shared" si="7"/>
        <v>1004.2271883173131</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1015.1614226540063</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304.44059492290808</v>
      </c>
      <c r="C32" s="445">
        <f t="shared" ca="1" si="3"/>
        <v>0</v>
      </c>
      <c r="D32" s="445">
        <f t="shared" si="4"/>
        <v>948.84744729163731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1253.2880422145454</v>
      </c>
    </row>
    <row r="33" spans="1:17" s="456" customFormat="1">
      <c r="A33" s="454" t="s">
        <v>530</v>
      </c>
      <c r="B33" s="455">
        <f ca="1">SUM(B22:B32)</f>
        <v>16068.341319921064</v>
      </c>
      <c r="C33" s="455">
        <f t="shared" ref="C33:Q33" ca="1" si="19">SUM(C22:C32)</f>
        <v>0</v>
      </c>
      <c r="D33" s="455">
        <f t="shared" ca="1" si="19"/>
        <v>36563.55979831209</v>
      </c>
      <c r="E33" s="455">
        <f t="shared" si="19"/>
        <v>825.81164616978663</v>
      </c>
      <c r="F33" s="455">
        <f t="shared" ca="1" si="19"/>
        <v>14938.528223952189</v>
      </c>
      <c r="G33" s="455">
        <f t="shared" si="19"/>
        <v>59529.009245530397</v>
      </c>
      <c r="H33" s="455">
        <f t="shared" si="19"/>
        <v>16065.016604950646</v>
      </c>
      <c r="I33" s="455">
        <f t="shared" si="19"/>
        <v>0</v>
      </c>
      <c r="J33" s="455">
        <f t="shared" si="19"/>
        <v>130.7550207294793</v>
      </c>
      <c r="K33" s="455">
        <f t="shared" si="19"/>
        <v>0</v>
      </c>
      <c r="L33" s="455">
        <f t="shared" ca="1" si="19"/>
        <v>0</v>
      </c>
      <c r="M33" s="455">
        <f t="shared" si="19"/>
        <v>0</v>
      </c>
      <c r="N33" s="455">
        <f t="shared" ca="1" si="19"/>
        <v>0</v>
      </c>
      <c r="O33" s="455">
        <f t="shared" si="19"/>
        <v>0</v>
      </c>
      <c r="P33" s="455">
        <f t="shared" si="19"/>
        <v>0</v>
      </c>
      <c r="Q33" s="455">
        <f t="shared" ca="1" si="19"/>
        <v>144121.02185956566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19.88005758236136</v>
      </c>
      <c r="C5" s="972"/>
      <c r="D5" s="972"/>
      <c r="E5" s="972"/>
      <c r="F5" s="972"/>
      <c r="G5" s="972"/>
      <c r="H5" s="972"/>
      <c r="I5" s="972"/>
      <c r="J5" s="972"/>
      <c r="K5" s="972"/>
      <c r="L5" s="972"/>
      <c r="M5" s="972"/>
      <c r="N5" s="972"/>
      <c r="O5" s="972"/>
      <c r="P5" s="973">
        <f>'SEAP template'!Q73</f>
        <v>0</v>
      </c>
    </row>
    <row r="6" spans="1:16">
      <c r="A6" s="977" t="s">
        <v>240</v>
      </c>
      <c r="B6" s="972">
        <f>'SEAP template'!B74</f>
        <v>4707.7824091941411</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4727.6624667765027</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0.20750723573477364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0.20750723573477364</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2022-07-26T09:44:21Z</dcterms:modified>
</cp:coreProperties>
</file>