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C4B107A-2597-4FDA-A0B7-8DEA9C0BA74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<sst xmlns="http://schemas.openxmlformats.org/spreadsheetml/2006/main" count="2372" uniqueCount="861">
  <si>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</si>
  <si>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</si>
  <si>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</si>
  <si>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</si>
  <si>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</si>
  <si>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</si>
  <si>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</si>
  <si>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</si>
  <si>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</si>
  <si>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</si>
  <si>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</si>
  <si>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</si>
  <si>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</si>
  <si>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</si>
  <si>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</si>
  <si>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</si>
  <si>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</si>
  <si>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</si>
  <si>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</si>
  <si>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</si>
  <si>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</si>
  <si>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</si>
  <si>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</si>
  <si>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</si>
  <si>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</si>
  <si>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</si>
  <si>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</si>
  <si>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</si>
  <si>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</si>
  <si>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</si>
  <si>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</si>
  <si>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</si>
  <si>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</si>
  <si>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</si>
  <si>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</si>
  <si>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</si>
  <si>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</si>
  <si>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</si>
  <si>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</si>
  <si>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</si>
  <si>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</si>
  <si>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</si>
  <si>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</si>
  <si>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</si>
  <si>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</si>
  <si>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</si>
  <si>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</si>
  <si>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</si>
  <si>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</si>
  <si>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</si>
  <si>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</si>
  <si>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</si>
  <si>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</si>
  <si>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</si>
  <si>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</si>
  <si>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</si>
  <si>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</si>
  <si>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</si>
  <si>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</si>
  <si>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</si>
  <si>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</si>
  <si>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</si>
  <si>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</si>
  <si>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</si>
  <si>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</si>
  <si>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</si>
  <si>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</si>
  <si>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</si>
  <si>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</si>
  <si>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</si>
  <si>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</si>
  <si>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</si>
  <si>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</si>
  <si>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</si>
  <si>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</si>
  <si>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</si>
  <si>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</si>
  <si>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</si>
  <si>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</si>
  <si>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</si>
  <si>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</si>
  <si>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</si>
  <si>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</si>
  <si>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</si>
  <si>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</si>
  <si>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</si>
  <si>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</si>
  <si>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</si>
  <si>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</si>
  <si>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</si>
  <si>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</si>
  <si>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</si>
  <si>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</si>
  <si>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</si>
  <si>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</si>
  <si>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</si>
  <si>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</si>
  <si>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</si>
  <si>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</si>
  <si>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</si>
  <si>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</si>
  <si>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</si>
  <si>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</si>
  <si>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</si>
  <si>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</si>
  <si>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</si>
  <si>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</si>
  <si>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</si>
  <si>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</si>
  <si>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</si>
  <si>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</si>
  <si>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</si>
  <si>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</si>
  <si>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</si>
  <si>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</si>
  <si>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</si>
  <si>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</si>
  <si>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</si>
  <si>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</si>
  <si>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</si>
  <si>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</si>
  <si>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</si>
  <si>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</si>
  <si>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</si>
  <si>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</si>
  <si>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</si>
  <si>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</si>
  <si>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</si>
  <si>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</si>
  <si>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</si>
  <si>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</si>
  <si>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</si>
  <si>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</si>
  <si>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</si>
  <si>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</si>
  <si>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</si>
  <si>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</si>
  <si>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</si>
  <si>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</si>
  <si>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</si>
  <si>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</si>
  <si>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</si>
  <si>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</si>
  <si>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</si>
  <si>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</si>
  <si>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</si>
  <si>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</si>
  <si>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</si>
  <si>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</si>
  <si>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</si>
  <si>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</si>
  <si>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</si>
  <si>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</si>
  <si>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</si>
  <si>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</si>
  <si>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</si>
  <si>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</si>
  <si>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</si>
  <si>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</si>
  <si>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</si>
  <si>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</si>
  <si>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</si>
  <si>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</si>
  <si>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</si>
  <si>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</si>
  <si>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</si>
  <si>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</si>
  <si>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</si>
  <si>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</si>
  <si>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</si>
  <si>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</si>
  <si>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</si>
  <si>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</si>
  <si>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</si>
  <si>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</si>
  <si>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</si>
  <si>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</si>
  <si>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</si>
  <si>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</si>
  <si>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</si>
  <si>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</si>
  <si>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</si>
  <si>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</si>
  <si>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</si>
  <si>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</si>
  <si>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</si>
  <si>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</si>
  <si>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</si>
  <si>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</si>
  <si>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</si>
  <si>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</si>
  <si>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</si>
  <si>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</si>
  <si>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</si>
  <si>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</si>
  <si>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</si>
  <si>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</si>
  <si>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</si>
  <si>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</si>
  <si>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</si>
  <si>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</si>
  <si>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</si>
  <si>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</si>
  <si>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</si>
  <si>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</si>
  <si>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</si>
  <si>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</si>
  <si>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</si>
  <si>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</si>
  <si>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</si>
  <si>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</si>
  <si>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</si>
  <si>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</si>
  <si>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</si>
  <si>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</si>
  <si>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</si>
  <si>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</si>
  <si>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</si>
  <si>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</si>
  <si>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</si>
  <si>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</si>
  <si>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</si>
  <si>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</si>
  <si>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</si>
  <si>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</si>
  <si>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</si>
  <si>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</si>
  <si>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</si>
  <si>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</si>
  <si>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</si>
  <si>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</si>
  <si>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</si>
  <si>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</si>
  <si>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</si>
  <si>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</si>
  <si>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</si>
  <si>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</si>
  <si>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</si>
  <si>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</si>
  <si>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</si>
  <si>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</si>
  <si>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</si>
  <si>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</si>
  <si>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</si>
  <si>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</si>
  <si>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</si>
  <si>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</si>
  <si>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</si>
  <si>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</si>
  <si>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</si>
  <si>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</si>
  <si>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</si>
  <si>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</si>
  <si>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</si>
  <si>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</si>
  <si>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</si>
  <si>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</si>
  <si>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</si>
  <si>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</si>
  <si>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</si>
  <si>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</si>
  <si>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</si>
  <si>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</si>
  <si>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</si>
  <si>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</si>
  <si>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</si>
  <si>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</si>
  <si>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</si>
  <si>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</si>
  <si>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</si>
  <si>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</si>
  <si>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</si>
  <si>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</si>
  <si>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</si>
  <si>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</si>
  <si>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</si>
  <si>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</si>
  <si>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</si>
  <si>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</si>
  <si>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</si>
  <si>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</si>
  <si>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</si>
  <si>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</si>
  <si>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</si>
  <si>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</si>
  <si>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</si>
  <si>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</si>
  <si>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</si>
  <si>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</si>
  <si>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</si>
  <si>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</si>
  <si>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</si>
  <si>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</si>
  <si>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</si>
  <si>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</si>
  <si>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</si>
  <si>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</si>
  <si>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</si>
  <si>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</si>
  <si>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</si>
  <si>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</si>
  <si>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</si>
  <si>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</si>
  <si>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</si>
  <si>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</si>
  <si>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</si>
  <si>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</si>
  <si>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</si>
  <si>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</si>
  <si>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</si>
  <si>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</si>
  <si>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</si>
  <si>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</si>
  <si>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</si>
  <si>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</si>
  <si>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</si>
  <si>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</si>
  <si>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</si>
  <si>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</si>
  <si>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</si>
  <si>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</si>
  <si>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</si>
  <si>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</si>
  <si>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</si>
  <si>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</si>
  <si>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</si>
  <si>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</si>
  <si>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</si>
  <si>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</si>
  <si>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</si>
  <si>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</si>
  <si>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</si>
  <si>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</si>
  <si>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</si>
  <si>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</si>
  <si>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</si>
  <si>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</si>
  <si>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</si>
  <si>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</si>
  <si>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</si>
  <si>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</si>
  <si>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</si>
  <si>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</si>
  <si>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</si>
  <si>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</si>
  <si>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</si>
  <si>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</si>
  <si>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</si>
  <si>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</si>
  <si>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</si>
  <si>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</si>
  <si>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</si>
  <si>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</si>
  <si>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</si>
  <si>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</si>
  <si>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</si>
  <si>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</si>
  <si>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</si>
  <si>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</si>
  <si>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</si>
  <si>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</si>
  <si>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</si>
  <si>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</si>
  <si>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</si>
  <si>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</si>
  <si>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</si>
  <si>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</si>
  <si>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</si>
  <si>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</si>
  <si>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</si>
  <si>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</si>
  <si>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</si>
  <si>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</si>
  <si>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</si>
  <si>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</si>
  <si>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</si>
  <si>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</si>
  <si>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</si>
  <si>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</si>
  <si>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</si>
  <si>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</si>
  <si>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</si>
  <si>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</si>
  <si>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</si>
  <si>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</si>
  <si>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</si>
  <si>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</si>
  <si>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</si>
  <si>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</si>
  <si>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</si>
  <si>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</si>
  <si>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</si>
  <si>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</si>
  <si>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</si>
  <si>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</si>
  <si>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</si>
  <si>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</si>
  <si>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</si>
  <si>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</si>
  <si>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</si>
  <si>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</si>
  <si>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</si>
  <si>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</si>
  <si>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</si>
  <si>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</si>
  <si>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</si>
  <si>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</si>
  <si>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</si>
  <si>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</si>
  <si>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</si>
  <si>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</si>
  <si>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</si>
  <si>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</si>
  <si>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</si>
  <si>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</si>
  <si>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</si>
  <si>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</si>
  <si>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</si>
  <si>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</si>
  <si>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</si>
  <si>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</si>
  <si>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</si>
  <si>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</si>
  <si>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</si>
  <si>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</si>
  <si>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</si>
  <si>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</si>
  <si>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</si>
  <si>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</si>
  <si>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</si>
  <si>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</si>
  <si>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</si>
  <si>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</si>
  <si>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</si>
  <si>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</si>
  <si>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</si>
  <si>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</si>
  <si>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</si>
  <si>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</si>
  <si>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</si>
  <si>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</si>
  <si>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</si>
  <si>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</si>
  <si>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</si>
  <si>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</si>
  <si>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</si>
  <si>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</si>
  <si>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</si>
  <si>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</si>
  <si>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</si>
  <si>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</si>
  <si>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</si>
  <si>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</si>
  <si>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</si>
  <si>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</si>
  <si>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</si>
  <si>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</si>
  <si>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</si>
  <si>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</si>
  <si>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</si>
  <si>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</si>
  <si>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</si>
  <si>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</si>
  <si>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</si>
  <si>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</si>
  <si>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</si>
  <si>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</si>
  <si>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</si>
  <si>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</si>
  <si>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</si>
  <si>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</si>
  <si>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</si>
  <si>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</si>
  <si>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</si>
  <si>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</si>
  <si>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</si>
  <si>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</si>
  <si>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</si>
  <si>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</si>
  <si>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</si>
  <si>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</si>
  <si>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</si>
  <si>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</si>
  <si>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</si>
  <si>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</si>
  <si>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</si>
  <si>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</si>
  <si>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</si>
  <si>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</si>
  <si>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</si>
  <si>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</si>
  <si>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</si>
  <si>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</si>
  <si>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</si>
  <si>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</si>
  <si>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</si>
  <si>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</si>
  <si>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</si>
  <si>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</si>
  <si>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</si>
  <si>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</si>
  <si>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</si>
  <si>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</si>
  <si>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</si>
  <si>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</si>
  <si>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</si>
  <si>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</si>
  <si>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</si>
  <si>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</si>
  <si>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</si>
  <si>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</si>
  <si>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</si>
  <si>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</si>
  <si>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</si>
  <si>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</si>
  <si>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</si>
  <si>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</si>
  <si>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</si>
  <si>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</si>
  <si>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</si>
  <si>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</si>
  <si>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</si>
  <si>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</si>
  <si>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</si>
  <si>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</si>
  <si>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</si>
  <si>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</si>
  <si>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</si>
  <si>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</si>
  <si>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</si>
  <si>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</si>
  <si>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</si>
  <si>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</si>
  <si>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</si>
  <si>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</si>
  <si>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</si>
  <si>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</si>
  <si>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</si>
  <si>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</si>
  <si>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</si>
  <si>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</si>
  <si>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</si>
  <si>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</si>
  <si>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</si>
  <si>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</si>
  <si>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</si>
  <si>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</si>
  <si>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</si>
  <si>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</si>
  <si>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</si>
  <si>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</si>
  <si>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</si>
  <si>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</si>
  <si>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</si>
  <si>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</si>
  <si>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</si>
  <si>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</si>
  <si>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</si>
  <si>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</si>
  <si>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</si>
  <si>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</si>
  <si>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</si>
  <si>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</si>
  <si>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</si>
  <si>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</si>
  <si>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</si>
  <si>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</si>
  <si>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</si>
  <si>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</si>
  <si>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</si>
  <si>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</si>
  <si>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</si>
  <si>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</si>
  <si>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</si>
  <si>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</si>
  <si>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</si>
  <si>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</si>
  <si>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</si>
  <si>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</si>
  <si>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</si>
  <si>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</si>
  <si>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</si>
  <si>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</si>
  <si>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</si>
  <si>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</si>
  <si>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</si>
  <si>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</si>
  <si>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</si>
  <si>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</si>
  <si>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</si>
  <si>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</si>
  <si>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</si>
  <si>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</si>
  <si>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</si>
  <si>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</si>
  <si>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</si>
  <si>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</si>
  <si>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</si>
  <si>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</si>
  <si>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</si>
  <si>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</si>
  <si>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</si>
  <si>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</si>
  <si>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</si>
  <si>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</si>
  <si>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</si>
  <si>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</si>
  <si>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</si>
  <si>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</si>
  <si>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</si>
  <si>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</si>
  <si>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</si>
  <si>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</si>
  <si>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</si>
  <si>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</si>
  <si>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</si>
  <si>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</si>
  <si>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</si>
  <si>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</si>
  <si>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</si>
  <si>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</si>
  <si>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</si>
  <si>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</si>
  <si>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</si>
  <si>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</si>
  <si>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</si>
  <si>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</si>
  <si>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</si>
  <si>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</si>
  <si>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</si>
  <si>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</si>
  <si>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</si>
  <si>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</si>
  <si>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</si>
  <si>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</si>
  <si>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</si>
  <si>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</si>
  <si>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</si>
  <si>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</si>
  <si>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</si>
  <si>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</si>
  <si>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</si>
  <si>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</si>
  <si>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</si>
  <si>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</si>
  <si>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</si>
  <si>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</si>
  <si>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</si>
  <si>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</si>
  <si>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</si>
  <si>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</si>
  <si>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</si>
  <si>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</si>
  <si>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</si>
  <si>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</si>
  <si>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</si>
  <si>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</si>
  <si>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</si>
  <si>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</si>
  <si>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</si>
  <si>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</si>
  <si>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</si>
  <si>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</si>
  <si>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</si>
  <si>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</si>
  <si>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</si>
  <si>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</si>
  <si>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</si>
  <si>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</si>
  <si>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</si>
  <si>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</si>
  <si>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</si>
  <si>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</si>
  <si>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</si>
  <si>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</si>
  <si>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</si>
  <si>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</si>
  <si>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</si>
  <si>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</si>
  <si>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</si>
  <si>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</si>
  <si>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</si>
  <si>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</si>
  <si>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</si>
  <si>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</si>
  <si>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</si>
  <si>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</si>
  <si>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</si>
  <si>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</si>
  <si>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</si>
  <si>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</si>
  <si>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</si>
  <si>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</si>
  <si>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</si>
  <si>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</si>
  <si>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</si>
  <si>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</si>
  <si>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</si>
  <si>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</si>
  <si>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</si>
  <si>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</si>
  <si>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</si>
  <si>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</si>
  <si>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</si>
  <si>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</si>
  <si>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</si>
  <si>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</si>
  <si>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</si>
  <si>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</si>
  <si>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</si>
  <si>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</si>
  <si>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</si>
  <si>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</si>
  <si>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</si>
  <si>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</si>
  <si>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</si>
  <si>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</si>
  <si>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</si>
  <si>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</si>
  <si>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</si>
  <si>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</si>
  <si>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</si>
  <si>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</si>
  <si>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</si>
  <si>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</si>
  <si>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</si>
  <si>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</si>
  <si>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</si>
  <si>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</si>
  <si>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</si>
  <si>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</si>
  <si>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</si>
  <si>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</si>
  <si>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</si>
  <si>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</si>
  <si>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</si>
  <si>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</si>
  <si>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</si>
  <si>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</si>
  <si>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</si>
  <si>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</si>
  <si>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</si>
  <si>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</si>
  <si>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</si>
  <si>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</si>
  <si>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</si>
  <si>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</si>
  <si>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</si>
  <si>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</si>
  <si>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</si>
  <si>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</si>
  <si>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</si>
  <si>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</si>
  <si>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</si>
  <si>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</si>
  <si>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</si>
  <si>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</si>
  <si>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</si>
  <si>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</si>
  <si>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</si>
  <si>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</si>
  <si>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</si>
  <si>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</si>
  <si>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</si>
  <si>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</si>
  <si>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</si>
  <si>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</si>
  <si>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</si>
  <si>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</si>
  <si>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</si>
  <si>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</si>
  <si>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</si>
  <si>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</si>
  <si>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</si>
  <si>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</si>
  <si>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</si>
  <si>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</si>
  <si>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</si>
  <si>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</si>
  <si>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</si>
  <si>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</si>
  <si>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</si>
  <si>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</si>
  <si>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</si>
  <si>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</si>
  <si>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</si>
  <si>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</si>
  <si>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</si>
  <si>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</si>
  <si>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</si>
  <si>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</si>
  <si>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</si>
  <si>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</si>
  <si>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</si>
  <si>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</si>
  <si>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</si>
  <si>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</si>
  <si>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</si>
  <si>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</si>
  <si>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</si>
  <si>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</si>
  <si>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</si>
  <si>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</si>
  <si>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</si>
  <si>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</si>
  <si>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</si>
  <si>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</si>
  <si>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</si>
  <si>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</si>
  <si>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</si>
  <si>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</si>
  <si>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</si>
  <si>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</si>
  <si>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</si>
  <si>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</si>
  <si>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</si>
  <si>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</si>
  <si>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</si>
  <si>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</si>
  <si>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</si>
  <si>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</si>
  <si>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</si>
  <si>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</si>
  <si>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</si>
  <si>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</si>
  <si>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</si>
  <si>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</si>
  <si>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</si>
  <si>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</si>
  <si>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</si>
  <si>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</si>
  <si>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</si>
  <si>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</si>
  <si>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</si>
  <si>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</si>
  <si>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</si>
  <si>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</si>
  <si>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</si>
  <si>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</si>
  <si>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</si>
  <si>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</si>
  <si>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</si>
  <si>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</si>
  <si>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</si>
  <si>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</si>
  <si>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</si>
  <si>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</si>
  <si>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</si>
  <si>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</si>
  <si>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</si>
  <si>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</si>
  <si>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</si>
  <si>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</si>
  <si>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</si>
  <si>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</si>
  <si>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</si>
  <si>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</si>
  <si>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13006</t>
  </si>
  <si>
    <t>DESSEL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</si>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</sst>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903CECF-AC5E-4DF3-B663-D095CC6EE4F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80230.791591484885</c:v>
                </c:pt>
                <c:pt idx="1">
                  <c:v>69318.028985847486</c:v>
                </c:pt>
                <c:pt idx="2">
                  <c:v>466.25200000000001</c:v>
                </c:pt>
                <c:pt idx="3">
                  <c:v>4001.827016488473</c:v>
                </c:pt>
                <c:pt idx="4">
                  <c:v>58469.491284138152</c:v>
                </c:pt>
                <c:pt idx="5">
                  <c:v>35965.292837251436</c:v>
                </c:pt>
                <c:pt idx="6">
                  <c:v>418.84345565404703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80230.791591484885</c:v>
                </c:pt>
                <c:pt idx="1">
                  <c:v>69318.028985847486</c:v>
                </c:pt>
                <c:pt idx="2">
                  <c:v>466.25200000000001</c:v>
                </c:pt>
                <c:pt idx="3">
                  <c:v>4001.827016488473</c:v>
                </c:pt>
                <c:pt idx="4">
                  <c:v>58469.491284138152</c:v>
                </c:pt>
                <c:pt idx="5">
                  <c:v>35965.292837251436</c:v>
                </c:pt>
                <c:pt idx="6">
                  <c:v>418.84345565404703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15373.167074916719</c:v>
                </c:pt>
                <c:pt idx="1">
                  <c:v>12742.360612530752</c:v>
                </c:pt>
                <c:pt idx="2">
                  <c:v>68.292303174815828</c:v>
                </c:pt>
                <c:pt idx="3">
                  <c:v>976.12818595149076</c:v>
                </c:pt>
                <c:pt idx="4">
                  <c:v>8098.6604098139624</c:v>
                </c:pt>
                <c:pt idx="5">
                  <c:v>8906.9044896082869</c:v>
                </c:pt>
                <c:pt idx="6">
                  <c:v>105.39439252774611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15373.167074916719</c:v>
                </c:pt>
                <c:pt idx="1">
                  <c:v>12742.360612530752</c:v>
                </c:pt>
                <c:pt idx="2">
                  <c:v>68.292303174815828</c:v>
                </c:pt>
                <c:pt idx="3">
                  <c:v>976.12818595149076</c:v>
                </c:pt>
                <c:pt idx="4">
                  <c:v>8098.6604098139624</c:v>
                </c:pt>
                <c:pt idx="5">
                  <c:v>8906.9044896082869</c:v>
                </c:pt>
                <c:pt idx="6">
                  <c:v>105.39439252774611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13006</v>
      </c>
      <c r="B6" s="382"/>
      <c r="C6" s="383"/>
    </row>
    <row r="7" spans="1:7" s="380" customFormat="1" ht="15.75" customHeight="1">
      <c r="A7" s="384" t="str">
        <f>txtMunicipality</f>
        <v>DESSEL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0.14647079942781119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0.14647079942781119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3924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936.14</v>
      </c>
      <c r="C14" s="324"/>
      <c r="D14" s="324"/>
      <c r="E14" s="324"/>
      <c r="F14" s="324"/>
    </row>
    <row r="15" spans="1:6">
      <c r="A15" s="1264" t="s">
        <v>177</v>
      </c>
      <c r="B15" s="1265">
        <v>1637</v>
      </c>
      <c r="C15" s="324"/>
      <c r="D15" s="324"/>
      <c r="E15" s="324"/>
      <c r="F15" s="324"/>
    </row>
    <row r="16" spans="1:6">
      <c r="A16" s="1264" t="s">
        <v>6</v>
      </c>
      <c r="B16" s="1265">
        <v>596</v>
      </c>
      <c r="C16" s="324"/>
      <c r="D16" s="324"/>
      <c r="E16" s="324"/>
      <c r="F16" s="324"/>
    </row>
    <row r="17" spans="1:6">
      <c r="A17" s="1264" t="s">
        <v>7</v>
      </c>
      <c r="B17" s="1265">
        <v>73</v>
      </c>
      <c r="C17" s="324"/>
      <c r="D17" s="324"/>
      <c r="E17" s="324"/>
      <c r="F17" s="324"/>
    </row>
    <row r="18" spans="1:6">
      <c r="A18" s="1264" t="s">
        <v>8</v>
      </c>
      <c r="B18" s="1265">
        <v>229</v>
      </c>
      <c r="C18" s="324"/>
      <c r="D18" s="324"/>
      <c r="E18" s="324"/>
      <c r="F18" s="324"/>
    </row>
    <row r="19" spans="1:6">
      <c r="A19" s="1264" t="s">
        <v>9</v>
      </c>
      <c r="B19" s="1265">
        <v>189</v>
      </c>
      <c r="C19" s="324"/>
      <c r="D19" s="324"/>
      <c r="E19" s="324"/>
      <c r="F19" s="324"/>
    </row>
    <row r="20" spans="1:6">
      <c r="A20" s="1264" t="s">
        <v>10</v>
      </c>
      <c r="B20" s="1265">
        <v>142</v>
      </c>
      <c r="C20" s="324"/>
      <c r="D20" s="324"/>
      <c r="E20" s="324"/>
      <c r="F20" s="324"/>
    </row>
    <row r="21" spans="1:6">
      <c r="A21" s="1264" t="s">
        <v>11</v>
      </c>
      <c r="B21" s="1265">
        <v>526</v>
      </c>
      <c r="C21" s="324"/>
      <c r="D21" s="324"/>
      <c r="E21" s="324"/>
      <c r="F21" s="324"/>
    </row>
    <row r="22" spans="1:6">
      <c r="A22" s="1264" t="s">
        <v>12</v>
      </c>
      <c r="B22" s="1265">
        <v>3967</v>
      </c>
      <c r="C22" s="324"/>
      <c r="D22" s="324"/>
      <c r="E22" s="324"/>
      <c r="F22" s="324"/>
    </row>
    <row r="23" spans="1:6">
      <c r="A23" s="1264" t="s">
        <v>13</v>
      </c>
      <c r="B23" s="1265">
        <v>92</v>
      </c>
      <c r="C23" s="324"/>
      <c r="D23" s="324"/>
      <c r="E23" s="324"/>
      <c r="F23" s="324"/>
    </row>
    <row r="24" spans="1:6">
      <c r="A24" s="1264" t="s">
        <v>14</v>
      </c>
      <c r="B24" s="1265">
        <v>0</v>
      </c>
      <c r="C24" s="324"/>
      <c r="D24" s="324"/>
      <c r="E24" s="324"/>
      <c r="F24" s="324"/>
    </row>
    <row r="25" spans="1:6">
      <c r="A25" s="1264" t="s">
        <v>15</v>
      </c>
      <c r="B25" s="1265">
        <v>150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68707</v>
      </c>
      <c r="C28" s="324"/>
      <c r="D28" s="324"/>
      <c r="E28" s="324"/>
      <c r="F28" s="324"/>
    </row>
    <row r="29" spans="1:6">
      <c r="A29" s="1264" t="s">
        <v>657</v>
      </c>
      <c r="B29" s="1266">
        <v>28</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2269</v>
      </c>
      <c r="D39" s="1265">
        <v>36972427.922983103</v>
      </c>
      <c r="E39" s="1265">
        <v>3817</v>
      </c>
      <c r="F39" s="1265">
        <v>12564068.353145</v>
      </c>
    </row>
    <row r="40" spans="1:6">
      <c r="A40" s="1264" t="s">
        <v>29</v>
      </c>
      <c r="B40" s="1264" t="s">
        <v>28</v>
      </c>
      <c r="C40" s="1265">
        <v>0</v>
      </c>
      <c r="D40" s="1265">
        <v>0</v>
      </c>
      <c r="E40" s="1265">
        <v>0</v>
      </c>
      <c r="F40" s="1265">
        <v>0</v>
      </c>
    </row>
    <row r="41" spans="1:6">
      <c r="A41" s="1264" t="s">
        <v>31</v>
      </c>
      <c r="B41" s="1264" t="s">
        <v>32</v>
      </c>
      <c r="C41" s="1265">
        <v>48</v>
      </c>
      <c r="D41" s="1265">
        <v>1864124.9937006601</v>
      </c>
      <c r="E41" s="1265">
        <v>109</v>
      </c>
      <c r="F41" s="1265">
        <v>2056196.59619801</v>
      </c>
    </row>
    <row r="42" spans="1:6">
      <c r="A42" s="1264" t="s">
        <v>31</v>
      </c>
      <c r="B42" s="1264" t="s">
        <v>33</v>
      </c>
      <c r="C42" s="1265">
        <v>0</v>
      </c>
      <c r="D42" s="1265">
        <v>0</v>
      </c>
      <c r="E42" s="1265">
        <v>4</v>
      </c>
      <c r="F42" s="1265">
        <v>1638129.1294324601</v>
      </c>
    </row>
    <row r="43" spans="1:6">
      <c r="A43" s="1264" t="s">
        <v>31</v>
      </c>
      <c r="B43" s="1264" t="s">
        <v>34</v>
      </c>
      <c r="C43" s="1265">
        <v>0</v>
      </c>
      <c r="D43" s="1265">
        <v>0</v>
      </c>
      <c r="E43" s="1265">
        <v>0</v>
      </c>
      <c r="F43" s="1265">
        <v>0</v>
      </c>
    </row>
    <row r="44" spans="1:6">
      <c r="A44" s="1264" t="s">
        <v>31</v>
      </c>
      <c r="B44" s="1264" t="s">
        <v>35</v>
      </c>
      <c r="C44" s="1265">
        <v>5</v>
      </c>
      <c r="D44" s="1265">
        <v>97100.613292562499</v>
      </c>
      <c r="E44" s="1265">
        <v>10</v>
      </c>
      <c r="F44" s="1265">
        <v>701281.49308013194</v>
      </c>
    </row>
    <row r="45" spans="1:6">
      <c r="A45" s="1264" t="s">
        <v>31</v>
      </c>
      <c r="B45" s="1264" t="s">
        <v>36</v>
      </c>
      <c r="C45" s="1265">
        <v>6</v>
      </c>
      <c r="D45" s="1265">
        <v>139848.869146529</v>
      </c>
      <c r="E45" s="1265">
        <v>11</v>
      </c>
      <c r="F45" s="1265">
        <v>22840104.829796799</v>
      </c>
    </row>
    <row r="46" spans="1:6">
      <c r="A46" s="1264" t="s">
        <v>31</v>
      </c>
      <c r="B46" s="1264" t="s">
        <v>37</v>
      </c>
      <c r="C46" s="1265">
        <v>0</v>
      </c>
      <c r="D46" s="1265">
        <v>0</v>
      </c>
      <c r="E46" s="1265">
        <v>0</v>
      </c>
      <c r="F46" s="1265">
        <v>0</v>
      </c>
    </row>
    <row r="47" spans="1:6">
      <c r="A47" s="1264" t="s">
        <v>31</v>
      </c>
      <c r="B47" s="1264" t="s">
        <v>38</v>
      </c>
      <c r="C47" s="1265">
        <v>4</v>
      </c>
      <c r="D47" s="1265">
        <v>7586644.5513575301</v>
      </c>
      <c r="E47" s="1265">
        <v>4</v>
      </c>
      <c r="F47" s="1265">
        <v>5265123.4515010901</v>
      </c>
    </row>
    <row r="48" spans="1:6">
      <c r="A48" s="1264" t="s">
        <v>31</v>
      </c>
      <c r="B48" s="1264" t="s">
        <v>28</v>
      </c>
      <c r="C48" s="1265">
        <v>1</v>
      </c>
      <c r="D48" s="1265">
        <v>1047060.87707656</v>
      </c>
      <c r="E48" s="1265">
        <v>0</v>
      </c>
      <c r="F48" s="1265">
        <v>0</v>
      </c>
    </row>
    <row r="49" spans="1:6">
      <c r="A49" s="1264" t="s">
        <v>31</v>
      </c>
      <c r="B49" s="1264" t="s">
        <v>39</v>
      </c>
      <c r="C49" s="1265">
        <v>0</v>
      </c>
      <c r="D49" s="1265">
        <v>0</v>
      </c>
      <c r="E49" s="1265">
        <v>0</v>
      </c>
      <c r="F49" s="1265">
        <v>0</v>
      </c>
    </row>
    <row r="50" spans="1:6">
      <c r="A50" s="1264" t="s">
        <v>31</v>
      </c>
      <c r="B50" s="1264" t="s">
        <v>40</v>
      </c>
      <c r="C50" s="1265">
        <v>6</v>
      </c>
      <c r="D50" s="1265">
        <v>762267.66825369105</v>
      </c>
      <c r="E50" s="1265">
        <v>5</v>
      </c>
      <c r="F50" s="1265">
        <v>466266.06027960603</v>
      </c>
    </row>
    <row r="51" spans="1:6">
      <c r="A51" s="1264" t="s">
        <v>41</v>
      </c>
      <c r="B51" s="1264" t="s">
        <v>42</v>
      </c>
      <c r="C51" s="1265">
        <v>3</v>
      </c>
      <c r="D51" s="1265">
        <v>73818.679436607606</v>
      </c>
      <c r="E51" s="1265">
        <v>41</v>
      </c>
      <c r="F51" s="1265">
        <v>882318.48612470995</v>
      </c>
    </row>
    <row r="52" spans="1:6">
      <c r="A52" s="1264" t="s">
        <v>41</v>
      </c>
      <c r="B52" s="1264" t="s">
        <v>28</v>
      </c>
      <c r="C52" s="1265">
        <v>0</v>
      </c>
      <c r="D52" s="1265">
        <v>0</v>
      </c>
      <c r="E52" s="1265">
        <v>0</v>
      </c>
      <c r="F52" s="1265">
        <v>0</v>
      </c>
    </row>
    <row r="53" spans="1:6">
      <c r="A53" s="1264" t="s">
        <v>43</v>
      </c>
      <c r="B53" s="1264" t="s">
        <v>44</v>
      </c>
      <c r="C53" s="1265">
        <v>52</v>
      </c>
      <c r="D53" s="1265">
        <v>853267.75373657199</v>
      </c>
      <c r="E53" s="1265">
        <v>127</v>
      </c>
      <c r="F53" s="1265">
        <v>418805.16217688198</v>
      </c>
    </row>
    <row r="54" spans="1:6">
      <c r="A54" s="1264" t="s">
        <v>45</v>
      </c>
      <c r="B54" s="1264" t="s">
        <v>46</v>
      </c>
      <c r="C54" s="1265">
        <v>0</v>
      </c>
      <c r="D54" s="1265">
        <v>0</v>
      </c>
      <c r="E54" s="1265">
        <v>1</v>
      </c>
      <c r="F54" s="1265">
        <v>466252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26</v>
      </c>
      <c r="D57" s="1265">
        <v>26970331.046833999</v>
      </c>
      <c r="E57" s="1265">
        <v>60</v>
      </c>
      <c r="F57" s="1265">
        <v>12770258.747263201</v>
      </c>
    </row>
    <row r="58" spans="1:6">
      <c r="A58" s="1264" t="s">
        <v>48</v>
      </c>
      <c r="B58" s="1264" t="s">
        <v>50</v>
      </c>
      <c r="C58" s="1265">
        <v>24</v>
      </c>
      <c r="D58" s="1265">
        <v>1257143.8897140899</v>
      </c>
      <c r="E58" s="1265">
        <v>28</v>
      </c>
      <c r="F58" s="1265">
        <v>645771.01424196502</v>
      </c>
    </row>
    <row r="59" spans="1:6">
      <c r="A59" s="1264" t="s">
        <v>48</v>
      </c>
      <c r="B59" s="1264" t="s">
        <v>51</v>
      </c>
      <c r="C59" s="1265">
        <v>44</v>
      </c>
      <c r="D59" s="1265">
        <v>1162948.11763858</v>
      </c>
      <c r="E59" s="1265">
        <v>94</v>
      </c>
      <c r="F59" s="1265">
        <v>2904426.6030664099</v>
      </c>
    </row>
    <row r="60" spans="1:6">
      <c r="A60" s="1264" t="s">
        <v>48</v>
      </c>
      <c r="B60" s="1264" t="s">
        <v>52</v>
      </c>
      <c r="C60" s="1265">
        <v>28</v>
      </c>
      <c r="D60" s="1265">
        <v>1317635.2150319801</v>
      </c>
      <c r="E60" s="1265">
        <v>48</v>
      </c>
      <c r="F60" s="1265">
        <v>1098806.26243486</v>
      </c>
    </row>
    <row r="61" spans="1:6">
      <c r="A61" s="1264" t="s">
        <v>48</v>
      </c>
      <c r="B61" s="1264" t="s">
        <v>53</v>
      </c>
      <c r="C61" s="1265">
        <v>96</v>
      </c>
      <c r="D61" s="1265">
        <v>3846412.1570171202</v>
      </c>
      <c r="E61" s="1265">
        <v>196</v>
      </c>
      <c r="F61" s="1265">
        <v>3404849.0287774201</v>
      </c>
    </row>
    <row r="62" spans="1:6">
      <c r="A62" s="1264" t="s">
        <v>48</v>
      </c>
      <c r="B62" s="1264" t="s">
        <v>54</v>
      </c>
      <c r="C62" s="1265">
        <v>5</v>
      </c>
      <c r="D62" s="1265">
        <v>268532.02080265002</v>
      </c>
      <c r="E62" s="1265">
        <v>5</v>
      </c>
      <c r="F62" s="1265">
        <v>56307.621133889101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91172.887988629605</v>
      </c>
      <c r="E65" s="1265">
        <v>1</v>
      </c>
      <c r="F65" s="1265">
        <v>1770.6577033308999</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7</v>
      </c>
      <c r="F68" s="1267">
        <v>271136.19494932698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34600368</v>
      </c>
      <c r="E73" s="443"/>
      <c r="F73" s="324"/>
    </row>
    <row r="74" spans="1:6">
      <c r="A74" s="1264" t="s">
        <v>63</v>
      </c>
      <c r="B74" s="1264" t="s">
        <v>608</v>
      </c>
      <c r="C74" s="1277" t="s">
        <v>610</v>
      </c>
      <c r="D74" s="1265">
        <v>1754461.0688703021</v>
      </c>
      <c r="E74" s="443"/>
      <c r="F74" s="324"/>
    </row>
    <row r="75" spans="1:6">
      <c r="A75" s="1264" t="s">
        <v>64</v>
      </c>
      <c r="B75" s="1264" t="s">
        <v>607</v>
      </c>
      <c r="C75" s="1277" t="s">
        <v>611</v>
      </c>
      <c r="D75" s="1265">
        <v>9010791</v>
      </c>
      <c r="E75" s="443"/>
      <c r="F75" s="324"/>
    </row>
    <row r="76" spans="1:6">
      <c r="A76" s="1264" t="s">
        <v>64</v>
      </c>
      <c r="B76" s="1264" t="s">
        <v>608</v>
      </c>
      <c r="C76" s="1277" t="s">
        <v>612</v>
      </c>
      <c r="D76" s="1265">
        <v>412079.068870302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115999.862259396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17904.697086048818</v>
      </c>
      <c r="C90" s="324"/>
      <c r="D90" s="324"/>
      <c r="E90" s="324"/>
      <c r="F90" s="324"/>
    </row>
    <row r="91" spans="1:6">
      <c r="A91" s="1264" t="s">
        <v>67</v>
      </c>
      <c r="B91" s="1265">
        <v>4478.9019552944374</v>
      </c>
      <c r="C91" s="324"/>
      <c r="D91" s="324"/>
      <c r="E91" s="324"/>
      <c r="F91" s="324"/>
    </row>
    <row r="92" spans="1:6">
      <c r="A92" s="1259" t="s">
        <v>68</v>
      </c>
      <c r="B92" s="1260">
        <v>2142.9202973140691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1006</v>
      </c>
      <c r="C97" s="324"/>
      <c r="D97" s="324"/>
      <c r="E97" s="324"/>
      <c r="F97" s="324"/>
    </row>
    <row r="98" spans="1:6">
      <c r="A98" s="1264" t="s">
        <v>71</v>
      </c>
      <c r="B98" s="1265">
        <v>2</v>
      </c>
      <c r="C98" s="324"/>
      <c r="D98" s="324"/>
      <c r="E98" s="324"/>
      <c r="F98" s="324"/>
    </row>
    <row r="99" spans="1:6">
      <c r="A99" s="1264" t="s">
        <v>72</v>
      </c>
      <c r="B99" s="1265">
        <v>19</v>
      </c>
      <c r="C99" s="324"/>
      <c r="D99" s="324"/>
      <c r="E99" s="324"/>
      <c r="F99" s="324"/>
    </row>
    <row r="100" spans="1:6">
      <c r="A100" s="1264" t="s">
        <v>73</v>
      </c>
      <c r="B100" s="1265">
        <v>162</v>
      </c>
      <c r="C100" s="324"/>
      <c r="D100" s="324"/>
      <c r="E100" s="324"/>
      <c r="F100" s="324"/>
    </row>
    <row r="101" spans="1:6">
      <c r="A101" s="1264" t="s">
        <v>74</v>
      </c>
      <c r="B101" s="1265">
        <v>78</v>
      </c>
      <c r="C101" s="324"/>
      <c r="D101" s="324"/>
      <c r="E101" s="324"/>
      <c r="F101" s="324"/>
    </row>
    <row r="102" spans="1:6">
      <c r="A102" s="1264" t="s">
        <v>75</v>
      </c>
      <c r="B102" s="1265">
        <v>34</v>
      </c>
      <c r="C102" s="324"/>
      <c r="D102" s="324"/>
      <c r="E102" s="324"/>
      <c r="F102" s="324"/>
    </row>
    <row r="103" spans="1:6">
      <c r="A103" s="1264" t="s">
        <v>76</v>
      </c>
      <c r="B103" s="1265">
        <v>59</v>
      </c>
      <c r="C103" s="324"/>
      <c r="D103" s="324"/>
      <c r="E103" s="324"/>
      <c r="F103" s="324"/>
    </row>
    <row r="104" spans="1:6">
      <c r="A104" s="1264" t="s">
        <v>77</v>
      </c>
      <c r="B104" s="1265">
        <v>1884</v>
      </c>
      <c r="C104" s="324"/>
      <c r="D104" s="324"/>
      <c r="E104" s="324"/>
      <c r="F104" s="324"/>
    </row>
    <row r="105" spans="1:6">
      <c r="A105" s="1259" t="s">
        <v>78</v>
      </c>
      <c r="B105" s="1267">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35</v>
      </c>
      <c r="C123" s="1265">
        <v>19</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195</v>
      </c>
      <c r="C129" s="324"/>
      <c r="D129" s="324"/>
      <c r="E129" s="324"/>
      <c r="F129" s="324"/>
    </row>
    <row r="130" spans="1:6">
      <c r="A130" s="1264" t="s">
        <v>284</v>
      </c>
      <c r="B130" s="1265">
        <v>3</v>
      </c>
      <c r="C130" s="324"/>
      <c r="D130" s="324"/>
      <c r="E130" s="324"/>
      <c r="F130" s="324"/>
    </row>
    <row r="131" spans="1:6">
      <c r="A131" s="1264" t="s">
        <v>285</v>
      </c>
      <c r="B131" s="1265">
        <v>3</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72728.014418900391</v>
      </c>
      <c r="C3" s="43" t="s">
        <v>163</v>
      </c>
      <c r="D3" s="43"/>
      <c r="E3" s="153"/>
      <c r="F3" s="43"/>
      <c r="G3" s="43"/>
      <c r="H3" s="43"/>
      <c r="I3" s="43"/>
      <c r="J3" s="43"/>
      <c r="K3" s="96"/>
    </row>
    <row r="4" spans="1:11">
      <c r="A4" s="350" t="s">
        <v>164</v>
      </c>
      <c r="B4" s="49">
        <f>IF(ISERROR('SEAP template'!B78+'SEAP template'!C78),0,'SEAP template'!B78+'SEAP template'!C78)</f>
        <v>24526.519338657323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0.14647079942781119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466.25200000000001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466.25200000000001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0.14647079942781119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68.292303174815828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12564.068353144999</v>
      </c>
      <c r="C5" s="17">
        <f>IF(ISERROR('Eigen informatie GS &amp; warmtenet'!B59),0,'Eigen informatie GS &amp; warmtenet'!B59)</f>
        <v>0</v>
      </c>
      <c r="D5" s="30">
        <f>(SUM(HH_hh_gas_kWh,HH_rest_gas_kWh)/1000)*0.903</f>
        <v>33386.102414453744</v>
      </c>
      <c r="E5" s="17">
        <f>B32*B41</f>
        <v>1323.3004358411897</v>
      </c>
      <c r="F5" s="17">
        <f>B36*B45</f>
        <v>21685.826628905299</v>
      </c>
      <c r="G5" s="18"/>
      <c r="H5" s="17"/>
      <c r="I5" s="17"/>
      <c r="J5" s="17">
        <f>B35*B44+C35*C44</f>
        <v>119.69489446842152</v>
      </c>
      <c r="K5" s="17"/>
      <c r="L5" s="17"/>
      <c r="M5" s="17"/>
      <c r="N5" s="17">
        <f>B34*B43+C34*C43</f>
        <v>5447.7489430438964</v>
      </c>
      <c r="O5" s="17">
        <f>B52*B53*B54</f>
        <v>424.56705894882487</v>
      </c>
      <c r="P5" s="17">
        <f>B60*B61*B62/1000-B60*B61*B62/1000/B63</f>
        <v>800.58090738406179</v>
      </c>
    </row>
    <row r="6" spans="1:16">
      <c r="A6" s="16" t="s">
        <v>573</v>
      </c>
      <c r="B6" s="739">
        <f>kWh_PV_kleiner_dan_10kW</f>
        <v>4478.9019552944374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17042.970308439435</v>
      </c>
      <c r="C8" s="21">
        <f>C5</f>
        <v>0</v>
      </c>
      <c r="D8" s="21">
        <f>D5</f>
        <v>33386.102414453744</v>
      </c>
      <c r="E8" s="21">
        <f>E5</f>
        <v>1323.3004358411897</v>
      </c>
      <c r="F8" s="21">
        <f>F5</f>
        <v>21685.826628905299</v>
      </c>
      <c r="G8" s="21"/>
      <c r="H8" s="21"/>
      <c r="I8" s="21"/>
      <c r="J8" s="21">
        <f>J5</f>
        <v>119.69489446842152</v>
      </c>
      <c r="K8" s="21"/>
      <c r="L8" s="21">
        <f>L5</f>
        <v>0</v>
      </c>
      <c r="M8" s="21">
        <f>M5</f>
        <v>0</v>
      </c>
      <c r="N8" s="21">
        <f>N5</f>
        <v>5447.7489430438964</v>
      </c>
      <c r="O8" s="21">
        <f>O5</f>
        <v>424.56705894882487</v>
      </c>
      <c r="P8" s="21">
        <f>P5</f>
        <v>800.58090738406179</v>
      </c>
    </row>
    <row r="9" spans="1:16">
      <c r="B9" s="19"/>
      <c r="C9" s="19"/>
      <c r="D9" s="253"/>
      <c r="E9" s="19"/>
      <c r="F9" s="19"/>
      <c r="G9" s="19"/>
      <c r="H9" s="19"/>
      <c r="I9" s="19"/>
      <c r="J9" s="19"/>
      <c r="K9" s="19"/>
      <c r="L9" s="19"/>
      <c r="M9" s="19"/>
      <c r="N9" s="19"/>
      <c r="O9" s="19"/>
      <c r="P9" s="19"/>
    </row>
    <row r="10" spans="1:16">
      <c r="A10" s="24" t="s">
        <v>207</v>
      </c>
      <c r="B10" s="25">
        <f ca="1">'EF ele_warmte'!B12</f>
        <v>0.14647079942781119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2496.2974857015738</v>
      </c>
      <c r="C12" s="23">
        <f ca="1">C10*C8</f>
        <v>0</v>
      </c>
      <c r="D12" s="23">
        <f>D8*D10</f>
        <v>6743.9926877196567</v>
      </c>
      <c r="E12" s="23">
        <f>E10*E8</f>
        <v>300.38919893595005</v>
      </c>
      <c r="F12" s="23">
        <f>F10*F8</f>
        <v>5790.1157099177153</v>
      </c>
      <c r="G12" s="23"/>
      <c r="H12" s="23"/>
      <c r="I12" s="23"/>
      <c r="J12" s="23">
        <f>J10*J8</f>
        <v>42.371992641821215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3924</v>
      </c>
      <c r="C26" s="36"/>
      <c r="D26" s="224"/>
    </row>
    <row r="27" spans="1:5" s="15" customFormat="1">
      <c r="A27" s="226" t="s">
        <v>784</v>
      </c>
      <c r="B27" s="37">
        <f>SUM(HH_hh_gas_aantal,HH_rest_gas_aantal)</f>
        <v>2269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2155.5500000000002</v>
      </c>
      <c r="C31" s="34" t="s">
        <v>104</v>
      </c>
      <c r="D31" s="170"/>
    </row>
    <row r="32" spans="1:5">
      <c r="A32" s="167" t="s">
        <v>72</v>
      </c>
      <c r="B32" s="33">
        <f>IF((B21*($B$26-($B$27-0.05*$B$27)-$B$60))&lt;0,0,B21*($B$26-($B$27-0.05*$B$27)-$B$60))</f>
        <v>26.105977251197899</v>
      </c>
      <c r="C32" s="34" t="s">
        <v>104</v>
      </c>
      <c r="D32" s="170"/>
    </row>
    <row r="33" spans="1:6">
      <c r="A33" s="167" t="s">
        <v>73</v>
      </c>
      <c r="B33" s="33">
        <f>IF((B22*($B$26-($B$27-0.05*$B$27)-$B$60))&lt;0,0,B22*($B$26-($B$27-0.05*$B$27)-$B$60))</f>
        <v>423.90936710401655</v>
      </c>
      <c r="C33" s="34" t="s">
        <v>104</v>
      </c>
      <c r="D33" s="170"/>
    </row>
    <row r="34" spans="1:6">
      <c r="A34" s="167" t="s">
        <v>74</v>
      </c>
      <c r="B34" s="33">
        <f>IF((B24*($B$26-($B$27-0.05*$B$27)-$B$60))&lt;0,0,B24*($B$26-($B$27-0.05*$B$27)-$B$60))</f>
        <v>185.3583010494641</v>
      </c>
      <c r="C34" s="33">
        <f>B26*C24</f>
        <v>659.23173243259657</v>
      </c>
      <c r="D34" s="229"/>
    </row>
    <row r="35" spans="1:6">
      <c r="A35" s="167" t="s">
        <v>76</v>
      </c>
      <c r="B35" s="33">
        <f>IF((B19*($B$26-($B$27-0.05*$B$27)-$B$60))&lt;0,0,B19*($B$26-($B$27-0.05*$B$27)-$B$60))</f>
        <v>11.348206072742411</v>
      </c>
      <c r="C35" s="33">
        <f>B35/2</f>
        <v>5.6741030363712053</v>
      </c>
      <c r="D35" s="229"/>
    </row>
    <row r="36" spans="1:6">
      <c r="A36" s="167" t="s">
        <v>77</v>
      </c>
      <c r="B36" s="33">
        <f>IF((B18*($B$26-($B$27-0.05*$B$27)-$B$60))&lt;0,0,B18*($B$26-($B$27-0.05*$B$27)-$B$60))</f>
        <v>1045.7281485225783</v>
      </c>
      <c r="C36" s="34" t="s">
        <v>104</v>
      </c>
      <c r="D36" s="170"/>
    </row>
    <row r="37" spans="1:6">
      <c r="A37" s="167" t="s">
        <v>78</v>
      </c>
      <c r="B37" s="33">
        <f>B60</f>
        <v>76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76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20880.419276917743</v>
      </c>
      <c r="C5" s="17">
        <f>IF(ISERROR('Eigen informatie GS &amp; warmtenet'!B60),0,'Eigen informatie GS &amp; warmtenet'!B60)</f>
        <v>0</v>
      </c>
      <c r="D5" s="30">
        <f>SUM(D6:D12)</f>
        <v>31445.171209675696</v>
      </c>
      <c r="E5" s="17">
        <f>SUM(E6:E12)</f>
        <v>194.36701920409442</v>
      </c>
      <c r="F5" s="17">
        <f>SUM(F6:F12)</f>
        <v>12314.22608838749</v>
      </c>
      <c r="G5" s="18"/>
      <c r="H5" s="17"/>
      <c r="I5" s="17"/>
      <c r="J5" s="17">
        <f>SUM(J6:J12)</f>
        <v>0.12611677810921029</v>
      </c>
      <c r="K5" s="17"/>
      <c r="L5" s="17"/>
      <c r="M5" s="17"/>
      <c r="N5" s="17">
        <f>SUM(N6:N12)</f>
        <v>4311.4100776673422</v>
      </c>
      <c r="O5" s="17">
        <f>B38*B39*B40</f>
        <v>14.691782297523464</v>
      </c>
      <c r="P5" s="17">
        <f>B46*B47*B48/1000-B46*B47*B48/1000/B49</f>
        <v>157.61741491948504</v>
      </c>
      <c r="R5" s="32"/>
    </row>
    <row r="6" spans="1:18">
      <c r="A6" s="32" t="s">
        <v>53</v>
      </c>
      <c r="B6" s="37">
        <f>B26</f>
        <v>3404.8490287774202</v>
      </c>
      <c r="C6" s="33"/>
      <c r="D6" s="37">
        <f>IF(ISERROR(TER_kantoor_gas_kWh/1000),0,TER_kantoor_gas_kWh/1000)*0.903</f>
        <v>3473.3101777864595</v>
      </c>
      <c r="E6" s="33">
        <f>$C$26*'E Balans VL '!I12/100/3.6*1000000</f>
        <v>0.82808338176987095</v>
      </c>
      <c r="F6" s="33">
        <f>$C$26*('E Balans VL '!L12+'E Balans VL '!N12)/100/3.6*1000000</f>
        <v>326.03585447730973</v>
      </c>
      <c r="G6" s="34"/>
      <c r="H6" s="33"/>
      <c r="I6" s="33"/>
      <c r="J6" s="33">
        <f>$C$26*('E Balans VL '!D12+'E Balans VL '!E12)/100/3.6*1000000</f>
        <v>0</v>
      </c>
      <c r="K6" s="33"/>
      <c r="L6" s="33"/>
      <c r="M6" s="33"/>
      <c r="N6" s="33">
        <f>$C$26*'E Balans VL '!Y12/100/3.6*1000000</f>
        <v>1.7285533765950671</v>
      </c>
      <c r="O6" s="33"/>
      <c r="P6" s="33"/>
      <c r="R6" s="32"/>
    </row>
    <row r="7" spans="1:18">
      <c r="A7" s="32" t="s">
        <v>52</v>
      </c>
      <c r="B7" s="37">
        <f t="shared" ref="B7:B12" si="0">B27</f>
        <v>1098.8062624348599</v>
      </c>
      <c r="C7" s="33"/>
      <c r="D7" s="37">
        <f>IF(ISERROR(TER_horeca_gas_kWh/1000),0,TER_horeca_gas_kWh/1000)*0.903</f>
        <v>1189.8245991738781</v>
      </c>
      <c r="E7" s="33">
        <f>$C$27*'E Balans VL '!I9/100/3.6*1000000</f>
        <v>0</v>
      </c>
      <c r="F7" s="33">
        <f>$C$27*('E Balans VL '!L9+'E Balans VL '!N9)/100/3.6*1000000</f>
        <v>90.123088683712012</v>
      </c>
      <c r="G7" s="34"/>
      <c r="H7" s="33"/>
      <c r="I7" s="33"/>
      <c r="J7" s="33">
        <f>$C$27*('E Balans VL '!D9+'E Balans VL '!E9)/100/3.6*1000000</f>
        <v>0</v>
      </c>
      <c r="K7" s="33"/>
      <c r="L7" s="33"/>
      <c r="M7" s="33"/>
      <c r="N7" s="33">
        <f>$C$27*'E Balans VL '!Y9/100/3.6*1000000</f>
        <v>7.2167418072359091</v>
      </c>
      <c r="O7" s="33"/>
      <c r="P7" s="33"/>
      <c r="R7" s="32"/>
    </row>
    <row r="8" spans="1:18">
      <c r="A8" s="6" t="s">
        <v>51</v>
      </c>
      <c r="B8" s="37">
        <f t="shared" si="0"/>
        <v>2904.4266030664098</v>
      </c>
      <c r="C8" s="33"/>
      <c r="D8" s="37">
        <f>IF(ISERROR(TER_handel_gas_kWh/1000),0,TER_handel_gas_kWh/1000)*0.903</f>
        <v>1050.1421502276378</v>
      </c>
      <c r="E8" s="33">
        <f>$C$28*'E Balans VL '!I13/100/3.6*1000000</f>
        <v>10.267298506489885</v>
      </c>
      <c r="F8" s="33">
        <f>$C$28*('E Balans VL '!L13+'E Balans VL '!N13)/100/3.6*1000000</f>
        <v>267.43555997081472</v>
      </c>
      <c r="G8" s="34"/>
      <c r="H8" s="33"/>
      <c r="I8" s="33"/>
      <c r="J8" s="33">
        <f>$C$28*('E Balans VL '!D13+'E Balans VL '!E13)/100/3.6*1000000</f>
        <v>0</v>
      </c>
      <c r="K8" s="33"/>
      <c r="L8" s="33"/>
      <c r="M8" s="33"/>
      <c r="N8" s="33">
        <f>$C$28*'E Balans VL '!Y13/100/3.6*1000000</f>
        <v>1.0518582753858061</v>
      </c>
      <c r="O8" s="33"/>
      <c r="P8" s="33"/>
      <c r="R8" s="32"/>
    </row>
    <row r="9" spans="1:18">
      <c r="A9" s="32" t="s">
        <v>50</v>
      </c>
      <c r="B9" s="37">
        <f t="shared" si="0"/>
        <v>645.77101424196508</v>
      </c>
      <c r="C9" s="33"/>
      <c r="D9" s="37">
        <f>IF(ISERROR(TER_gezond_gas_kWh/1000),0,TER_gezond_gas_kWh/1000)*0.903</f>
        <v>1135.2009324118233</v>
      </c>
      <c r="E9" s="33">
        <f>$C$29*'E Balans VL '!I10/100/3.6*1000000</f>
        <v>0</v>
      </c>
      <c r="F9" s="33">
        <f>$C$29*('E Balans VL '!L10+'E Balans VL '!N10)/100/3.6*1000000</f>
        <v>79.330332648756524</v>
      </c>
      <c r="G9" s="34"/>
      <c r="H9" s="33"/>
      <c r="I9" s="33"/>
      <c r="J9" s="33">
        <f>$C$29*('E Balans VL '!D10+'E Balans VL '!E10)/100/3.6*1000000</f>
        <v>0</v>
      </c>
      <c r="K9" s="33"/>
      <c r="L9" s="33"/>
      <c r="M9" s="33"/>
      <c r="N9" s="33">
        <f>$C$29*'E Balans VL '!Y10/100/3.6*1000000</f>
        <v>4.7621112213807031</v>
      </c>
      <c r="O9" s="33"/>
      <c r="P9" s="33"/>
      <c r="R9" s="32"/>
    </row>
    <row r="10" spans="1:18">
      <c r="A10" s="32" t="s">
        <v>49</v>
      </c>
      <c r="B10" s="37">
        <f t="shared" si="0"/>
        <v>12770.2587472632</v>
      </c>
      <c r="C10" s="33"/>
      <c r="D10" s="37">
        <f>IF(ISERROR(TER_ander_gas_kWh/1000),0,TER_ander_gas_kWh/1000)*0.903</f>
        <v>24354.208935291103</v>
      </c>
      <c r="E10" s="33">
        <f>$C$30*'E Balans VL '!I14/100/3.6*1000000</f>
        <v>183.27163731583465</v>
      </c>
      <c r="F10" s="33">
        <f>$C$30*('E Balans VL '!L14+'E Balans VL '!N14)/100/3.6*1000000</f>
        <v>11544.718221161949</v>
      </c>
      <c r="G10" s="34"/>
      <c r="H10" s="33"/>
      <c r="I10" s="33"/>
      <c r="J10" s="33">
        <f>$C$30*('E Balans VL '!D14+'E Balans VL '!E14)/100/3.6*1000000</f>
        <v>0.12611677810921029</v>
      </c>
      <c r="K10" s="33"/>
      <c r="L10" s="33"/>
      <c r="M10" s="33"/>
      <c r="N10" s="33">
        <f>$C$30*'E Balans VL '!Y14/100/3.6*1000000</f>
        <v>4296.492257191504</v>
      </c>
      <c r="O10" s="33"/>
      <c r="P10" s="33"/>
      <c r="R10" s="32"/>
    </row>
    <row r="11" spans="1:18">
      <c r="A11" s="32" t="s">
        <v>54</v>
      </c>
      <c r="B11" s="37">
        <f t="shared" si="0"/>
        <v>56.3076211338891</v>
      </c>
      <c r="C11" s="33"/>
      <c r="D11" s="37">
        <f>IF(ISERROR(TER_onderwijs_gas_kWh/1000),0,TER_onderwijs_gas_kWh/1000)*0.903</f>
        <v>242.48441478479299</v>
      </c>
      <c r="E11" s="33">
        <f>$C$31*'E Balans VL '!I11/100/3.6*1000000</f>
        <v>0</v>
      </c>
      <c r="F11" s="33">
        <f>$C$31*('E Balans VL '!L11+'E Balans VL '!N11)/100/3.6*1000000</f>
        <v>6.5830314449472276</v>
      </c>
      <c r="G11" s="34"/>
      <c r="H11" s="33"/>
      <c r="I11" s="33"/>
      <c r="J11" s="33">
        <f>$C$31*('E Balans VL '!D11+'E Balans VL '!E11)/100/3.6*1000000</f>
        <v>0</v>
      </c>
      <c r="K11" s="33"/>
      <c r="L11" s="33"/>
      <c r="M11" s="33"/>
      <c r="N11" s="33">
        <f>$C$31*'E Balans VL '!Y11/100/3.6*1000000</f>
        <v>0.15855579524035418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20880.419276917743</v>
      </c>
      <c r="C16" s="21">
        <f t="shared" ca="1" si="1"/>
        <v>0</v>
      </c>
      <c r="D16" s="21">
        <f t="shared" ca="1" si="1"/>
        <v>31445.171209675696</v>
      </c>
      <c r="E16" s="21">
        <f t="shared" si="1"/>
        <v>194.36701920409442</v>
      </c>
      <c r="F16" s="21">
        <f t="shared" ca="1" si="1"/>
        <v>12314.22608838749</v>
      </c>
      <c r="G16" s="21">
        <f t="shared" si="1"/>
        <v>0</v>
      </c>
      <c r="H16" s="21">
        <f t="shared" si="1"/>
        <v>0</v>
      </c>
      <c r="I16" s="21">
        <f t="shared" si="1"/>
        <v>0</v>
      </c>
      <c r="J16" s="21">
        <f t="shared" si="1"/>
        <v>0.12611677810921029</v>
      </c>
      <c r="K16" s="21">
        <f t="shared" si="1"/>
        <v>0</v>
      </c>
      <c r="L16" s="21">
        <f t="shared" ca="1" si="1"/>
        <v>0</v>
      </c>
      <c r="M16" s="21">
        <f t="shared" si="1"/>
        <v>0</v>
      </c>
      <c r="N16" s="21">
        <f t="shared" ca="1" si="1"/>
        <v>4311.4100776673422</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0.14647079942781119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3058.371703878021</v>
      </c>
      <c r="C20" s="23">
        <f t="shared" ref="C20:P20" ca="1" si="2">C16*C18</f>
        <v>0</v>
      </c>
      <c r="D20" s="23">
        <f t="shared" ca="1" si="2"/>
        <v>6351.9245843544913</v>
      </c>
      <c r="E20" s="23">
        <f t="shared" si="2"/>
        <v>44.121313359329434</v>
      </c>
      <c r="F20" s="23">
        <f t="shared" ca="1" si="2"/>
        <v>3287.8983655994598</v>
      </c>
      <c r="G20" s="23">
        <f t="shared" si="2"/>
        <v>0</v>
      </c>
      <c r="H20" s="23">
        <f t="shared" si="2"/>
        <v>0</v>
      </c>
      <c r="I20" s="23">
        <f t="shared" si="2"/>
        <v>0</v>
      </c>
      <c r="J20" s="23">
        <f t="shared" si="2"/>
        <v>4.4645339450660439E-2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3404.8490287774202</v>
      </c>
      <c r="C26" s="39">
        <f>IF(ISERROR(B26*3.6/1000000/'E Balans VL '!Z12*100),0,B26*3.6/1000000/'E Balans VL '!Z12*100)</f>
        <v>9.597391099696527E-2</v>
      </c>
      <c r="D26" s="232" t="s">
        <v>660</v>
      </c>
      <c r="F26" s="6"/>
    </row>
    <row r="27" spans="1:18">
      <c r="A27" s="227" t="s">
        <v>52</v>
      </c>
      <c r="B27" s="33">
        <f>IF(ISERROR(TER_horeca_ele_kWh/1000),0,TER_horeca_ele_kWh/1000)</f>
        <v>1098.8062624348599</v>
      </c>
      <c r="C27" s="39">
        <f>IF(ISERROR(B27*3.6/1000000/'E Balans VL '!Z9*100),0,B27*3.6/1000000/'E Balans VL '!Z9*100)</f>
        <v>8.1462985879272198E-2</v>
      </c>
      <c r="D27" s="232" t="s">
        <v>660</v>
      </c>
      <c r="F27" s="6"/>
    </row>
    <row r="28" spans="1:18">
      <c r="A28" s="167" t="s">
        <v>51</v>
      </c>
      <c r="B28" s="33">
        <f>IF(ISERROR(TER_handel_ele_kWh/1000),0,TER_handel_ele_kWh/1000)</f>
        <v>2904.4266030664098</v>
      </c>
      <c r="C28" s="39">
        <f>IF(ISERROR(B28*3.6/1000000/'E Balans VL '!Z13*100),0,B28*3.6/1000000/'E Balans VL '!Z13*100)</f>
        <v>8.7009715495797293E-2</v>
      </c>
      <c r="D28" s="232" t="s">
        <v>660</v>
      </c>
      <c r="F28" s="6"/>
    </row>
    <row r="29" spans="1:18">
      <c r="A29" s="227" t="s">
        <v>50</v>
      </c>
      <c r="B29" s="33">
        <f>IF(ISERROR(TER_gezond_ele_kWh/1000),0,TER_gezond_ele_kWh/1000)</f>
        <v>645.77101424196508</v>
      </c>
      <c r="C29" s="39">
        <f>IF(ISERROR(B29*3.6/1000000/'E Balans VL '!Z10*100),0,B29*3.6/1000000/'E Balans VL '!Z10*100)</f>
        <v>6.3854090996975255E-2</v>
      </c>
      <c r="D29" s="232" t="s">
        <v>660</v>
      </c>
      <c r="F29" s="6"/>
    </row>
    <row r="30" spans="1:18">
      <c r="A30" s="227" t="s">
        <v>49</v>
      </c>
      <c r="B30" s="33">
        <f>IF(ISERROR(TER_ander_ele_kWh/1000),0,TER_ander_ele_kWh/1000)</f>
        <v>12770.2587472632</v>
      </c>
      <c r="C30" s="39">
        <f>IF(ISERROR(B30*3.6/1000000/'E Balans VL '!Z14*100),0,B30*3.6/1000000/'E Balans VL '!Z14*100)</f>
        <v>0.51651922775103187</v>
      </c>
      <c r="D30" s="232" t="s">
        <v>660</v>
      </c>
      <c r="F30" s="6"/>
    </row>
    <row r="31" spans="1:18">
      <c r="A31" s="227" t="s">
        <v>54</v>
      </c>
      <c r="B31" s="33">
        <f>IF(ISERROR(TER_onderwijs_ele_kWh/1000),0,TER_onderwijs_ele_kWh/1000)</f>
        <v>56.3076211338891</v>
      </c>
      <c r="C31" s="39">
        <f>IF(ISERROR(B31*3.6/1000000/'E Balans VL '!Z11*100),0,B31*3.6/1000000/'E Balans VL '!Z11*100)</f>
        <v>1.5470166118795816E-2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32967.101560288094</v>
      </c>
      <c r="C5" s="17">
        <f>IF(ISERROR('Eigen informatie GS &amp; warmtenet'!B61),0,'Eigen informatie GS &amp; warmtenet'!B61)</f>
        <v>0</v>
      </c>
      <c r="D5" s="30">
        <f>SUM(D6:D15)</f>
        <v>10381.833958263262</v>
      </c>
      <c r="E5" s="17">
        <f>SUM(E6:E15)</f>
        <v>608.90501937401768</v>
      </c>
      <c r="F5" s="17">
        <f>SUM(F6:F15)</f>
        <v>3873.401375033839</v>
      </c>
      <c r="G5" s="18"/>
      <c r="H5" s="17"/>
      <c r="I5" s="17"/>
      <c r="J5" s="17">
        <f>SUM(J6:J15)</f>
        <v>1.1091055356148563</v>
      </c>
      <c r="K5" s="17"/>
      <c r="L5" s="17"/>
      <c r="M5" s="17"/>
      <c r="N5" s="17">
        <f>SUM(N6:N15)</f>
        <v>10637.140265643322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701.2814930801319</v>
      </c>
      <c r="C8" s="33"/>
      <c r="D8" s="37">
        <f>IF( ISERROR(IND_metaal_Gas_kWH/1000),0,IND_metaal_Gas_kWH/1000)*0.903</f>
        <v>87.681853803183941</v>
      </c>
      <c r="E8" s="33">
        <f>C30*'E Balans VL '!I18/100/3.6*1000000</f>
        <v>3.8328079664114574</v>
      </c>
      <c r="F8" s="33">
        <f>C30*'E Balans VL '!L18/100/3.6*1000000+C30*'E Balans VL '!N18/100/3.6*1000000</f>
        <v>48.00167385690407</v>
      </c>
      <c r="G8" s="34"/>
      <c r="H8" s="33"/>
      <c r="I8" s="33"/>
      <c r="J8" s="40">
        <f>C30*'E Balans VL '!D18/100/3.6*1000000+C30*'E Balans VL '!E18/100/3.6*1000000</f>
        <v>0.69887428401209639</v>
      </c>
      <c r="K8" s="33"/>
      <c r="L8" s="33"/>
      <c r="M8" s="33"/>
      <c r="N8" s="33">
        <f>C30*'E Balans VL '!Y18/100/3.6*1000000</f>
        <v>10.372290971642274</v>
      </c>
      <c r="O8" s="33"/>
      <c r="P8" s="33"/>
      <c r="R8" s="32"/>
    </row>
    <row r="9" spans="1:18">
      <c r="A9" s="6" t="s">
        <v>32</v>
      </c>
      <c r="B9" s="37">
        <f t="shared" si="0"/>
        <v>2056.19659619801</v>
      </c>
      <c r="C9" s="33"/>
      <c r="D9" s="37">
        <f>IF( ISERROR(IND_andere_gas_kWh/1000),0,IND_andere_gas_kWh/1000)*0.903</f>
        <v>1683.3048693116962</v>
      </c>
      <c r="E9" s="33">
        <f>C31*'E Balans VL '!I19/100/3.6*1000000</f>
        <v>7.7380115391229589</v>
      </c>
      <c r="F9" s="33">
        <f>C31*'E Balans VL '!L19/100/3.6*1000000+C31*'E Balans VL '!N19/100/3.6*1000000</f>
        <v>1323.423733946179</v>
      </c>
      <c r="G9" s="34"/>
      <c r="H9" s="33"/>
      <c r="I9" s="33"/>
      <c r="J9" s="40">
        <f>C31*'E Balans VL '!D19/100/3.6*1000000+C31*'E Balans VL '!E19/100/3.6*1000000</f>
        <v>0</v>
      </c>
      <c r="K9" s="33"/>
      <c r="L9" s="33"/>
      <c r="M9" s="33"/>
      <c r="N9" s="33">
        <f>C31*'E Balans VL '!Y19/100/3.6*1000000</f>
        <v>74.281477920463502</v>
      </c>
      <c r="O9" s="33"/>
      <c r="P9" s="33"/>
      <c r="R9" s="32"/>
    </row>
    <row r="10" spans="1:18">
      <c r="A10" s="6" t="s">
        <v>40</v>
      </c>
      <c r="B10" s="37">
        <f t="shared" si="0"/>
        <v>466.26606027960605</v>
      </c>
      <c r="C10" s="33"/>
      <c r="D10" s="37">
        <f>IF( ISERROR(IND_voed_gas_kWh/1000),0,IND_voed_gas_kWh/1000)*0.903</f>
        <v>688.327704433083</v>
      </c>
      <c r="E10" s="33">
        <f>C32*'E Balans VL '!I20/100/3.6*1000000</f>
        <v>0.92300858984946765</v>
      </c>
      <c r="F10" s="33">
        <f>C32*'E Balans VL '!L20/100/3.6*1000000+C32*'E Balans VL '!N20/100/3.6*1000000</f>
        <v>9.902919295657906</v>
      </c>
      <c r="G10" s="34"/>
      <c r="H10" s="33"/>
      <c r="I10" s="33"/>
      <c r="J10" s="40">
        <f>C32*'E Balans VL '!D20/100/3.6*1000000+C32*'E Balans VL '!E20/100/3.6*1000000</f>
        <v>0</v>
      </c>
      <c r="K10" s="33"/>
      <c r="L10" s="33"/>
      <c r="M10" s="33"/>
      <c r="N10" s="33">
        <f>C32*'E Balans VL '!Y20/100/3.6*1000000</f>
        <v>18.792294021712742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22840.104829796797</v>
      </c>
      <c r="C12" s="33"/>
      <c r="D12" s="37">
        <f>IF( ISERROR(IND_min_gas_kWh/1000),0,IND_min_gas_kWh/1000)*0.903</f>
        <v>126.28352883931571</v>
      </c>
      <c r="E12" s="33">
        <f>C34*'E Balans VL '!I22/100/3.6*1000000</f>
        <v>279.47024150762309</v>
      </c>
      <c r="F12" s="33">
        <f>C34*'E Balans VL '!L22/100/3.6*1000000+C34*'E Balans VL '!N22/100/3.6*1000000</f>
        <v>2465.8773021261723</v>
      </c>
      <c r="G12" s="34"/>
      <c r="H12" s="33"/>
      <c r="I12" s="33"/>
      <c r="J12" s="40">
        <f>C34*'E Balans VL '!D22/100/3.6*1000000+C34*'E Balans VL '!E22/100/3.6*1000000</f>
        <v>0</v>
      </c>
      <c r="K12" s="33"/>
      <c r="L12" s="33"/>
      <c r="M12" s="33"/>
      <c r="N12" s="33">
        <f>C34*'E Balans VL '!Y22/100/3.6*1000000</f>
        <v>11016.488246823892</v>
      </c>
      <c r="O12" s="33"/>
      <c r="P12" s="33"/>
      <c r="R12" s="32"/>
    </row>
    <row r="13" spans="1:18">
      <c r="A13" s="6" t="s">
        <v>38</v>
      </c>
      <c r="B13" s="37">
        <f t="shared" si="0"/>
        <v>5265.1234515010901</v>
      </c>
      <c r="C13" s="33"/>
      <c r="D13" s="37">
        <f>IF( ISERROR(IND_papier_gas_kWh/1000),0,IND_papier_gas_kWh/1000)*0.903</f>
        <v>6850.7400298758494</v>
      </c>
      <c r="E13" s="33">
        <f>C35*'E Balans VL '!I23/100/3.6*1000000</f>
        <v>0</v>
      </c>
      <c r="F13" s="33">
        <f>C35*'E Balans VL '!L23/100/3.6*1000000+C35*'E Balans VL '!N23/100/3.6*1000000</f>
        <v>0.6450108573381218</v>
      </c>
      <c r="G13" s="34"/>
      <c r="H13" s="33"/>
      <c r="I13" s="33"/>
      <c r="J13" s="40">
        <f>C35*'E Balans VL '!D23/100/3.6*1000000+C35*'E Balans VL '!E23/100/3.6*1000000</f>
        <v>0.41023125160275986</v>
      </c>
      <c r="K13" s="33"/>
      <c r="L13" s="33"/>
      <c r="M13" s="33"/>
      <c r="N13" s="33">
        <f>C35*'E Balans VL '!Y23/100/3.6*1000000</f>
        <v>-483.1592873276802</v>
      </c>
      <c r="O13" s="33"/>
      <c r="P13" s="33"/>
      <c r="R13" s="32"/>
    </row>
    <row r="14" spans="1:18">
      <c r="A14" s="6" t="s">
        <v>33</v>
      </c>
      <c r="B14" s="37">
        <f t="shared" si="0"/>
        <v>1638.1291294324601</v>
      </c>
      <c r="C14" s="33"/>
      <c r="D14" s="37">
        <f>IF( ISERROR(IND_chemie_gas_kWh/1000),0,IND_chemie_gas_kWh/1000)*0.903</f>
        <v>0</v>
      </c>
      <c r="E14" s="33">
        <f>C36*'E Balans VL '!I24/100/3.6*1000000</f>
        <v>316.94094977101076</v>
      </c>
      <c r="F14" s="33">
        <f>C36*'E Balans VL '!L24/100/3.6*1000000+C36*'E Balans VL '!N24/100/3.6*1000000</f>
        <v>25.550734951587195</v>
      </c>
      <c r="G14" s="34"/>
      <c r="H14" s="33"/>
      <c r="I14" s="33"/>
      <c r="J14" s="40">
        <f>C36*'E Balans VL '!D24/100/3.6*1000000+C36*'E Balans VL '!E24/100/3.6*1000000</f>
        <v>0</v>
      </c>
      <c r="K14" s="33"/>
      <c r="L14" s="33"/>
      <c r="M14" s="33"/>
      <c r="N14" s="33">
        <f>C36*'E Balans VL '!Y24/100/3.6*1000000</f>
        <v>0.36524323329151465</v>
      </c>
      <c r="O14" s="33"/>
      <c r="P14" s="33"/>
      <c r="R14" s="32"/>
    </row>
    <row r="15" spans="1:18">
      <c r="A15" s="6" t="s">
        <v>259</v>
      </c>
      <c r="B15" s="37">
        <f t="shared" si="0"/>
        <v>0</v>
      </c>
      <c r="C15" s="33"/>
      <c r="D15" s="37">
        <f>IF( ISERROR(IND_rest_gas_kWh/1000),0,IND_rest_gas_kWh/1000)*0.903</f>
        <v>945.49597200013375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32967.101560288094</v>
      </c>
      <c r="C18" s="21">
        <f>C5+C16</f>
        <v>0</v>
      </c>
      <c r="D18" s="21">
        <f>MAX((D5+D16),0)</f>
        <v>10381.833958263262</v>
      </c>
      <c r="E18" s="21">
        <f>MAX((E5+E16),0)</f>
        <v>608.90501937401768</v>
      </c>
      <c r="F18" s="21">
        <f>MAX((F5+F16),0)</f>
        <v>3873.401375033839</v>
      </c>
      <c r="G18" s="21"/>
      <c r="H18" s="21"/>
      <c r="I18" s="21"/>
      <c r="J18" s="21">
        <f>MAX((J5+J16),0)</f>
        <v>1.1091055356148563</v>
      </c>
      <c r="K18" s="21"/>
      <c r="L18" s="21">
        <f>MAX((L5+L16),0)</f>
        <v>0</v>
      </c>
      <c r="M18" s="21"/>
      <c r="N18" s="21">
        <f>MAX((N5+N16),0)</f>
        <v>10637.140265643322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0.14647079942781119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4828.7177203532383</v>
      </c>
      <c r="C22" s="23">
        <f ca="1">C18*C20</f>
        <v>0</v>
      </c>
      <c r="D22" s="23">
        <f>D18*D20</f>
        <v>2097.130459569179</v>
      </c>
      <c r="E22" s="23">
        <f>E18*E20</f>
        <v>138.22143939790203</v>
      </c>
      <c r="F22" s="23">
        <f>F18*F20</f>
        <v>1034.198167134035</v>
      </c>
      <c r="G22" s="23"/>
      <c r="H22" s="23"/>
      <c r="I22" s="23"/>
      <c r="J22" s="23">
        <f>J18*J20</f>
        <v>0.39262335960765909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701.2814930801319</v>
      </c>
      <c r="C30" s="39">
        <f>IF(ISERROR(B30*3.6/1000000/'E Balans VL '!Z18*100),0,B30*3.6/1000000/'E Balans VL '!Z18*100)</f>
        <v>3.9128264734736226E-2</v>
      </c>
      <c r="D30" s="232" t="s">
        <v>660</v>
      </c>
    </row>
    <row r="31" spans="1:18">
      <c r="A31" s="6" t="s">
        <v>32</v>
      </c>
      <c r="B31" s="37">
        <f>IF( ISERROR(IND_ander_ele_kWh/1000),0,IND_ander_ele_kWh/1000)</f>
        <v>2056.19659619801</v>
      </c>
      <c r="C31" s="39">
        <f>IF(ISERROR(B31*3.6/1000000/'E Balans VL '!Z19*100),0,B31*3.6/1000000/'E Balans VL '!Z19*100)</f>
        <v>8.3693546373440772E-2</v>
      </c>
      <c r="D31" s="232" t="s">
        <v>660</v>
      </c>
    </row>
    <row r="32" spans="1:18">
      <c r="A32" s="167" t="s">
        <v>40</v>
      </c>
      <c r="B32" s="37">
        <f>IF( ISERROR(IND_voed_ele_kWh/1000),0,IND_voed_ele_kWh/1000)</f>
        <v>466.26606027960605</v>
      </c>
      <c r="C32" s="39">
        <f>IF(ISERROR(B32*3.6/1000000/'E Balans VL '!Z20*100),0,B32*3.6/1000000/'E Balans VL '!Z20*100)</f>
        <v>1.3561274285627223E-2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22840.104829796797</v>
      </c>
      <c r="C34" s="39">
        <f>IF(ISERROR(B34*3.6/1000000/'E Balans VL '!Z22*100),0,B34*3.6/1000000/'E Balans VL '!Z22*100)</f>
        <v>9.1625084565738764</v>
      </c>
      <c r="D34" s="232" t="s">
        <v>660</v>
      </c>
    </row>
    <row r="35" spans="1:5">
      <c r="A35" s="167" t="s">
        <v>38</v>
      </c>
      <c r="B35" s="37">
        <f>IF( ISERROR(IND_papier_ele_kWh/1000),0,IND_papier_ele_kWh/1000)</f>
        <v>5265.1234515010901</v>
      </c>
      <c r="C35" s="39">
        <f>IF(ISERROR(B35*3.6/1000000/'E Balans VL '!Z22*100),0,B35*3.6/1000000/'E Balans VL '!Z22*100)</f>
        <v>2.112150469920298</v>
      </c>
      <c r="D35" s="232" t="s">
        <v>660</v>
      </c>
    </row>
    <row r="36" spans="1:5">
      <c r="A36" s="167" t="s">
        <v>33</v>
      </c>
      <c r="B36" s="37">
        <f>IF( ISERROR(IND_chemie_ele_kWh/1000),0,IND_chemie_ele_kWh/1000)</f>
        <v>1638.1291294324601</v>
      </c>
      <c r="C36" s="39">
        <f>IF(ISERROR(B36*3.6/1000000/'E Balans VL '!Z24*100),0,B36*3.6/1000000/'E Balans VL '!Z24*100)</f>
        <v>4.9487227694747553E-2</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882.31848612470992</v>
      </c>
      <c r="C5" s="17">
        <f>'Eigen informatie GS &amp; warmtenet'!B62</f>
        <v>0</v>
      </c>
      <c r="D5" s="30">
        <f>IF(ISERROR(SUM(LB_lb_gas_kWh,LB_rest_gas_kWh)/1000),0,SUM(LB_lb_gas_kWh,LB_rest_gas_kWh)/1000)*0.903</f>
        <v>66.658267531256669</v>
      </c>
      <c r="E5" s="17">
        <f>B17*'E Balans VL '!I25/3.6*1000000/100</f>
        <v>26.013243399876323</v>
      </c>
      <c r="F5" s="17">
        <f>B17*('E Balans VL '!L25/3.6*1000000+'E Balans VL '!N25/3.6*1000000)/100</f>
        <v>2804.3217153260734</v>
      </c>
      <c r="G5" s="18"/>
      <c r="H5" s="17"/>
      <c r="I5" s="17"/>
      <c r="J5" s="17">
        <f>('E Balans VL '!D25+'E Balans VL '!E25)/3.6*1000000*landbouw!B17/100</f>
        <v>222.51530410655653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882.31848612470992</v>
      </c>
      <c r="C8" s="21">
        <f>C5+C6</f>
        <v>0</v>
      </c>
      <c r="D8" s="21">
        <f>MAX((D5+D6),0)</f>
        <v>66.658267531256669</v>
      </c>
      <c r="E8" s="21">
        <f>MAX((E5+E6),0)</f>
        <v>26.013243399876323</v>
      </c>
      <c r="F8" s="21">
        <f>MAX((F5+F6),0)</f>
        <v>2804.3217153260734</v>
      </c>
      <c r="G8" s="21"/>
      <c r="H8" s="21"/>
      <c r="I8" s="21"/>
      <c r="J8" s="21">
        <f>MAX((J5+J6),0)</f>
        <v>222.51530410655653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0.14647079942781119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129.23389401262239</v>
      </c>
      <c r="C12" s="23">
        <f ca="1">C8*C10</f>
        <v>0</v>
      </c>
      <c r="D12" s="23">
        <f>D8*D10</f>
        <v>13.464970041313848</v>
      </c>
      <c r="E12" s="23">
        <f>E8*E10</f>
        <v>5.9050062517719253</v>
      </c>
      <c r="F12" s="23">
        <f>F8*F10</f>
        <v>748.75389799206164</v>
      </c>
      <c r="G12" s="23"/>
      <c r="H12" s="23"/>
      <c r="I12" s="23"/>
      <c r="J12" s="23">
        <f>J8*J10</f>
        <v>78.770417653721012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0.12118414164294521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120.13042254401776</v>
      </c>
      <c r="C26" s="242">
        <f>B26*'GWP N2O_CH4'!B5</f>
        <v>2522.7388734243732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52.367199710299417</v>
      </c>
      <c r="C27" s="242">
        <f>B27*'GWP N2O_CH4'!B5</f>
        <v>1099.7111939162878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2.7878361106180836</v>
      </c>
      <c r="C28" s="242">
        <f>B28*'GWP N2O_CH4'!B4</f>
        <v>864.22919429160595</v>
      </c>
      <c r="D28" s="50"/>
    </row>
    <row r="29" spans="1:4">
      <c r="A29" s="41" t="s">
        <v>266</v>
      </c>
      <c r="B29" s="242">
        <f>B34*'ha_N2O bodem landbouw'!B4</f>
        <v>6.0771305379997989</v>
      </c>
      <c r="C29" s="242">
        <f>B29*'GWP N2O_CH4'!B4</f>
        <v>1883.9104667799377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1.3849954047517176E-3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2.3277458004902432E-4</v>
      </c>
      <c r="C5" s="430" t="s">
        <v>204</v>
      </c>
      <c r="D5" s="415">
        <f>SUM(D6:D11)</f>
        <v>4.3466304780600732E-4</v>
      </c>
      <c r="E5" s="415">
        <f>SUM(E6:E11)</f>
        <v>2.357015926411098E-4</v>
      </c>
      <c r="F5" s="428" t="s">
        <v>204</v>
      </c>
      <c r="G5" s="415">
        <f>SUM(G6:G11)</f>
        <v>9.280045015319921E-2</v>
      </c>
      <c r="H5" s="415">
        <f>SUM(H6:H11)</f>
        <v>2.8561185123184923E-2</v>
      </c>
      <c r="I5" s="430" t="s">
        <v>204</v>
      </c>
      <c r="J5" s="430" t="s">
        <v>204</v>
      </c>
      <c r="K5" s="430" t="s">
        <v>204</v>
      </c>
      <c r="L5" s="430" t="s">
        <v>204</v>
      </c>
      <c r="M5" s="415">
        <f>SUM(M6:M11)</f>
        <v>7.2102797172248836E-3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1.7269888212509293E-4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3.0138482082851976E-4</v>
      </c>
      <c r="E6" s="844">
        <f>vkm_GW_PW*SUMIFS(TableVerdeelsleutelVkm[LPG],TableVerdeelsleutelVkm[Voertuigtype],"Lichte voertuigen")*SUMIFS(TableECFTransport[EnergieConsumptieFactor (PJ per km)],TableECFTransport[Index],CONCATENATE($A6,"_LPG_LPG"))</f>
        <v>1.6571060499429748E-4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5.1001468850705937E-2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1.9898673650681521E-2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4.2547555096717829E-3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4.0612613649119447E-7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1.6808523255512419E-2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1.8421306588990007E-7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9.4634669187840823E-4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5.9574182905270833E-5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1.3327822697748755E-4</v>
      </c>
      <c r="E8" s="418">
        <f>vkm_NGW_PW*SUMIFS(TableVerdeelsleutelVkm[LPG],TableVerdeelsleutelVkm[Voertuigtype],"Lichte voertuigen")*SUMIFS(TableECFTransport[EnergieConsumptieFactor (PJ per km)],TableECFTransport[Index],CONCATENATE($A8,"_LPG_LPG"))</f>
        <v>6.9990987646812328E-5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1.990647980238635E-2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8.6622750350089459E-3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1.7229416674625088E-3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9.5388882169351986E-8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5.0839782445945038E-3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5.2224428566654072E-8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2.8623584821218368E-4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64.659605569173422</v>
      </c>
      <c r="C14" s="21"/>
      <c r="D14" s="21">
        <f t="shared" ref="D14:M14" si="0">((D5)*10^9/3600)+D12</f>
        <v>120.7397355016687</v>
      </c>
      <c r="E14" s="21">
        <f t="shared" si="0"/>
        <v>65.472664622530502</v>
      </c>
      <c r="F14" s="21"/>
      <c r="G14" s="21">
        <f t="shared" si="0"/>
        <v>25777.902820333115</v>
      </c>
      <c r="H14" s="21">
        <f t="shared" si="0"/>
        <v>7933.6625342180341</v>
      </c>
      <c r="I14" s="21"/>
      <c r="J14" s="21"/>
      <c r="K14" s="21"/>
      <c r="L14" s="21"/>
      <c r="M14" s="21">
        <f t="shared" si="0"/>
        <v>2002.8554770069122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0.14647079942781119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9.4707441184037844</v>
      </c>
      <c r="C18" s="23"/>
      <c r="D18" s="23">
        <f t="shared" ref="D18:M18" si="1">D14*D16</f>
        <v>24.389426571337079</v>
      </c>
      <c r="E18" s="23">
        <f t="shared" si="1"/>
        <v>14.862294869314425</v>
      </c>
      <c r="F18" s="23"/>
      <c r="G18" s="23">
        <f t="shared" si="1"/>
        <v>6882.7000530289415</v>
      </c>
      <c r="H18" s="23">
        <f t="shared" si="1"/>
        <v>1975.4819710202905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1.9756869783620086E-5</v>
      </c>
      <c r="C50" s="313">
        <f t="shared" ref="C50:P50" si="2">SUM(C51:C52)</f>
        <v>0</v>
      </c>
      <c r="D50" s="313">
        <f t="shared" si="2"/>
        <v>0</v>
      </c>
      <c r="E50" s="313">
        <f t="shared" si="2"/>
        <v>0</v>
      </c>
      <c r="F50" s="313">
        <f t="shared" si="2"/>
        <v>0</v>
      </c>
      <c r="G50" s="313">
        <f t="shared" si="2"/>
        <v>1.4102097699943369E-3</v>
      </c>
      <c r="H50" s="313">
        <f t="shared" si="2"/>
        <v>0</v>
      </c>
      <c r="I50" s="313">
        <f t="shared" si="2"/>
        <v>0</v>
      </c>
      <c r="J50" s="313">
        <f t="shared" si="2"/>
        <v>0</v>
      </c>
      <c r="K50" s="313">
        <f t="shared" si="2"/>
        <v>0</v>
      </c>
      <c r="L50" s="313">
        <f t="shared" si="2"/>
        <v>0</v>
      </c>
      <c r="M50" s="313">
        <f t="shared" si="2"/>
        <v>7.7869800576612188E-5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1.9756869783620086E-5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1.4102097699943369E-3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7.7869800576612188E-5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5.4880193843389122</v>
      </c>
      <c r="C54" s="21">
        <f t="shared" ref="C54:P54" si="3">(C50)*10^9/3600</f>
        <v>0</v>
      </c>
      <c r="D54" s="21">
        <f t="shared" si="3"/>
        <v>0</v>
      </c>
      <c r="E54" s="21">
        <f t="shared" si="3"/>
        <v>0</v>
      </c>
      <c r="F54" s="21">
        <f t="shared" si="3"/>
        <v>0</v>
      </c>
      <c r="G54" s="21">
        <f t="shared" si="3"/>
        <v>391.72493610953802</v>
      </c>
      <c r="H54" s="21">
        <f t="shared" si="3"/>
        <v>0</v>
      </c>
      <c r="I54" s="21">
        <f t="shared" si="3"/>
        <v>0</v>
      </c>
      <c r="J54" s="21">
        <f t="shared" si="3"/>
        <v>0</v>
      </c>
      <c r="K54" s="21">
        <f t="shared" si="3"/>
        <v>0</v>
      </c>
      <c r="L54" s="21">
        <f t="shared" si="3"/>
        <v>0</v>
      </c>
      <c r="M54" s="21">
        <f t="shared" si="3"/>
        <v>21.630500160170055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0.14647079942781119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0.80383458649944461</v>
      </c>
      <c r="C58" s="23">
        <f t="shared" ref="C58:P58" ca="1" si="4">C54*C56</f>
        <v>0</v>
      </c>
      <c r="D58" s="23">
        <f t="shared" si="4"/>
        <v>0</v>
      </c>
      <c r="E58" s="23">
        <f t="shared" si="4"/>
        <v>0</v>
      </c>
      <c r="F58" s="23">
        <f t="shared" si="4"/>
        <v>0</v>
      </c>
      <c r="G58" s="23">
        <f t="shared" si="4"/>
        <v>104.59055794124666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17904.697086048818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6621.8222526085065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24526.519338657323</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21346.671276917743</v>
      </c>
      <c r="D10" s="642">
        <f ca="1">tertiair!C16</f>
        <v>0</v>
      </c>
      <c r="E10" s="642">
        <f ca="1">tertiair!D16</f>
        <v>31445.171209675696</v>
      </c>
      <c r="F10" s="642">
        <f>tertiair!E16</f>
        <v>194.36701920409442</v>
      </c>
      <c r="G10" s="642">
        <f ca="1">tertiair!F16</f>
        <v>12314.22608838749</v>
      </c>
      <c r="H10" s="642">
        <f>tertiair!G16</f>
        <v>0</v>
      </c>
      <c r="I10" s="642">
        <f>tertiair!H16</f>
        <v>0</v>
      </c>
      <c r="J10" s="642">
        <f>tertiair!I16</f>
        <v>0</v>
      </c>
      <c r="K10" s="642">
        <f>tertiair!J16</f>
        <v>0.12611677810921029</v>
      </c>
      <c r="L10" s="642">
        <f>tertiair!K16</f>
        <v>0</v>
      </c>
      <c r="M10" s="642">
        <f ca="1">tertiair!L16</f>
        <v>0</v>
      </c>
      <c r="N10" s="642">
        <f>tertiair!M16</f>
        <v>0</v>
      </c>
      <c r="O10" s="642">
        <f ca="1">tertiair!N16</f>
        <v>4311.4100776673422</v>
      </c>
      <c r="P10" s="642">
        <f>tertiair!O16</f>
        <v>14.691782297523464</v>
      </c>
      <c r="Q10" s="643">
        <f>tertiair!P16</f>
        <v>157.61741491948504</v>
      </c>
      <c r="R10" s="645">
        <f ca="1">SUM(C10:Q10)</f>
        <v>69784.280985847479</v>
      </c>
      <c r="S10" s="67"/>
    </row>
    <row r="11" spans="1:19" s="441" customFormat="1">
      <c r="A11" s="762" t="s">
        <v>214</v>
      </c>
      <c r="B11" s="767"/>
      <c r="C11" s="642">
        <f>huishoudens!B8</f>
        <v>17042.970308439435</v>
      </c>
      <c r="D11" s="642">
        <f>huishoudens!C8</f>
        <v>0</v>
      </c>
      <c r="E11" s="642">
        <f>huishoudens!D8</f>
        <v>33386.102414453744</v>
      </c>
      <c r="F11" s="642">
        <f>huishoudens!E8</f>
        <v>1323.3004358411897</v>
      </c>
      <c r="G11" s="642">
        <f>huishoudens!F8</f>
        <v>21685.826628905299</v>
      </c>
      <c r="H11" s="642">
        <f>huishoudens!G8</f>
        <v>0</v>
      </c>
      <c r="I11" s="642">
        <f>huishoudens!H8</f>
        <v>0</v>
      </c>
      <c r="J11" s="642">
        <f>huishoudens!I8</f>
        <v>0</v>
      </c>
      <c r="K11" s="642">
        <f>huishoudens!J8</f>
        <v>119.69489446842152</v>
      </c>
      <c r="L11" s="642">
        <f>huishoudens!K8</f>
        <v>0</v>
      </c>
      <c r="M11" s="642">
        <f>huishoudens!L8</f>
        <v>0</v>
      </c>
      <c r="N11" s="642">
        <f>huishoudens!M8</f>
        <v>0</v>
      </c>
      <c r="O11" s="642">
        <f>huishoudens!N8</f>
        <v>5447.7489430438964</v>
      </c>
      <c r="P11" s="642">
        <f>huishoudens!O8</f>
        <v>424.56705894882487</v>
      </c>
      <c r="Q11" s="643">
        <f>huishoudens!P8</f>
        <v>800.58090738406179</v>
      </c>
      <c r="R11" s="645">
        <f>SUM(C11:Q11)</f>
        <v>80230.791591484885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32967.101560288094</v>
      </c>
      <c r="D13" s="642">
        <f>industrie!C18</f>
        <v>0</v>
      </c>
      <c r="E13" s="642">
        <f>industrie!D18</f>
        <v>10381.833958263262</v>
      </c>
      <c r="F13" s="642">
        <f>industrie!E18</f>
        <v>608.90501937401768</v>
      </c>
      <c r="G13" s="642">
        <f>industrie!F18</f>
        <v>3873.401375033839</v>
      </c>
      <c r="H13" s="642">
        <f>industrie!G18</f>
        <v>0</v>
      </c>
      <c r="I13" s="642">
        <f>industrie!H18</f>
        <v>0</v>
      </c>
      <c r="J13" s="642">
        <f>industrie!I18</f>
        <v>0</v>
      </c>
      <c r="K13" s="642">
        <f>industrie!J18</f>
        <v>1.1091055356148563</v>
      </c>
      <c r="L13" s="642">
        <f>industrie!K18</f>
        <v>0</v>
      </c>
      <c r="M13" s="642">
        <f>industrie!L18</f>
        <v>0</v>
      </c>
      <c r="N13" s="642">
        <f>industrie!M18</f>
        <v>0</v>
      </c>
      <c r="O13" s="642">
        <f>industrie!N18</f>
        <v>10637.140265643322</v>
      </c>
      <c r="P13" s="642">
        <f>industrie!O18</f>
        <v>0</v>
      </c>
      <c r="Q13" s="643">
        <f>industrie!P18</f>
        <v>0</v>
      </c>
      <c r="R13" s="645">
        <f>SUM(C13:Q13)</f>
        <v>58469.491284138152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71356.743145645276</v>
      </c>
      <c r="D16" s="678">
        <f t="shared" ref="D16:R16" ca="1" si="0">SUM(D9:D15)</f>
        <v>0</v>
      </c>
      <c r="E16" s="678">
        <f t="shared" ca="1" si="0"/>
        <v>75213.107582392695</v>
      </c>
      <c r="F16" s="678">
        <f t="shared" si="0"/>
        <v>2126.5724744193021</v>
      </c>
      <c r="G16" s="678">
        <f t="shared" ca="1" si="0"/>
        <v>37873.454092326632</v>
      </c>
      <c r="H16" s="678">
        <f t="shared" si="0"/>
        <v>0</v>
      </c>
      <c r="I16" s="678">
        <f t="shared" si="0"/>
        <v>0</v>
      </c>
      <c r="J16" s="678">
        <f t="shared" si="0"/>
        <v>0</v>
      </c>
      <c r="K16" s="678">
        <f t="shared" si="0"/>
        <v>120.93011678214559</v>
      </c>
      <c r="L16" s="678">
        <f t="shared" si="0"/>
        <v>0</v>
      </c>
      <c r="M16" s="678">
        <f t="shared" ca="1" si="0"/>
        <v>0</v>
      </c>
      <c r="N16" s="678">
        <f t="shared" si="0"/>
        <v>0</v>
      </c>
      <c r="O16" s="678">
        <f t="shared" ca="1" si="0"/>
        <v>20396.299286354559</v>
      </c>
      <c r="P16" s="678">
        <f t="shared" si="0"/>
        <v>439.25884124634831</v>
      </c>
      <c r="Q16" s="678">
        <f t="shared" si="0"/>
        <v>958.19832230354677</v>
      </c>
      <c r="R16" s="678">
        <f t="shared" ca="1" si="0"/>
        <v>208484.56386147052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5.4880193843389122</v>
      </c>
      <c r="D19" s="642">
        <f>transport!C54</f>
        <v>0</v>
      </c>
      <c r="E19" s="642">
        <f>transport!D54</f>
        <v>0</v>
      </c>
      <c r="F19" s="642">
        <f>transport!E54</f>
        <v>0</v>
      </c>
      <c r="G19" s="642">
        <f>transport!F54</f>
        <v>0</v>
      </c>
      <c r="H19" s="642">
        <f>transport!G54</f>
        <v>391.72493610953802</v>
      </c>
      <c r="I19" s="642">
        <f>transport!H54</f>
        <v>0</v>
      </c>
      <c r="J19" s="642">
        <f>transport!I54</f>
        <v>0</v>
      </c>
      <c r="K19" s="642">
        <f>transport!J54</f>
        <v>0</v>
      </c>
      <c r="L19" s="642">
        <f>transport!K54</f>
        <v>0</v>
      </c>
      <c r="M19" s="642">
        <f>transport!L54</f>
        <v>0</v>
      </c>
      <c r="N19" s="642">
        <f>transport!M54</f>
        <v>21.630500160170055</v>
      </c>
      <c r="O19" s="642">
        <f>transport!N54</f>
        <v>0</v>
      </c>
      <c r="P19" s="642">
        <f>transport!O54</f>
        <v>0</v>
      </c>
      <c r="Q19" s="643">
        <f>transport!P54</f>
        <v>0</v>
      </c>
      <c r="R19" s="645">
        <f>SUM(C19:Q19)</f>
        <v>418.84345565404703</v>
      </c>
      <c r="S19" s="67"/>
    </row>
    <row r="20" spans="1:19" s="441" customFormat="1">
      <c r="A20" s="762" t="s">
        <v>296</v>
      </c>
      <c r="B20" s="767"/>
      <c r="C20" s="642">
        <f>transport!B14</f>
        <v>64.659605569173422</v>
      </c>
      <c r="D20" s="642">
        <f>transport!C14</f>
        <v>0</v>
      </c>
      <c r="E20" s="642">
        <f>transport!D14</f>
        <v>120.7397355016687</v>
      </c>
      <c r="F20" s="642">
        <f>transport!E14</f>
        <v>65.472664622530502</v>
      </c>
      <c r="G20" s="642">
        <f>transport!F14</f>
        <v>0</v>
      </c>
      <c r="H20" s="642">
        <f>transport!G14</f>
        <v>25777.902820333115</v>
      </c>
      <c r="I20" s="642">
        <f>transport!H14</f>
        <v>7933.6625342180341</v>
      </c>
      <c r="J20" s="642">
        <f>transport!I14</f>
        <v>0</v>
      </c>
      <c r="K20" s="642">
        <f>transport!J14</f>
        <v>0</v>
      </c>
      <c r="L20" s="642">
        <f>transport!K14</f>
        <v>0</v>
      </c>
      <c r="M20" s="642">
        <f>transport!L14</f>
        <v>0</v>
      </c>
      <c r="N20" s="642">
        <f>transport!M14</f>
        <v>2002.8554770069122</v>
      </c>
      <c r="O20" s="642">
        <f>transport!N14</f>
        <v>0</v>
      </c>
      <c r="P20" s="642">
        <f>transport!O14</f>
        <v>0</v>
      </c>
      <c r="Q20" s="643">
        <f>transport!P14</f>
        <v>0</v>
      </c>
      <c r="R20" s="645">
        <f>SUM(C20:Q20)</f>
        <v>35965.292837251436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70.147624953512334</v>
      </c>
      <c r="D22" s="765">
        <f t="shared" ref="D22:R22" si="1">SUM(D18:D21)</f>
        <v>0</v>
      </c>
      <c r="E22" s="765">
        <f t="shared" si="1"/>
        <v>120.7397355016687</v>
      </c>
      <c r="F22" s="765">
        <f t="shared" si="1"/>
        <v>65.472664622530502</v>
      </c>
      <c r="G22" s="765">
        <f t="shared" si="1"/>
        <v>0</v>
      </c>
      <c r="H22" s="765">
        <f t="shared" si="1"/>
        <v>26169.627756442653</v>
      </c>
      <c r="I22" s="765">
        <f t="shared" si="1"/>
        <v>7933.6625342180341</v>
      </c>
      <c r="J22" s="765">
        <f t="shared" si="1"/>
        <v>0</v>
      </c>
      <c r="K22" s="765">
        <f t="shared" si="1"/>
        <v>0</v>
      </c>
      <c r="L22" s="765">
        <f t="shared" si="1"/>
        <v>0</v>
      </c>
      <c r="M22" s="765">
        <f t="shared" si="1"/>
        <v>0</v>
      </c>
      <c r="N22" s="765">
        <f t="shared" si="1"/>
        <v>2024.4859771670822</v>
      </c>
      <c r="O22" s="765">
        <f t="shared" si="1"/>
        <v>0</v>
      </c>
      <c r="P22" s="765">
        <f t="shared" si="1"/>
        <v>0</v>
      </c>
      <c r="Q22" s="765">
        <f t="shared" si="1"/>
        <v>0</v>
      </c>
      <c r="R22" s="765">
        <f t="shared" si="1"/>
        <v>36384.136292905481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882.31848612470992</v>
      </c>
      <c r="D24" s="642">
        <f>+landbouw!C8</f>
        <v>0</v>
      </c>
      <c r="E24" s="642">
        <f>+landbouw!D8</f>
        <v>66.658267531256669</v>
      </c>
      <c r="F24" s="642">
        <f>+landbouw!E8</f>
        <v>26.013243399876323</v>
      </c>
      <c r="G24" s="642">
        <f>+landbouw!F8</f>
        <v>2804.3217153260734</v>
      </c>
      <c r="H24" s="642">
        <f>+landbouw!G8</f>
        <v>0</v>
      </c>
      <c r="I24" s="642">
        <f>+landbouw!H8</f>
        <v>0</v>
      </c>
      <c r="J24" s="642">
        <f>+landbouw!I8</f>
        <v>0</v>
      </c>
      <c r="K24" s="642">
        <f>+landbouw!J8</f>
        <v>222.51530410655653</v>
      </c>
      <c r="L24" s="642">
        <f>+landbouw!K8</f>
        <v>0</v>
      </c>
      <c r="M24" s="642">
        <f>+landbouw!L8</f>
        <v>0</v>
      </c>
      <c r="N24" s="642">
        <f>+landbouw!M8</f>
        <v>0</v>
      </c>
      <c r="O24" s="642">
        <f>+landbouw!N8</f>
        <v>0</v>
      </c>
      <c r="P24" s="642">
        <f>+landbouw!O8</f>
        <v>0</v>
      </c>
      <c r="Q24" s="643">
        <f>+landbouw!P8</f>
        <v>0</v>
      </c>
      <c r="R24" s="645">
        <f>SUM(C24:Q24)</f>
        <v>4001.827016488473</v>
      </c>
      <c r="S24" s="67"/>
    </row>
    <row r="25" spans="1:19" s="441" customFormat="1" ht="15" thickBot="1">
      <c r="A25" s="784" t="s">
        <v>672</v>
      </c>
      <c r="B25" s="895"/>
      <c r="C25" s="896">
        <f>IF(Onbekend_ele_kWh="---",0,Onbekend_ele_kWh)/1000+IF(REST_rest_ele_kWh="---",0,REST_rest_ele_kWh)/1000</f>
        <v>418.80516217688199</v>
      </c>
      <c r="D25" s="896"/>
      <c r="E25" s="896">
        <f>IF(onbekend_gas_kWh="---",0,onbekend_gas_kWh)/1000+IF(REST_rest_gas_kWh="---",0,REST_rest_gas_kWh)/1000</f>
        <v>853.26775373657199</v>
      </c>
      <c r="F25" s="896"/>
      <c r="G25" s="896"/>
      <c r="H25" s="896"/>
      <c r="I25" s="896"/>
      <c r="J25" s="896"/>
      <c r="K25" s="896"/>
      <c r="L25" s="896"/>
      <c r="M25" s="896"/>
      <c r="N25" s="896"/>
      <c r="O25" s="896"/>
      <c r="P25" s="896"/>
      <c r="Q25" s="897"/>
      <c r="R25" s="645">
        <f>SUM(C25:Q25)</f>
        <v>1272.0729159134539</v>
      </c>
      <c r="S25" s="67"/>
    </row>
    <row r="26" spans="1:19" s="441" customFormat="1" ht="15.75" thickBot="1">
      <c r="A26" s="650" t="s">
        <v>673</v>
      </c>
      <c r="B26" s="770"/>
      <c r="C26" s="765">
        <f>SUM(C24:C25)</f>
        <v>1301.1236483015919</v>
      </c>
      <c r="D26" s="765">
        <f t="shared" ref="D26:R26" si="2">SUM(D24:D25)</f>
        <v>0</v>
      </c>
      <c r="E26" s="765">
        <f t="shared" si="2"/>
        <v>919.92602126782867</v>
      </c>
      <c r="F26" s="765">
        <f t="shared" si="2"/>
        <v>26.013243399876323</v>
      </c>
      <c r="G26" s="765">
        <f t="shared" si="2"/>
        <v>2804.3217153260734</v>
      </c>
      <c r="H26" s="765">
        <f t="shared" si="2"/>
        <v>0</v>
      </c>
      <c r="I26" s="765">
        <f t="shared" si="2"/>
        <v>0</v>
      </c>
      <c r="J26" s="765">
        <f t="shared" si="2"/>
        <v>0</v>
      </c>
      <c r="K26" s="765">
        <f t="shared" si="2"/>
        <v>222.51530410655653</v>
      </c>
      <c r="L26" s="765">
        <f t="shared" si="2"/>
        <v>0</v>
      </c>
      <c r="M26" s="765">
        <f t="shared" si="2"/>
        <v>0</v>
      </c>
      <c r="N26" s="765">
        <f t="shared" si="2"/>
        <v>0</v>
      </c>
      <c r="O26" s="765">
        <f t="shared" si="2"/>
        <v>0</v>
      </c>
      <c r="P26" s="765">
        <f t="shared" si="2"/>
        <v>0</v>
      </c>
      <c r="Q26" s="765">
        <f t="shared" si="2"/>
        <v>0</v>
      </c>
      <c r="R26" s="765">
        <f t="shared" si="2"/>
        <v>5273.8999324019269</v>
      </c>
      <c r="S26" s="67"/>
    </row>
    <row r="27" spans="1:19" s="441" customFormat="1" ht="17.25" thickTop="1" thickBot="1">
      <c r="A27" s="651" t="s">
        <v>109</v>
      </c>
      <c r="B27" s="757"/>
      <c r="C27" s="652">
        <f ca="1">C22+C16+C26</f>
        <v>72728.014418900391</v>
      </c>
      <c r="D27" s="652">
        <f t="shared" ref="D27:R27" ca="1" si="3">D22+D16+D26</f>
        <v>0</v>
      </c>
      <c r="E27" s="652">
        <f t="shared" ca="1" si="3"/>
        <v>76253.773339162202</v>
      </c>
      <c r="F27" s="652">
        <f t="shared" si="3"/>
        <v>2218.058382441709</v>
      </c>
      <c r="G27" s="652">
        <f t="shared" ca="1" si="3"/>
        <v>40677.775807652702</v>
      </c>
      <c r="H27" s="652">
        <f t="shared" si="3"/>
        <v>26169.627756442653</v>
      </c>
      <c r="I27" s="652">
        <f t="shared" si="3"/>
        <v>7933.6625342180341</v>
      </c>
      <c r="J27" s="652">
        <f t="shared" si="3"/>
        <v>0</v>
      </c>
      <c r="K27" s="652">
        <f t="shared" si="3"/>
        <v>343.44542088870213</v>
      </c>
      <c r="L27" s="652">
        <f t="shared" si="3"/>
        <v>0</v>
      </c>
      <c r="M27" s="652">
        <f t="shared" ca="1" si="3"/>
        <v>0</v>
      </c>
      <c r="N27" s="652">
        <f t="shared" si="3"/>
        <v>2024.4859771670822</v>
      </c>
      <c r="O27" s="652">
        <f t="shared" ca="1" si="3"/>
        <v>20396.299286354559</v>
      </c>
      <c r="P27" s="652">
        <f t="shared" si="3"/>
        <v>439.25884124634831</v>
      </c>
      <c r="Q27" s="652">
        <f t="shared" si="3"/>
        <v>958.19832230354677</v>
      </c>
      <c r="R27" s="652">
        <f t="shared" ca="1" si="3"/>
        <v>250142.60008677794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3126.664007052837</v>
      </c>
      <c r="D40" s="642">
        <f ca="1">tertiair!C20</f>
        <v>0</v>
      </c>
      <c r="E40" s="642">
        <f ca="1">tertiair!D20</f>
        <v>6351.9245843544913</v>
      </c>
      <c r="F40" s="642">
        <f>tertiair!E20</f>
        <v>44.121313359329434</v>
      </c>
      <c r="G40" s="642">
        <f ca="1">tertiair!F20</f>
        <v>3287.8983655994598</v>
      </c>
      <c r="H40" s="642">
        <f>tertiair!G20</f>
        <v>0</v>
      </c>
      <c r="I40" s="642">
        <f>tertiair!H20</f>
        <v>0</v>
      </c>
      <c r="J40" s="642">
        <f>tertiair!I20</f>
        <v>0</v>
      </c>
      <c r="K40" s="642">
        <f>tertiair!J20</f>
        <v>4.4645339450660439E-2</v>
      </c>
      <c r="L40" s="642">
        <f>tertiair!K20</f>
        <v>0</v>
      </c>
      <c r="M40" s="642">
        <f ca="1">tertiair!L20</f>
        <v>0</v>
      </c>
      <c r="N40" s="642">
        <f>tertiair!M20</f>
        <v>0</v>
      </c>
      <c r="O40" s="642">
        <f ca="1">tertiair!N20</f>
        <v>0</v>
      </c>
      <c r="P40" s="642">
        <f>tertiair!O20</f>
        <v>0</v>
      </c>
      <c r="Q40" s="725">
        <f>tertiair!P20</f>
        <v>0</v>
      </c>
      <c r="R40" s="803">
        <f t="shared" ca="1" si="4"/>
        <v>12810.652915705568</v>
      </c>
    </row>
    <row r="41" spans="1:18">
      <c r="A41" s="775" t="s">
        <v>214</v>
      </c>
      <c r="B41" s="782"/>
      <c r="C41" s="642">
        <f ca="1">huishoudens!B12</f>
        <v>2496.2974857015738</v>
      </c>
      <c r="D41" s="642">
        <f ca="1">huishoudens!C12</f>
        <v>0</v>
      </c>
      <c r="E41" s="642">
        <f>huishoudens!D12</f>
        <v>6743.9926877196567</v>
      </c>
      <c r="F41" s="642">
        <f>huishoudens!E12</f>
        <v>300.38919893595005</v>
      </c>
      <c r="G41" s="642">
        <f>huishoudens!F12</f>
        <v>5790.1157099177153</v>
      </c>
      <c r="H41" s="642">
        <f>huishoudens!G12</f>
        <v>0</v>
      </c>
      <c r="I41" s="642">
        <f>huishoudens!H12</f>
        <v>0</v>
      </c>
      <c r="J41" s="642">
        <f>huishoudens!I12</f>
        <v>0</v>
      </c>
      <c r="K41" s="642">
        <f>huishoudens!J12</f>
        <v>42.371992641821215</v>
      </c>
      <c r="L41" s="642">
        <f>huishoudens!K12</f>
        <v>0</v>
      </c>
      <c r="M41" s="642">
        <f>huishoudens!L12</f>
        <v>0</v>
      </c>
      <c r="N41" s="642">
        <f>huishoudens!M12</f>
        <v>0</v>
      </c>
      <c r="O41" s="642">
        <f>huishoudens!N12</f>
        <v>0</v>
      </c>
      <c r="P41" s="642">
        <f>huishoudens!O12</f>
        <v>0</v>
      </c>
      <c r="Q41" s="725">
        <f>huishoudens!P12</f>
        <v>0</v>
      </c>
      <c r="R41" s="803">
        <f t="shared" ca="1" si="4"/>
        <v>15373.167074916719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4828.7177203532383</v>
      </c>
      <c r="D43" s="642">
        <f ca="1">industrie!C22</f>
        <v>0</v>
      </c>
      <c r="E43" s="642">
        <f>industrie!D22</f>
        <v>2097.130459569179</v>
      </c>
      <c r="F43" s="642">
        <f>industrie!E22</f>
        <v>138.22143939790203</v>
      </c>
      <c r="G43" s="642">
        <f>industrie!F22</f>
        <v>1034.198167134035</v>
      </c>
      <c r="H43" s="642">
        <f>industrie!G22</f>
        <v>0</v>
      </c>
      <c r="I43" s="642">
        <f>industrie!H22</f>
        <v>0</v>
      </c>
      <c r="J43" s="642">
        <f>industrie!I22</f>
        <v>0</v>
      </c>
      <c r="K43" s="642">
        <f>industrie!J22</f>
        <v>0.39262335960765909</v>
      </c>
      <c r="L43" s="642">
        <f>industrie!K22</f>
        <v>0</v>
      </c>
      <c r="M43" s="642">
        <f>industrie!L22</f>
        <v>0</v>
      </c>
      <c r="N43" s="642">
        <f>industrie!M22</f>
        <v>0</v>
      </c>
      <c r="O43" s="642">
        <f>industrie!N22</f>
        <v>0</v>
      </c>
      <c r="P43" s="642">
        <f>industrie!O22</f>
        <v>0</v>
      </c>
      <c r="Q43" s="725">
        <f>industrie!P22</f>
        <v>0</v>
      </c>
      <c r="R43" s="802">
        <f t="shared" ca="1" si="4"/>
        <v>8098.6604098139624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10451.679213107649</v>
      </c>
      <c r="D46" s="678">
        <f t="shared" ref="D46:Q46" ca="1" si="5">SUM(D39:D45)</f>
        <v>0</v>
      </c>
      <c r="E46" s="678">
        <f t="shared" ca="1" si="5"/>
        <v>15193.047731643328</v>
      </c>
      <c r="F46" s="678">
        <f t="shared" si="5"/>
        <v>482.73195169318149</v>
      </c>
      <c r="G46" s="678">
        <f t="shared" ca="1" si="5"/>
        <v>10112.212242651209</v>
      </c>
      <c r="H46" s="678">
        <f t="shared" si="5"/>
        <v>0</v>
      </c>
      <c r="I46" s="678">
        <f t="shared" si="5"/>
        <v>0</v>
      </c>
      <c r="J46" s="678">
        <f t="shared" si="5"/>
        <v>0</v>
      </c>
      <c r="K46" s="678">
        <f t="shared" si="5"/>
        <v>42.809261340879537</v>
      </c>
      <c r="L46" s="678">
        <f t="shared" si="5"/>
        <v>0</v>
      </c>
      <c r="M46" s="678">
        <f t="shared" ca="1" si="5"/>
        <v>0</v>
      </c>
      <c r="N46" s="678">
        <f t="shared" si="5"/>
        <v>0</v>
      </c>
      <c r="O46" s="678">
        <f t="shared" ca="1" si="5"/>
        <v>0</v>
      </c>
      <c r="P46" s="678">
        <f t="shared" si="5"/>
        <v>0</v>
      </c>
      <c r="Q46" s="678">
        <f t="shared" si="5"/>
        <v>0</v>
      </c>
      <c r="R46" s="678">
        <f ca="1">SUM(R39:R45)</f>
        <v>36282.480400436252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0.80383458649944461</v>
      </c>
      <c r="D49" s="642">
        <f ca="1">transport!C58</f>
        <v>0</v>
      </c>
      <c r="E49" s="642">
        <f>transport!D58</f>
        <v>0</v>
      </c>
      <c r="F49" s="642">
        <f>transport!E58</f>
        <v>0</v>
      </c>
      <c r="G49" s="642">
        <f>transport!F58</f>
        <v>0</v>
      </c>
      <c r="H49" s="642">
        <f>transport!G58</f>
        <v>104.59055794124666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105.39439252774611</v>
      </c>
    </row>
    <row r="50" spans="1:18">
      <c r="A50" s="778" t="s">
        <v>296</v>
      </c>
      <c r="B50" s="788"/>
      <c r="C50" s="648">
        <f ca="1">transport!B18</f>
        <v>9.4707441184037844</v>
      </c>
      <c r="D50" s="648">
        <f>transport!C18</f>
        <v>0</v>
      </c>
      <c r="E50" s="648">
        <f>transport!D18</f>
        <v>24.389426571337079</v>
      </c>
      <c r="F50" s="648">
        <f>transport!E18</f>
        <v>14.862294869314425</v>
      </c>
      <c r="G50" s="648">
        <f>transport!F18</f>
        <v>0</v>
      </c>
      <c r="H50" s="648">
        <f>transport!G18</f>
        <v>6882.7000530289415</v>
      </c>
      <c r="I50" s="648">
        <f>transport!H18</f>
        <v>1975.4819710202905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8906.9044896082869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10.274578704903229</v>
      </c>
      <c r="D52" s="678">
        <f t="shared" ref="D52:Q52" ca="1" si="6">SUM(D48:D51)</f>
        <v>0</v>
      </c>
      <c r="E52" s="678">
        <f t="shared" si="6"/>
        <v>24.389426571337079</v>
      </c>
      <c r="F52" s="678">
        <f t="shared" si="6"/>
        <v>14.862294869314425</v>
      </c>
      <c r="G52" s="678">
        <f t="shared" si="6"/>
        <v>0</v>
      </c>
      <c r="H52" s="678">
        <f t="shared" si="6"/>
        <v>6987.290610970188</v>
      </c>
      <c r="I52" s="678">
        <f t="shared" si="6"/>
        <v>1975.4819710202905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9012.2988821360323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129.23389401262239</v>
      </c>
      <c r="D54" s="648">
        <f ca="1">+landbouw!C12</f>
        <v>0</v>
      </c>
      <c r="E54" s="648">
        <f>+landbouw!D12</f>
        <v>13.464970041313848</v>
      </c>
      <c r="F54" s="648">
        <f>+landbouw!E12</f>
        <v>5.9050062517719253</v>
      </c>
      <c r="G54" s="648">
        <f>+landbouw!F12</f>
        <v>748.75389799206164</v>
      </c>
      <c r="H54" s="648">
        <f>+landbouw!G12</f>
        <v>0</v>
      </c>
      <c r="I54" s="648">
        <f>+landbouw!H12</f>
        <v>0</v>
      </c>
      <c r="J54" s="648">
        <f>+landbouw!I12</f>
        <v>0</v>
      </c>
      <c r="K54" s="648">
        <f>+landbouw!J12</f>
        <v>78.770417653721012</v>
      </c>
      <c r="L54" s="648">
        <f>+landbouw!K12</f>
        <v>0</v>
      </c>
      <c r="M54" s="648">
        <f>+landbouw!L12</f>
        <v>0</v>
      </c>
      <c r="N54" s="648">
        <f>+landbouw!M12</f>
        <v>0</v>
      </c>
      <c r="O54" s="648">
        <f>+landbouw!N12</f>
        <v>0</v>
      </c>
      <c r="P54" s="648">
        <f>+landbouw!O12</f>
        <v>0</v>
      </c>
      <c r="Q54" s="649">
        <f>+landbouw!P12</f>
        <v>0</v>
      </c>
      <c r="R54" s="677">
        <f ca="1">SUM(C54:Q54)</f>
        <v>976.12818595149076</v>
      </c>
    </row>
    <row r="55" spans="1:18" ht="15" thickBot="1">
      <c r="A55" s="778" t="s">
        <v>672</v>
      </c>
      <c r="B55" s="788"/>
      <c r="C55" s="648">
        <f ca="1">C25*'EF ele_warmte'!B12</f>
        <v>61.342726908542019</v>
      </c>
      <c r="D55" s="648"/>
      <c r="E55" s="648">
        <f>E25*EF_CO2_aardgas</f>
        <v>172.36008625478755</v>
      </c>
      <c r="F55" s="648"/>
      <c r="G55" s="648"/>
      <c r="H55" s="648"/>
      <c r="I55" s="648"/>
      <c r="J55" s="648"/>
      <c r="K55" s="648"/>
      <c r="L55" s="648"/>
      <c r="M55" s="648"/>
      <c r="N55" s="648"/>
      <c r="O55" s="648"/>
      <c r="P55" s="648"/>
      <c r="Q55" s="649"/>
      <c r="R55" s="677">
        <f ca="1">SUM(C55:Q55)</f>
        <v>233.70281316332955</v>
      </c>
    </row>
    <row r="56" spans="1:18" ht="15.75" thickBot="1">
      <c r="A56" s="776" t="s">
        <v>673</v>
      </c>
      <c r="B56" s="789"/>
      <c r="C56" s="678">
        <f ca="1">SUM(C54:C55)</f>
        <v>190.57662092116442</v>
      </c>
      <c r="D56" s="678">
        <f t="shared" ref="D56:Q56" ca="1" si="7">SUM(D54:D55)</f>
        <v>0</v>
      </c>
      <c r="E56" s="678">
        <f t="shared" si="7"/>
        <v>185.82505629610139</v>
      </c>
      <c r="F56" s="678">
        <f t="shared" si="7"/>
        <v>5.9050062517719253</v>
      </c>
      <c r="G56" s="678">
        <f t="shared" si="7"/>
        <v>748.75389799206164</v>
      </c>
      <c r="H56" s="678">
        <f t="shared" si="7"/>
        <v>0</v>
      </c>
      <c r="I56" s="678">
        <f t="shared" si="7"/>
        <v>0</v>
      </c>
      <c r="J56" s="678">
        <f t="shared" si="7"/>
        <v>0</v>
      </c>
      <c r="K56" s="678">
        <f t="shared" si="7"/>
        <v>78.770417653721012</v>
      </c>
      <c r="L56" s="678">
        <f t="shared" si="7"/>
        <v>0</v>
      </c>
      <c r="M56" s="678">
        <f t="shared" si="7"/>
        <v>0</v>
      </c>
      <c r="N56" s="678">
        <f t="shared" si="7"/>
        <v>0</v>
      </c>
      <c r="O56" s="678">
        <f t="shared" si="7"/>
        <v>0</v>
      </c>
      <c r="P56" s="678">
        <f t="shared" si="7"/>
        <v>0</v>
      </c>
      <c r="Q56" s="679">
        <f t="shared" si="7"/>
        <v>0</v>
      </c>
      <c r="R56" s="680">
        <f ca="1">SUM(R54:R55)</f>
        <v>1209.8309991148203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10652.530412733717</v>
      </c>
      <c r="D61" s="686">
        <f t="shared" ref="D61:Q61" ca="1" si="8">D46+D52+D56</f>
        <v>0</v>
      </c>
      <c r="E61" s="686">
        <f t="shared" ca="1" si="8"/>
        <v>15403.262214510767</v>
      </c>
      <c r="F61" s="686">
        <f t="shared" si="8"/>
        <v>503.49925281426783</v>
      </c>
      <c r="G61" s="686">
        <f t="shared" ca="1" si="8"/>
        <v>10860.96614064327</v>
      </c>
      <c r="H61" s="686">
        <f t="shared" si="8"/>
        <v>6987.290610970188</v>
      </c>
      <c r="I61" s="686">
        <f t="shared" si="8"/>
        <v>1975.4819710202905</v>
      </c>
      <c r="J61" s="686">
        <f t="shared" si="8"/>
        <v>0</v>
      </c>
      <c r="K61" s="686">
        <f t="shared" si="8"/>
        <v>121.57967899460056</v>
      </c>
      <c r="L61" s="686">
        <f t="shared" si="8"/>
        <v>0</v>
      </c>
      <c r="M61" s="686">
        <f t="shared" ca="1" si="8"/>
        <v>0</v>
      </c>
      <c r="N61" s="686">
        <f t="shared" si="8"/>
        <v>0</v>
      </c>
      <c r="O61" s="686">
        <f t="shared" ca="1" si="8"/>
        <v>0</v>
      </c>
      <c r="P61" s="686">
        <f t="shared" si="8"/>
        <v>0</v>
      </c>
      <c r="Q61" s="686">
        <f t="shared" si="8"/>
        <v>0</v>
      </c>
      <c r="R61" s="686">
        <f ca="1">R46+R52+R56</f>
        <v>46504.610281687106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0.14647079942781116</v>
      </c>
      <c r="D63" s="732">
        <f t="shared" ca="1" si="9"/>
        <v>0</v>
      </c>
      <c r="E63" s="921">
        <f t="shared" ca="1" si="9"/>
        <v>0.20200000000000004</v>
      </c>
      <c r="F63" s="732">
        <f t="shared" si="9"/>
        <v>0.22699999999999995</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17904.697086048818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6621.8222526085065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24526.519338657323</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17042.970308439435</v>
      </c>
      <c r="C4" s="445">
        <f>huishoudens!C8</f>
        <v>0</v>
      </c>
      <c r="D4" s="445">
        <f>huishoudens!D8</f>
        <v>33386.102414453744</v>
      </c>
      <c r="E4" s="445">
        <f>huishoudens!E8</f>
        <v>1323.3004358411897</v>
      </c>
      <c r="F4" s="445">
        <f>huishoudens!F8</f>
        <v>21685.826628905299</v>
      </c>
      <c r="G4" s="445">
        <f>huishoudens!G8</f>
        <v>0</v>
      </c>
      <c r="H4" s="445">
        <f>huishoudens!H8</f>
        <v>0</v>
      </c>
      <c r="I4" s="445">
        <f>huishoudens!I8</f>
        <v>0</v>
      </c>
      <c r="J4" s="445">
        <f>huishoudens!J8</f>
        <v>119.69489446842152</v>
      </c>
      <c r="K4" s="445">
        <f>huishoudens!K8</f>
        <v>0</v>
      </c>
      <c r="L4" s="445">
        <f>huishoudens!L8</f>
        <v>0</v>
      </c>
      <c r="M4" s="445">
        <f>huishoudens!M8</f>
        <v>0</v>
      </c>
      <c r="N4" s="445">
        <f>huishoudens!N8</f>
        <v>5447.7489430438964</v>
      </c>
      <c r="O4" s="445">
        <f>huishoudens!O8</f>
        <v>424.56705894882487</v>
      </c>
      <c r="P4" s="446">
        <f>huishoudens!P8</f>
        <v>800.58090738406179</v>
      </c>
      <c r="Q4" s="447">
        <f>SUM(B4:P4)</f>
        <v>80230.791591484885</v>
      </c>
    </row>
    <row r="5" spans="1:17">
      <c r="A5" s="444" t="s">
        <v>149</v>
      </c>
      <c r="B5" s="445">
        <f ca="1">tertiair!B16</f>
        <v>20880.419276917743</v>
      </c>
      <c r="C5" s="445">
        <f ca="1">tertiair!C16</f>
        <v>0</v>
      </c>
      <c r="D5" s="445">
        <f ca="1">tertiair!D16</f>
        <v>31445.171209675696</v>
      </c>
      <c r="E5" s="445">
        <f>tertiair!E16</f>
        <v>194.36701920409442</v>
      </c>
      <c r="F5" s="445">
        <f ca="1">tertiair!F16</f>
        <v>12314.22608838749</v>
      </c>
      <c r="G5" s="445">
        <f>tertiair!G16</f>
        <v>0</v>
      </c>
      <c r="H5" s="445">
        <f>tertiair!H16</f>
        <v>0</v>
      </c>
      <c r="I5" s="445">
        <f>tertiair!I16</f>
        <v>0</v>
      </c>
      <c r="J5" s="445">
        <f>tertiair!J16</f>
        <v>0.12611677810921029</v>
      </c>
      <c r="K5" s="445">
        <f>tertiair!K16</f>
        <v>0</v>
      </c>
      <c r="L5" s="445">
        <f ca="1">tertiair!L16</f>
        <v>0</v>
      </c>
      <c r="M5" s="445">
        <f>tertiair!M16</f>
        <v>0</v>
      </c>
      <c r="N5" s="445">
        <f ca="1">tertiair!N16</f>
        <v>4311.4100776673422</v>
      </c>
      <c r="O5" s="445">
        <f>tertiair!O16</f>
        <v>14.691782297523464</v>
      </c>
      <c r="P5" s="446">
        <f>tertiair!P16</f>
        <v>157.61741491948504</v>
      </c>
      <c r="Q5" s="444">
        <f t="shared" ref="Q5:Q14" ca="1" si="0">SUM(B5:P5)</f>
        <v>69318.028985847486</v>
      </c>
    </row>
    <row r="6" spans="1:17">
      <c r="A6" s="444" t="s">
        <v>187</v>
      </c>
      <c r="B6" s="445">
        <f>'openbare verlichting'!B8</f>
        <v>466.25200000000001</v>
      </c>
      <c r="C6" s="445"/>
      <c r="D6" s="445"/>
      <c r="E6" s="445"/>
      <c r="F6" s="445"/>
      <c r="G6" s="445"/>
      <c r="H6" s="445"/>
      <c r="I6" s="445"/>
      <c r="J6" s="445"/>
      <c r="K6" s="445"/>
      <c r="L6" s="445"/>
      <c r="M6" s="445"/>
      <c r="N6" s="445"/>
      <c r="O6" s="445"/>
      <c r="P6" s="446"/>
      <c r="Q6" s="444">
        <f t="shared" si="0"/>
        <v>466.25200000000001</v>
      </c>
    </row>
    <row r="7" spans="1:17">
      <c r="A7" s="444" t="s">
        <v>105</v>
      </c>
      <c r="B7" s="445">
        <f>landbouw!B8</f>
        <v>882.31848612470992</v>
      </c>
      <c r="C7" s="445">
        <f>landbouw!C8</f>
        <v>0</v>
      </c>
      <c r="D7" s="445">
        <f>landbouw!D8</f>
        <v>66.658267531256669</v>
      </c>
      <c r="E7" s="445">
        <f>landbouw!E8</f>
        <v>26.013243399876323</v>
      </c>
      <c r="F7" s="445">
        <f>landbouw!F8</f>
        <v>2804.3217153260734</v>
      </c>
      <c r="G7" s="445">
        <f>landbouw!G8</f>
        <v>0</v>
      </c>
      <c r="H7" s="445">
        <f>landbouw!H8</f>
        <v>0</v>
      </c>
      <c r="I7" s="445">
        <f>landbouw!I8</f>
        <v>0</v>
      </c>
      <c r="J7" s="445">
        <f>landbouw!J8</f>
        <v>222.51530410655653</v>
      </c>
      <c r="K7" s="445">
        <f>landbouw!K8</f>
        <v>0</v>
      </c>
      <c r="L7" s="445">
        <f>landbouw!L8</f>
        <v>0</v>
      </c>
      <c r="M7" s="445">
        <f>landbouw!M8</f>
        <v>0</v>
      </c>
      <c r="N7" s="445">
        <f>landbouw!N8</f>
        <v>0</v>
      </c>
      <c r="O7" s="445">
        <f>landbouw!O8</f>
        <v>0</v>
      </c>
      <c r="P7" s="446">
        <f>landbouw!P8</f>
        <v>0</v>
      </c>
      <c r="Q7" s="444">
        <f t="shared" si="0"/>
        <v>4001.827016488473</v>
      </c>
    </row>
    <row r="8" spans="1:17">
      <c r="A8" s="444" t="s">
        <v>587</v>
      </c>
      <c r="B8" s="445">
        <f>industrie!B18</f>
        <v>32967.101560288094</v>
      </c>
      <c r="C8" s="445">
        <f>industrie!C18</f>
        <v>0</v>
      </c>
      <c r="D8" s="445">
        <f>industrie!D18</f>
        <v>10381.833958263262</v>
      </c>
      <c r="E8" s="445">
        <f>industrie!E18</f>
        <v>608.90501937401768</v>
      </c>
      <c r="F8" s="445">
        <f>industrie!F18</f>
        <v>3873.401375033839</v>
      </c>
      <c r="G8" s="445">
        <f>industrie!G18</f>
        <v>0</v>
      </c>
      <c r="H8" s="445">
        <f>industrie!H18</f>
        <v>0</v>
      </c>
      <c r="I8" s="445">
        <f>industrie!I18</f>
        <v>0</v>
      </c>
      <c r="J8" s="445">
        <f>industrie!J18</f>
        <v>1.1091055356148563</v>
      </c>
      <c r="K8" s="445">
        <f>industrie!K18</f>
        <v>0</v>
      </c>
      <c r="L8" s="445">
        <f>industrie!L18</f>
        <v>0</v>
      </c>
      <c r="M8" s="445">
        <f>industrie!M18</f>
        <v>0</v>
      </c>
      <c r="N8" s="445">
        <f>industrie!N18</f>
        <v>10637.140265643322</v>
      </c>
      <c r="O8" s="445">
        <f>industrie!O18</f>
        <v>0</v>
      </c>
      <c r="P8" s="446">
        <f>industrie!P18</f>
        <v>0</v>
      </c>
      <c r="Q8" s="444">
        <f t="shared" si="0"/>
        <v>58469.491284138152</v>
      </c>
    </row>
    <row r="9" spans="1:17" s="450" customFormat="1">
      <c r="A9" s="448" t="s">
        <v>536</v>
      </c>
      <c r="B9" s="449">
        <f>transport!B14</f>
        <v>64.659605569173422</v>
      </c>
      <c r="C9" s="449">
        <f>transport!C14</f>
        <v>0</v>
      </c>
      <c r="D9" s="449">
        <f>transport!D14</f>
        <v>120.7397355016687</v>
      </c>
      <c r="E9" s="449">
        <f>transport!E14</f>
        <v>65.472664622530502</v>
      </c>
      <c r="F9" s="449">
        <f>transport!F14</f>
        <v>0</v>
      </c>
      <c r="G9" s="449">
        <f>transport!G14</f>
        <v>25777.902820333115</v>
      </c>
      <c r="H9" s="449">
        <f>transport!H14</f>
        <v>7933.6625342180341</v>
      </c>
      <c r="I9" s="449">
        <f>transport!I14</f>
        <v>0</v>
      </c>
      <c r="J9" s="449">
        <f>transport!J14</f>
        <v>0</v>
      </c>
      <c r="K9" s="449">
        <f>transport!K14</f>
        <v>0</v>
      </c>
      <c r="L9" s="449">
        <f>transport!L14</f>
        <v>0</v>
      </c>
      <c r="M9" s="449">
        <f>transport!M14</f>
        <v>2002.8554770069122</v>
      </c>
      <c r="N9" s="449">
        <f>transport!N14</f>
        <v>0</v>
      </c>
      <c r="O9" s="449">
        <f>transport!O14</f>
        <v>0</v>
      </c>
      <c r="P9" s="449">
        <f>transport!P14</f>
        <v>0</v>
      </c>
      <c r="Q9" s="448">
        <f>SUM(B9:P9)</f>
        <v>35965.292837251436</v>
      </c>
    </row>
    <row r="10" spans="1:17">
      <c r="A10" s="444" t="s">
        <v>526</v>
      </c>
      <c r="B10" s="445">
        <f>transport!B54</f>
        <v>5.4880193843389122</v>
      </c>
      <c r="C10" s="445">
        <f>transport!C54</f>
        <v>0</v>
      </c>
      <c r="D10" s="445">
        <f>transport!D54</f>
        <v>0</v>
      </c>
      <c r="E10" s="445">
        <f>transport!E54</f>
        <v>0</v>
      </c>
      <c r="F10" s="445">
        <f>transport!F54</f>
        <v>0</v>
      </c>
      <c r="G10" s="445">
        <f>transport!G54</f>
        <v>391.72493610953802</v>
      </c>
      <c r="H10" s="445">
        <f>transport!H54</f>
        <v>0</v>
      </c>
      <c r="I10" s="445">
        <f>transport!I54</f>
        <v>0</v>
      </c>
      <c r="J10" s="445">
        <f>transport!J54</f>
        <v>0</v>
      </c>
      <c r="K10" s="445">
        <f>transport!K54</f>
        <v>0</v>
      </c>
      <c r="L10" s="445">
        <f>transport!L54</f>
        <v>0</v>
      </c>
      <c r="M10" s="445">
        <f>transport!M54</f>
        <v>21.630500160170055</v>
      </c>
      <c r="N10" s="445">
        <f>transport!N54</f>
        <v>0</v>
      </c>
      <c r="O10" s="445">
        <f>transport!O54</f>
        <v>0</v>
      </c>
      <c r="P10" s="446">
        <f>transport!P54</f>
        <v>0</v>
      </c>
      <c r="Q10" s="444">
        <f t="shared" si="0"/>
        <v>418.84345565404703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418.80516217688199</v>
      </c>
      <c r="C14" s="452"/>
      <c r="D14" s="452">
        <f>'SEAP template'!E25</f>
        <v>853.26775373657199</v>
      </c>
      <c r="E14" s="452"/>
      <c r="F14" s="452"/>
      <c r="G14" s="452"/>
      <c r="H14" s="452"/>
      <c r="I14" s="452"/>
      <c r="J14" s="452"/>
      <c r="K14" s="452"/>
      <c r="L14" s="452"/>
      <c r="M14" s="452"/>
      <c r="N14" s="452"/>
      <c r="O14" s="452"/>
      <c r="P14" s="453"/>
      <c r="Q14" s="444">
        <f t="shared" si="0"/>
        <v>1272.0729159134539</v>
      </c>
    </row>
    <row r="15" spans="1:17" s="456" customFormat="1">
      <c r="A15" s="454" t="s">
        <v>530</v>
      </c>
      <c r="B15" s="455">
        <f ca="1">SUM(B4:B14)</f>
        <v>72728.014418900377</v>
      </c>
      <c r="C15" s="455">
        <f t="shared" ref="C15:Q15" ca="1" si="1">SUM(C4:C14)</f>
        <v>0</v>
      </c>
      <c r="D15" s="455">
        <f t="shared" ca="1" si="1"/>
        <v>76253.773339162202</v>
      </c>
      <c r="E15" s="455">
        <f t="shared" si="1"/>
        <v>2218.0583824417085</v>
      </c>
      <c r="F15" s="455">
        <f t="shared" ca="1" si="1"/>
        <v>40677.775807652702</v>
      </c>
      <c r="G15" s="455">
        <f t="shared" si="1"/>
        <v>26169.627756442653</v>
      </c>
      <c r="H15" s="455">
        <f t="shared" si="1"/>
        <v>7933.6625342180341</v>
      </c>
      <c r="I15" s="455">
        <f t="shared" si="1"/>
        <v>0</v>
      </c>
      <c r="J15" s="455">
        <f t="shared" si="1"/>
        <v>343.44542088870207</v>
      </c>
      <c r="K15" s="455">
        <f t="shared" si="1"/>
        <v>0</v>
      </c>
      <c r="L15" s="455">
        <f t="shared" ca="1" si="1"/>
        <v>0</v>
      </c>
      <c r="M15" s="455">
        <f t="shared" si="1"/>
        <v>2024.4859771670822</v>
      </c>
      <c r="N15" s="455">
        <f t="shared" ca="1" si="1"/>
        <v>20396.299286354559</v>
      </c>
      <c r="O15" s="455">
        <f t="shared" si="1"/>
        <v>439.25884124634831</v>
      </c>
      <c r="P15" s="455">
        <f t="shared" si="1"/>
        <v>958.19832230354677</v>
      </c>
      <c r="Q15" s="455">
        <f t="shared" ca="1" si="1"/>
        <v>250142.60008677794</v>
      </c>
    </row>
    <row r="17" spans="1:17">
      <c r="A17" s="457" t="s">
        <v>531</v>
      </c>
      <c r="B17" s="737">
        <f ca="1">huishoudens!B10</f>
        <v>0.14647079942781119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2496.2974857015738</v>
      </c>
      <c r="C22" s="445">
        <f t="shared" ref="C22:C32" ca="1" si="3">C4*$C$17</f>
        <v>0</v>
      </c>
      <c r="D22" s="445">
        <f t="shared" ref="D22:D32" si="4">D4*$D$17</f>
        <v>6743.9926877196567</v>
      </c>
      <c r="E22" s="445">
        <f t="shared" ref="E22:E32" si="5">E4*$E$17</f>
        <v>300.38919893595005</v>
      </c>
      <c r="F22" s="445">
        <f t="shared" ref="F22:F32" si="6">F4*$F$17</f>
        <v>5790.1157099177153</v>
      </c>
      <c r="G22" s="445">
        <f t="shared" ref="G22:G32" si="7">G4*$G$17</f>
        <v>0</v>
      </c>
      <c r="H22" s="445">
        <f t="shared" ref="H22:H32" si="8">H4*$H$17</f>
        <v>0</v>
      </c>
      <c r="I22" s="445">
        <f t="shared" ref="I22:I32" si="9">I4*$I$17</f>
        <v>0</v>
      </c>
      <c r="J22" s="445">
        <f t="shared" ref="J22:J32" si="10">J4*$J$17</f>
        <v>42.371992641821215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15373.167074916719</v>
      </c>
    </row>
    <row r="23" spans="1:17">
      <c r="A23" s="444" t="s">
        <v>149</v>
      </c>
      <c r="B23" s="445">
        <f t="shared" ca="1" si="2"/>
        <v>3058.371703878021</v>
      </c>
      <c r="C23" s="445">
        <f t="shared" ca="1" si="3"/>
        <v>0</v>
      </c>
      <c r="D23" s="445">
        <f t="shared" ca="1" si="4"/>
        <v>6351.9245843544913</v>
      </c>
      <c r="E23" s="445">
        <f t="shared" si="5"/>
        <v>44.121313359329434</v>
      </c>
      <c r="F23" s="445">
        <f t="shared" ca="1" si="6"/>
        <v>3287.8983655994598</v>
      </c>
      <c r="G23" s="445">
        <f t="shared" si="7"/>
        <v>0</v>
      </c>
      <c r="H23" s="445">
        <f t="shared" si="8"/>
        <v>0</v>
      </c>
      <c r="I23" s="445">
        <f t="shared" si="9"/>
        <v>0</v>
      </c>
      <c r="J23" s="445">
        <f t="shared" si="10"/>
        <v>4.4645339450660439E-2</v>
      </c>
      <c r="K23" s="445">
        <f t="shared" si="11"/>
        <v>0</v>
      </c>
      <c r="L23" s="445">
        <f t="shared" ca="1" si="12"/>
        <v>0</v>
      </c>
      <c r="M23" s="445">
        <f t="shared" si="13"/>
        <v>0</v>
      </c>
      <c r="N23" s="445">
        <f t="shared" ca="1" si="14"/>
        <v>0</v>
      </c>
      <c r="O23" s="445">
        <f t="shared" si="15"/>
        <v>0</v>
      </c>
      <c r="P23" s="446">
        <f t="shared" si="16"/>
        <v>0</v>
      </c>
      <c r="Q23" s="444">
        <f t="shared" ref="Q23:Q31" ca="1" si="17">SUM(B23:P23)</f>
        <v>12742.360612530752</v>
      </c>
    </row>
    <row r="24" spans="1:17">
      <c r="A24" s="444" t="s">
        <v>187</v>
      </c>
      <c r="B24" s="445">
        <f t="shared" ca="1" si="2"/>
        <v>68.292303174815828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68.292303174815828</v>
      </c>
    </row>
    <row r="25" spans="1:17">
      <c r="A25" s="444" t="s">
        <v>105</v>
      </c>
      <c r="B25" s="445">
        <f t="shared" ca="1" si="2"/>
        <v>129.23389401262239</v>
      </c>
      <c r="C25" s="445">
        <f t="shared" ca="1" si="3"/>
        <v>0</v>
      </c>
      <c r="D25" s="445">
        <f t="shared" si="4"/>
        <v>13.464970041313848</v>
      </c>
      <c r="E25" s="445">
        <f t="shared" si="5"/>
        <v>5.9050062517719253</v>
      </c>
      <c r="F25" s="445">
        <f t="shared" si="6"/>
        <v>748.75389799206164</v>
      </c>
      <c r="G25" s="445">
        <f t="shared" si="7"/>
        <v>0</v>
      </c>
      <c r="H25" s="445">
        <f t="shared" si="8"/>
        <v>0</v>
      </c>
      <c r="I25" s="445">
        <f t="shared" si="9"/>
        <v>0</v>
      </c>
      <c r="J25" s="445">
        <f t="shared" si="10"/>
        <v>78.770417653721012</v>
      </c>
      <c r="K25" s="445">
        <f t="shared" si="11"/>
        <v>0</v>
      </c>
      <c r="L25" s="445">
        <f t="shared" si="12"/>
        <v>0</v>
      </c>
      <c r="M25" s="445">
        <f t="shared" si="13"/>
        <v>0</v>
      </c>
      <c r="N25" s="445">
        <f t="shared" si="14"/>
        <v>0</v>
      </c>
      <c r="O25" s="445">
        <f t="shared" si="15"/>
        <v>0</v>
      </c>
      <c r="P25" s="446">
        <f t="shared" si="16"/>
        <v>0</v>
      </c>
      <c r="Q25" s="444">
        <f t="shared" ca="1" si="17"/>
        <v>976.12818595149076</v>
      </c>
    </row>
    <row r="26" spans="1:17">
      <c r="A26" s="444" t="s">
        <v>587</v>
      </c>
      <c r="B26" s="445">
        <f t="shared" ca="1" si="2"/>
        <v>4828.7177203532383</v>
      </c>
      <c r="C26" s="445">
        <f t="shared" ca="1" si="3"/>
        <v>0</v>
      </c>
      <c r="D26" s="445">
        <f t="shared" si="4"/>
        <v>2097.130459569179</v>
      </c>
      <c r="E26" s="445">
        <f t="shared" si="5"/>
        <v>138.22143939790203</v>
      </c>
      <c r="F26" s="445">
        <f t="shared" si="6"/>
        <v>1034.198167134035</v>
      </c>
      <c r="G26" s="445">
        <f t="shared" si="7"/>
        <v>0</v>
      </c>
      <c r="H26" s="445">
        <f t="shared" si="8"/>
        <v>0</v>
      </c>
      <c r="I26" s="445">
        <f t="shared" si="9"/>
        <v>0</v>
      </c>
      <c r="J26" s="445">
        <f t="shared" si="10"/>
        <v>0.39262335960765909</v>
      </c>
      <c r="K26" s="445">
        <f t="shared" si="11"/>
        <v>0</v>
      </c>
      <c r="L26" s="445">
        <f t="shared" si="12"/>
        <v>0</v>
      </c>
      <c r="M26" s="445">
        <f t="shared" si="13"/>
        <v>0</v>
      </c>
      <c r="N26" s="445">
        <f t="shared" si="14"/>
        <v>0</v>
      </c>
      <c r="O26" s="445">
        <f t="shared" si="15"/>
        <v>0</v>
      </c>
      <c r="P26" s="446">
        <f t="shared" si="16"/>
        <v>0</v>
      </c>
      <c r="Q26" s="444">
        <f t="shared" ca="1" si="17"/>
        <v>8098.6604098139624</v>
      </c>
    </row>
    <row r="27" spans="1:17" s="450" customFormat="1">
      <c r="A27" s="448" t="s">
        <v>536</v>
      </c>
      <c r="B27" s="731">
        <f t="shared" ca="1" si="2"/>
        <v>9.4707441184037844</v>
      </c>
      <c r="C27" s="449">
        <f t="shared" ca="1" si="3"/>
        <v>0</v>
      </c>
      <c r="D27" s="449">
        <f t="shared" si="4"/>
        <v>24.389426571337079</v>
      </c>
      <c r="E27" s="449">
        <f t="shared" si="5"/>
        <v>14.862294869314425</v>
      </c>
      <c r="F27" s="449">
        <f t="shared" si="6"/>
        <v>0</v>
      </c>
      <c r="G27" s="449">
        <f t="shared" si="7"/>
        <v>6882.7000530289415</v>
      </c>
      <c r="H27" s="449">
        <f t="shared" si="8"/>
        <v>1975.4819710202905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8906.9044896082869</v>
      </c>
    </row>
    <row r="28" spans="1:17" ht="16.5" customHeight="1">
      <c r="A28" s="444" t="s">
        <v>526</v>
      </c>
      <c r="B28" s="445">
        <f t="shared" ca="1" si="2"/>
        <v>0.80383458649944461</v>
      </c>
      <c r="C28" s="445">
        <f t="shared" ca="1" si="3"/>
        <v>0</v>
      </c>
      <c r="D28" s="445">
        <f t="shared" si="4"/>
        <v>0</v>
      </c>
      <c r="E28" s="445">
        <f t="shared" si="5"/>
        <v>0</v>
      </c>
      <c r="F28" s="445">
        <f t="shared" si="6"/>
        <v>0</v>
      </c>
      <c r="G28" s="445">
        <f t="shared" si="7"/>
        <v>104.59055794124666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105.39439252774611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61.342726908542019</v>
      </c>
      <c r="C32" s="445">
        <f t="shared" ca="1" si="3"/>
        <v>0</v>
      </c>
      <c r="D32" s="445">
        <f t="shared" si="4"/>
        <v>172.36008625478755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233.70281316332955</v>
      </c>
    </row>
    <row r="33" spans="1:17" s="456" customFormat="1">
      <c r="A33" s="454" t="s">
        <v>530</v>
      </c>
      <c r="B33" s="455">
        <f ca="1">SUM(B22:B32)</f>
        <v>10652.530412733717</v>
      </c>
      <c r="C33" s="455">
        <f t="shared" ref="C33:Q33" ca="1" si="19">SUM(C22:C32)</f>
        <v>0</v>
      </c>
      <c r="D33" s="455">
        <f t="shared" ca="1" si="19"/>
        <v>15403.262214510767</v>
      </c>
      <c r="E33" s="455">
        <f t="shared" si="19"/>
        <v>503.49925281426783</v>
      </c>
      <c r="F33" s="455">
        <f t="shared" ca="1" si="19"/>
        <v>10860.96614064327</v>
      </c>
      <c r="G33" s="455">
        <f t="shared" si="19"/>
        <v>6987.290610970188</v>
      </c>
      <c r="H33" s="455">
        <f t="shared" si="19"/>
        <v>1975.4819710202905</v>
      </c>
      <c r="I33" s="455">
        <f t="shared" si="19"/>
        <v>0</v>
      </c>
      <c r="J33" s="455">
        <f t="shared" si="19"/>
        <v>121.57967899460054</v>
      </c>
      <c r="K33" s="455">
        <f t="shared" si="19"/>
        <v>0</v>
      </c>
      <c r="L33" s="455">
        <f t="shared" ca="1" si="19"/>
        <v>0</v>
      </c>
      <c r="M33" s="455">
        <f t="shared" si="19"/>
        <v>0</v>
      </c>
      <c r="N33" s="455">
        <f t="shared" ca="1" si="19"/>
        <v>0</v>
      </c>
      <c r="O33" s="455">
        <f t="shared" si="19"/>
        <v>0</v>
      </c>
      <c r="P33" s="455">
        <f t="shared" si="19"/>
        <v>0</v>
      </c>
      <c r="Q33" s="455">
        <f t="shared" ca="1" si="19"/>
        <v>46504.610281687099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17904.697086048818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6621.8222526085065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24526.519338657323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0.14647079942781119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0.14647079942781119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2022-07-26T09:40:43Z</dcterms:modified>
</cp:coreProperties>
</file>