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F4A88C8-69F7-493C-B4C3-437E5D6084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<sst xmlns="http://schemas.openxmlformats.org/spreadsheetml/2006/main" count="2382" uniqueCount="867">
  <si>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</si>
  <si>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</si>
  <si>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</si>
  <si>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</si>
  <si>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</si>
  <si>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</si>
  <si>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</si>
  <si>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</si>
  <si>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</si>
  <si>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</si>
  <si>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</si>
  <si>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</si>
  <si>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</si>
  <si>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</si>
  <si>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</si>
  <si>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</si>
  <si>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</si>
  <si>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</si>
  <si>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</si>
  <si>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</si>
  <si>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</si>
  <si>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</si>
  <si>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</si>
  <si>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</si>
  <si>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</si>
  <si>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</si>
  <si>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</si>
  <si>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</si>
  <si>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</si>
  <si>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</si>
  <si>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</si>
  <si>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</si>
  <si>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</si>
  <si>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</si>
  <si>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</si>
  <si>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</si>
  <si>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</si>
  <si>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</si>
  <si>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</si>
  <si>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</si>
  <si>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</si>
  <si>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</si>
  <si>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</si>
  <si>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</si>
  <si>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</si>
  <si>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</si>
  <si>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</si>
  <si>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</si>
  <si>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</si>
  <si>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</si>
  <si>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</si>
  <si>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</si>
  <si>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</si>
  <si>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</si>
  <si>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</si>
  <si>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</si>
  <si>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</si>
  <si>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</si>
  <si>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</si>
  <si>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</si>
  <si>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</si>
  <si>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</si>
  <si>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</si>
  <si>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</si>
  <si>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</si>
  <si>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</si>
  <si>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</si>
  <si>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</si>
  <si>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</si>
  <si>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</si>
  <si>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</si>
  <si>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</si>
  <si>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</si>
  <si>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</si>
  <si>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</si>
  <si>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</si>
  <si>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</si>
  <si>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</si>
  <si>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</si>
  <si>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</si>
  <si>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</si>
  <si>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</si>
  <si>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</si>
  <si>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</si>
  <si>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</si>
  <si>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</si>
  <si>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</si>
  <si>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</si>
  <si>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</si>
  <si>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</si>
  <si>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</si>
  <si>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</si>
  <si>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</si>
  <si>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</si>
  <si>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</si>
  <si>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</si>
  <si>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</si>
  <si>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</si>
  <si>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</si>
  <si>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</si>
  <si>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</si>
  <si>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</si>
  <si>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</si>
  <si>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</si>
  <si>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</si>
  <si>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</si>
  <si>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</si>
  <si>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</si>
  <si>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</si>
  <si>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</si>
  <si>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</si>
  <si>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</si>
  <si>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</si>
  <si>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</si>
  <si>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</si>
  <si>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</si>
  <si>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</si>
  <si>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</si>
  <si>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</si>
  <si>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</si>
  <si>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</si>
  <si>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</si>
  <si>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</si>
  <si>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</si>
  <si>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</si>
  <si>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</si>
  <si>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</si>
  <si>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</si>
  <si>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</si>
  <si>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</si>
  <si>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</si>
  <si>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</si>
  <si>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</si>
  <si>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</si>
  <si>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</si>
  <si>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</si>
  <si>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</si>
  <si>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</si>
  <si>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</si>
  <si>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</si>
  <si>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</si>
  <si>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</si>
  <si>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</si>
  <si>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</si>
  <si>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</si>
  <si>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</si>
  <si>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</si>
  <si>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</si>
  <si>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</si>
  <si>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</si>
  <si>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</si>
  <si>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</si>
  <si>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</si>
  <si>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</si>
  <si>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</si>
  <si>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</si>
  <si>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</si>
  <si>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</si>
  <si>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</si>
  <si>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</si>
  <si>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</si>
  <si>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</si>
  <si>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</si>
  <si>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</si>
  <si>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</si>
  <si>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</si>
  <si>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</si>
  <si>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</si>
  <si>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</si>
  <si>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</si>
  <si>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</si>
  <si>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</si>
  <si>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</si>
  <si>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</si>
  <si>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</si>
  <si>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</si>
  <si>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</si>
  <si>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</si>
  <si>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</si>
  <si>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</si>
  <si>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</si>
  <si>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</si>
  <si>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</si>
  <si>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</si>
  <si>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</si>
  <si>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</si>
  <si>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</si>
  <si>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</si>
  <si>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</si>
  <si>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</si>
  <si>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</si>
  <si>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</si>
  <si>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</si>
  <si>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</si>
  <si>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</si>
  <si>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</si>
  <si>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</si>
  <si>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</si>
  <si>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</si>
  <si>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</si>
  <si>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</si>
  <si>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</si>
  <si>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</si>
  <si>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</si>
  <si>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</si>
  <si>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</si>
  <si>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</si>
  <si>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</si>
  <si>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</si>
  <si>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</si>
  <si>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</si>
  <si>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</si>
  <si>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</si>
  <si>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</si>
  <si>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</si>
  <si>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</si>
  <si>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</si>
  <si>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</si>
  <si>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</si>
  <si>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</si>
  <si>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</si>
  <si>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</si>
  <si>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</si>
  <si>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</si>
  <si>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</si>
  <si>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</si>
  <si>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</si>
  <si>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</si>
  <si>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</si>
  <si>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</si>
  <si>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</si>
  <si>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</si>
  <si>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</si>
  <si>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</si>
  <si>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</si>
  <si>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</si>
  <si>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</si>
  <si>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</si>
  <si>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</si>
  <si>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</si>
  <si>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</si>
  <si>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</si>
  <si>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</si>
  <si>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</si>
  <si>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</si>
  <si>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</si>
  <si>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</si>
  <si>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</si>
  <si>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</si>
  <si>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</si>
  <si>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</si>
  <si>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</si>
  <si>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</si>
  <si>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</si>
  <si>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</si>
  <si>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</si>
  <si>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</si>
  <si>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</si>
  <si>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</si>
  <si>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</si>
  <si>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</si>
  <si>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</si>
  <si>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</si>
  <si>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</si>
  <si>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</si>
  <si>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</si>
  <si>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</si>
  <si>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</si>
  <si>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</si>
  <si>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</si>
  <si>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</si>
  <si>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</si>
  <si>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</si>
  <si>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</si>
  <si>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</si>
  <si>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</si>
  <si>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</si>
  <si>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</si>
  <si>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</si>
  <si>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</si>
  <si>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</si>
  <si>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</si>
  <si>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</si>
  <si>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</si>
  <si>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</si>
  <si>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</si>
  <si>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</si>
  <si>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</si>
  <si>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</si>
  <si>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</si>
  <si>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</si>
  <si>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</si>
  <si>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</si>
  <si>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</si>
  <si>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</si>
  <si>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</si>
  <si>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</si>
  <si>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</si>
  <si>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</si>
  <si>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</si>
  <si>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</si>
  <si>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</si>
  <si>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</si>
  <si>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</si>
  <si>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</si>
  <si>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</si>
  <si>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</si>
  <si>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</si>
  <si>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</si>
  <si>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</si>
  <si>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</si>
  <si>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</si>
  <si>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</si>
  <si>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</si>
  <si>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</si>
  <si>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</si>
  <si>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</si>
  <si>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</si>
  <si>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</si>
  <si>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</si>
  <si>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</si>
  <si>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</si>
  <si>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</si>
  <si>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</si>
  <si>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</si>
  <si>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</si>
  <si>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</si>
  <si>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</si>
  <si>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</si>
  <si>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</si>
  <si>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</si>
  <si>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</si>
  <si>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</si>
  <si>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</si>
  <si>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</si>
  <si>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</si>
  <si>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</si>
  <si>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</si>
  <si>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</si>
  <si>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</si>
  <si>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</si>
  <si>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</si>
  <si>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</si>
  <si>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</si>
  <si>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</si>
  <si>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</si>
  <si>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</si>
  <si>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</si>
  <si>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</si>
  <si>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</si>
  <si>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</si>
  <si>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</si>
  <si>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</si>
  <si>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</si>
  <si>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</si>
  <si>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</si>
  <si>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</si>
  <si>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</si>
  <si>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</si>
  <si>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</si>
  <si>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</si>
  <si>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</si>
  <si>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</si>
  <si>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</si>
  <si>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</si>
  <si>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</si>
  <si>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</si>
  <si>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</si>
  <si>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</si>
  <si>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</si>
  <si>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</si>
  <si>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</si>
  <si>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</si>
  <si>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</si>
  <si>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</si>
  <si>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</si>
  <si>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</si>
  <si>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</si>
  <si>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</si>
  <si>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</si>
  <si>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</si>
  <si>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</si>
  <si>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</si>
  <si>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</si>
  <si>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</si>
  <si>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</si>
  <si>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</si>
  <si>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</si>
  <si>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</si>
  <si>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</si>
  <si>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</si>
  <si>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</si>
  <si>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</si>
  <si>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</si>
  <si>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</si>
  <si>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</si>
  <si>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</si>
  <si>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</si>
  <si>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</si>
  <si>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</si>
  <si>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</si>
  <si>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</si>
  <si>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</si>
  <si>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</si>
  <si>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</si>
  <si>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</si>
  <si>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</si>
  <si>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</si>
  <si>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</si>
  <si>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</si>
  <si>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</si>
  <si>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</si>
  <si>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</si>
  <si>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</si>
  <si>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</si>
  <si>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</si>
  <si>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</si>
  <si>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</si>
  <si>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</si>
  <si>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</si>
  <si>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</si>
  <si>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</si>
  <si>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</si>
  <si>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</si>
  <si>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</si>
  <si>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</si>
  <si>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</si>
  <si>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</si>
  <si>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</si>
  <si>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</si>
  <si>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</si>
  <si>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</si>
  <si>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</si>
  <si>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</si>
  <si>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</si>
  <si>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</si>
  <si>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</si>
  <si>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</si>
  <si>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</si>
  <si>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</si>
  <si>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</si>
  <si>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</si>
  <si>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</si>
  <si>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</si>
  <si>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</si>
  <si>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</si>
  <si>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</si>
  <si>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</si>
  <si>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</si>
  <si>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</si>
  <si>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</si>
  <si>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</si>
  <si>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</si>
  <si>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</si>
  <si>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</si>
  <si>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</si>
  <si>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</si>
  <si>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</si>
  <si>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</si>
  <si>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</si>
  <si>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</si>
  <si>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</si>
  <si>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</si>
  <si>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</si>
  <si>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</si>
  <si>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</si>
  <si>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</si>
  <si>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</si>
  <si>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</si>
  <si>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</si>
  <si>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</si>
  <si>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</si>
  <si>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</si>
  <si>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</si>
  <si>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</si>
  <si>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</si>
  <si>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</si>
  <si>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</si>
  <si>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</si>
  <si>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</si>
  <si>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</si>
  <si>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</si>
  <si>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</si>
  <si>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</si>
  <si>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</si>
  <si>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</si>
  <si>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</si>
  <si>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</si>
  <si>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</si>
  <si>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</si>
  <si>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</si>
  <si>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</si>
  <si>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</si>
  <si>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</si>
  <si>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</si>
  <si>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</si>
  <si>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</si>
  <si>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</si>
  <si>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</si>
  <si>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</si>
  <si>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</si>
  <si>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</si>
  <si>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</si>
  <si>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</si>
  <si>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</si>
  <si>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</si>
  <si>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</si>
  <si>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</si>
  <si>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</si>
  <si>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</si>
  <si>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</si>
  <si>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</si>
  <si>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</si>
  <si>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</si>
  <si>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</si>
  <si>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</si>
  <si>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</si>
  <si>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</si>
  <si>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</si>
  <si>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</si>
  <si>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</si>
  <si>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</si>
  <si>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</si>
  <si>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</si>
  <si>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</si>
  <si>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</si>
  <si>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</si>
  <si>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</si>
  <si>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</si>
  <si>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</si>
  <si>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</si>
  <si>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</si>
  <si>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</si>
  <si>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</si>
  <si>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</si>
  <si>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</si>
  <si>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</si>
  <si>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</si>
  <si>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</si>
  <si>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</si>
  <si>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</si>
  <si>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</si>
  <si>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</si>
  <si>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</si>
  <si>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</si>
  <si>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</si>
  <si>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</si>
  <si>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</si>
  <si>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</si>
  <si>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</si>
  <si>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</si>
  <si>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</si>
  <si>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</si>
  <si>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</si>
  <si>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</si>
  <si>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</si>
  <si>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</si>
  <si>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</si>
  <si>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</si>
  <si>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</si>
  <si>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</si>
  <si>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</si>
  <si>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</si>
  <si>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</si>
  <si>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</si>
  <si>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</si>
  <si>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</si>
  <si>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</si>
  <si>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</si>
  <si>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</si>
  <si>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</si>
  <si>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</si>
  <si>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</si>
  <si>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</si>
  <si>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</si>
  <si>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</si>
  <si>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</si>
  <si>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</si>
  <si>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</si>
  <si>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</si>
  <si>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</si>
  <si>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</si>
  <si>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</si>
  <si>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</si>
  <si>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</si>
  <si>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</si>
  <si>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</si>
  <si>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</si>
  <si>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</si>
  <si>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</si>
  <si>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</si>
  <si>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</si>
  <si>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</si>
  <si>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</si>
  <si>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</si>
  <si>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</si>
  <si>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</si>
  <si>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</si>
  <si>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</si>
  <si>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</si>
  <si>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</si>
  <si>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</si>
  <si>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</si>
  <si>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</si>
  <si>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</si>
  <si>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</si>
  <si>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</si>
  <si>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</si>
  <si>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</si>
  <si>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</si>
  <si>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</si>
  <si>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</si>
  <si>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</si>
  <si>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</si>
  <si>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</si>
  <si>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</si>
  <si>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</si>
  <si>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</si>
  <si>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</si>
  <si>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</si>
  <si>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</si>
  <si>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</si>
  <si>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</si>
  <si>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</si>
  <si>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</si>
  <si>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</si>
  <si>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</si>
  <si>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</si>
  <si>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</si>
  <si>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</si>
  <si>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</si>
  <si>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</si>
  <si>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</si>
  <si>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</si>
  <si>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</si>
  <si>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</si>
  <si>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</si>
  <si>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</si>
  <si>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</si>
  <si>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</si>
  <si>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</si>
  <si>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</si>
  <si>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</si>
  <si>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</si>
  <si>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</si>
  <si>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</si>
  <si>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</si>
  <si>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</si>
  <si>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</si>
  <si>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</si>
  <si>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</si>
  <si>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</si>
  <si>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</si>
  <si>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</si>
  <si>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</si>
  <si>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</si>
  <si>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</si>
  <si>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</si>
  <si>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</si>
  <si>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</si>
  <si>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</si>
  <si>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</si>
  <si>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</si>
  <si>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</si>
  <si>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</si>
  <si>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</si>
  <si>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</si>
  <si>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</si>
  <si>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</si>
  <si>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</si>
  <si>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</si>
  <si>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</si>
  <si>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</si>
  <si>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</si>
  <si>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</si>
  <si>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</si>
  <si>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</si>
  <si>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</si>
  <si>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</si>
  <si>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</si>
  <si>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</si>
  <si>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</si>
  <si>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</si>
  <si>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</si>
  <si>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</si>
  <si>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</si>
  <si>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</si>
  <si>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</si>
  <si>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</si>
  <si>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</si>
  <si>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</si>
  <si>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</si>
  <si>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</si>
  <si>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</si>
  <si>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</si>
  <si>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</si>
  <si>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</si>
  <si>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</si>
  <si>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</si>
  <si>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</si>
  <si>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</si>
  <si>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</si>
  <si>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</si>
  <si>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</si>
  <si>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</si>
  <si>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</si>
  <si>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</si>
  <si>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</si>
  <si>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</si>
  <si>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</si>
  <si>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</si>
  <si>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</si>
  <si>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</si>
  <si>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</si>
  <si>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</si>
  <si>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</si>
  <si>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</si>
  <si>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</si>
  <si>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</si>
  <si>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</si>
  <si>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</si>
  <si>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</si>
  <si>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</si>
  <si>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</si>
  <si>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</si>
  <si>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</si>
  <si>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</si>
  <si>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</si>
  <si>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</si>
  <si>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</si>
  <si>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</si>
  <si>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</si>
  <si>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</si>
  <si>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</si>
  <si>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</si>
  <si>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</si>
  <si>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</si>
  <si>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</si>
  <si>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</si>
  <si>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</si>
  <si>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</si>
  <si>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</si>
  <si>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</si>
  <si>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</si>
  <si>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</si>
  <si>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</si>
  <si>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</si>
  <si>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</si>
  <si>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</si>
  <si>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</si>
  <si>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</si>
  <si>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</si>
  <si>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</si>
  <si>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</si>
  <si>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</si>
  <si>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</si>
  <si>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</si>
  <si>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</si>
  <si>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</si>
  <si>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</si>
  <si>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</si>
  <si>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</si>
  <si>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</si>
  <si>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</si>
  <si>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</si>
  <si>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</si>
  <si>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</si>
  <si>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</si>
  <si>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</si>
  <si>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</si>
  <si>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</si>
  <si>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</si>
  <si>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</si>
  <si>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</si>
  <si>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</si>
  <si>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</si>
  <si>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</si>
  <si>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</si>
  <si>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</si>
  <si>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</si>
  <si>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</si>
  <si>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</si>
  <si>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</si>
  <si>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</si>
  <si>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</si>
  <si>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</si>
  <si>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</si>
  <si>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</si>
  <si>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</si>
  <si>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</si>
  <si>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</si>
  <si>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</si>
  <si>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</si>
  <si>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</si>
  <si>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</si>
  <si>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</si>
  <si>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</si>
  <si>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</si>
  <si>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</si>
  <si>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</si>
  <si>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</si>
  <si>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</si>
  <si>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</si>
  <si>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</si>
  <si>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</si>
  <si>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</si>
  <si>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</si>
  <si>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</si>
  <si>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</si>
  <si>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</si>
  <si>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</si>
  <si>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</si>
  <si>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</si>
  <si>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</si>
  <si>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</si>
  <si>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</si>
  <si>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</si>
  <si>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</si>
  <si>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</si>
  <si>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</si>
  <si>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</si>
  <si>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</si>
  <si>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</si>
  <si>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</si>
  <si>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</si>
  <si>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</si>
  <si>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</si>
  <si>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</si>
  <si>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</si>
  <si>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</si>
  <si>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</si>
  <si>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</si>
  <si>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</si>
  <si>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</si>
  <si>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</si>
  <si>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</si>
  <si>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</si>
  <si>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</si>
  <si>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</si>
  <si>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</si>
  <si>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</si>
  <si>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</si>
  <si>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</si>
  <si>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</si>
  <si>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</si>
  <si>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</si>
  <si>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</si>
  <si>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</si>
  <si>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</si>
  <si>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</si>
  <si>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</si>
  <si>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</si>
  <si>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</si>
  <si>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</si>
  <si>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</si>
  <si>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</si>
  <si>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</si>
  <si>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11057</t>
  </si>
  <si>
    <t>MALLE</t>
  </si>
  <si>
    <t>waterkracht</t>
  </si>
  <si>
    <t>vloeibaar gas (MWh)</t>
  </si>
  <si>
    <t>interne verbrandingsmotor</t>
  </si>
  <si>
    <t>WKK interne verbrandinsgmotor (gas)</t>
  </si>
  <si>
    <t>IVEKA</t>
  </si>
  <si>
    <t>biogas - hoofdzakelijk agrarische stromen</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</si>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</sst>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BB4DE79-1DC2-4DBD-B8C8-CF5957D6BA3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130089.72297202423</c:v>
                </c:pt>
                <c:pt idx="1">
                  <c:v>104550.55082836527</c:v>
                </c:pt>
                <c:pt idx="2">
                  <c:v>531.67600000000004</c:v>
                </c:pt>
                <c:pt idx="3">
                  <c:v>13814.898851620323</c:v>
                </c:pt>
                <c:pt idx="4">
                  <c:v>96596.135127933681</c:v>
                </c:pt>
                <c:pt idx="5">
                  <c:v>96834.076330458367</c:v>
                </c:pt>
                <c:pt idx="6">
                  <c:v>2709.6506752011842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130089.72297202423</c:v>
                </c:pt>
                <c:pt idx="1">
                  <c:v>104550.55082836527</c:v>
                </c:pt>
                <c:pt idx="2">
                  <c:v>531.67600000000004</c:v>
                </c:pt>
                <c:pt idx="3">
                  <c:v>13814.898851620323</c:v>
                </c:pt>
                <c:pt idx="4">
                  <c:v>96596.135127933681</c:v>
                </c:pt>
                <c:pt idx="5">
                  <c:v>96834.076330458367</c:v>
                </c:pt>
                <c:pt idx="6">
                  <c:v>2709.6506752011842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24133.675924586689</c:v>
                </c:pt>
                <c:pt idx="1">
                  <c:v>14235.685052757164</c:v>
                </c:pt>
                <c:pt idx="2">
                  <c:v>71.897626225667238</c:v>
                </c:pt>
                <c:pt idx="3">
                  <c:v>3167.0694777635363</c:v>
                </c:pt>
                <c:pt idx="4">
                  <c:v>16348.006340881338</c:v>
                </c:pt>
                <c:pt idx="5">
                  <c:v>24046.599645833747</c:v>
                </c:pt>
                <c:pt idx="6">
                  <c:v>681.43550939144484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24133.675924586689</c:v>
                </c:pt>
                <c:pt idx="1">
                  <c:v>14235.685052757164</c:v>
                </c:pt>
                <c:pt idx="2">
                  <c:v>71.897626225667238</c:v>
                </c:pt>
                <c:pt idx="3">
                  <c:v>3167.0694777635363</c:v>
                </c:pt>
                <c:pt idx="4">
                  <c:v>16348.006340881338</c:v>
                </c:pt>
                <c:pt idx="5">
                  <c:v>24046.599645833747</c:v>
                </c:pt>
                <c:pt idx="6">
                  <c:v>681.43550939144484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11057</v>
      </c>
      <c r="B6" s="382"/>
      <c r="C6" s="383"/>
    </row>
    <row r="7" spans="1:7" s="380" customFormat="1" ht="15.75" customHeight="1">
      <c r="A7" s="384" t="str">
        <f>txtMunicipality</f>
        <v>MALLE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0.1352282710253373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0.1352282710253373</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6186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2340.7199999999998</v>
      </c>
      <c r="C14" s="324"/>
      <c r="D14" s="324"/>
      <c r="E14" s="324"/>
      <c r="F14" s="324"/>
    </row>
    <row r="15" spans="1:6">
      <c r="A15" s="1264" t="s">
        <v>177</v>
      </c>
      <c r="B15" s="1265">
        <v>808</v>
      </c>
      <c r="C15" s="324"/>
      <c r="D15" s="324"/>
      <c r="E15" s="324"/>
      <c r="F15" s="324"/>
    </row>
    <row r="16" spans="1:6">
      <c r="A16" s="1264" t="s">
        <v>6</v>
      </c>
      <c r="B16" s="1265">
        <v>2241</v>
      </c>
      <c r="C16" s="324"/>
      <c r="D16" s="324"/>
      <c r="E16" s="324"/>
      <c r="F16" s="324"/>
    </row>
    <row r="17" spans="1:6">
      <c r="A17" s="1264" t="s">
        <v>7</v>
      </c>
      <c r="B17" s="1265">
        <v>428</v>
      </c>
      <c r="C17" s="324"/>
      <c r="D17" s="324"/>
      <c r="E17" s="324"/>
      <c r="F17" s="324"/>
    </row>
    <row r="18" spans="1:6">
      <c r="A18" s="1264" t="s">
        <v>8</v>
      </c>
      <c r="B18" s="1265">
        <v>1325</v>
      </c>
      <c r="C18" s="324"/>
      <c r="D18" s="324"/>
      <c r="E18" s="324"/>
      <c r="F18" s="324"/>
    </row>
    <row r="19" spans="1:6">
      <c r="A19" s="1264" t="s">
        <v>9</v>
      </c>
      <c r="B19" s="1265">
        <v>1277</v>
      </c>
      <c r="C19" s="324"/>
      <c r="D19" s="324"/>
      <c r="E19" s="324"/>
      <c r="F19" s="324"/>
    </row>
    <row r="20" spans="1:6">
      <c r="A20" s="1264" t="s">
        <v>10</v>
      </c>
      <c r="B20" s="1265">
        <v>930</v>
      </c>
      <c r="C20" s="324"/>
      <c r="D20" s="324"/>
      <c r="E20" s="324"/>
      <c r="F20" s="324"/>
    </row>
    <row r="21" spans="1:6">
      <c r="A21" s="1264" t="s">
        <v>11</v>
      </c>
      <c r="B21" s="1265">
        <v>1033</v>
      </c>
      <c r="C21" s="324"/>
      <c r="D21" s="324"/>
      <c r="E21" s="324"/>
      <c r="F21" s="324"/>
    </row>
    <row r="22" spans="1:6">
      <c r="A22" s="1264" t="s">
        <v>12</v>
      </c>
      <c r="B22" s="1265">
        <v>6656</v>
      </c>
      <c r="C22" s="324"/>
      <c r="D22" s="324"/>
      <c r="E22" s="324"/>
      <c r="F22" s="324"/>
    </row>
    <row r="23" spans="1:6">
      <c r="A23" s="1264" t="s">
        <v>13</v>
      </c>
      <c r="B23" s="1265">
        <v>126</v>
      </c>
      <c r="C23" s="324"/>
      <c r="D23" s="324"/>
      <c r="E23" s="324"/>
      <c r="F23" s="324"/>
    </row>
    <row r="24" spans="1:6">
      <c r="A24" s="1264" t="s">
        <v>14</v>
      </c>
      <c r="B24" s="1265">
        <v>5</v>
      </c>
      <c r="C24" s="324"/>
      <c r="D24" s="324"/>
      <c r="E24" s="324"/>
      <c r="F24" s="324"/>
    </row>
    <row r="25" spans="1:6">
      <c r="A25" s="1264" t="s">
        <v>15</v>
      </c>
      <c r="B25" s="1265">
        <v>473</v>
      </c>
      <c r="C25" s="324"/>
      <c r="D25" s="324"/>
      <c r="E25" s="324"/>
      <c r="F25" s="324"/>
    </row>
    <row r="26" spans="1:6">
      <c r="A26" s="1264" t="s">
        <v>16</v>
      </c>
      <c r="B26" s="1265">
        <v>171</v>
      </c>
      <c r="C26" s="324"/>
      <c r="D26" s="324"/>
      <c r="E26" s="324"/>
      <c r="F26" s="324"/>
    </row>
    <row r="27" spans="1:6">
      <c r="A27" s="1264" t="s">
        <v>17</v>
      </c>
      <c r="B27" s="1265">
        <v>27</v>
      </c>
      <c r="C27" s="324"/>
      <c r="D27" s="324"/>
      <c r="E27" s="324"/>
      <c r="F27" s="324"/>
    </row>
    <row r="28" spans="1:6">
      <c r="A28" s="1264" t="s">
        <v>18</v>
      </c>
      <c r="B28" s="1266">
        <v>147104</v>
      </c>
      <c r="C28" s="324"/>
      <c r="D28" s="324"/>
      <c r="E28" s="324"/>
      <c r="F28" s="324"/>
    </row>
    <row r="29" spans="1:6">
      <c r="A29" s="1264" t="s">
        <v>657</v>
      </c>
      <c r="B29" s="1266">
        <v>242</v>
      </c>
      <c r="C29" s="324"/>
      <c r="D29" s="324"/>
      <c r="E29" s="324"/>
      <c r="F29" s="324"/>
    </row>
    <row r="30" spans="1:6">
      <c r="A30" s="1259" t="s">
        <v>658</v>
      </c>
      <c r="B30" s="1267">
        <v>74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49652.491778339601</v>
      </c>
    </row>
    <row r="37" spans="1:6">
      <c r="A37" s="1264" t="s">
        <v>24</v>
      </c>
      <c r="B37" s="1264" t="s">
        <v>27</v>
      </c>
      <c r="C37" s="1265">
        <v>0</v>
      </c>
      <c r="D37" s="1265">
        <v>0</v>
      </c>
      <c r="E37" s="1265">
        <v>0</v>
      </c>
      <c r="F37" s="1265">
        <v>0</v>
      </c>
    </row>
    <row r="38" spans="1:6">
      <c r="A38" s="1264" t="s">
        <v>24</v>
      </c>
      <c r="B38" s="1264" t="s">
        <v>28</v>
      </c>
      <c r="C38" s="1265">
        <v>1</v>
      </c>
      <c r="D38" s="1265">
        <v>77610.139386163195</v>
      </c>
      <c r="E38" s="1265">
        <v>1</v>
      </c>
      <c r="F38" s="1265">
        <v>8272.2960629100999</v>
      </c>
    </row>
    <row r="39" spans="1:6">
      <c r="A39" s="1264" t="s">
        <v>29</v>
      </c>
      <c r="B39" s="1264" t="s">
        <v>30</v>
      </c>
      <c r="C39" s="1265">
        <v>4661</v>
      </c>
      <c r="D39" s="1265">
        <v>78426226.182561904</v>
      </c>
      <c r="E39" s="1265">
        <v>5995</v>
      </c>
      <c r="F39" s="1265">
        <v>22858398.532692999</v>
      </c>
    </row>
    <row r="40" spans="1:6">
      <c r="A40" s="1264" t="s">
        <v>29</v>
      </c>
      <c r="B40" s="1264" t="s">
        <v>28</v>
      </c>
      <c r="C40" s="1265">
        <v>1</v>
      </c>
      <c r="D40" s="1265">
        <v>64693.954096021203</v>
      </c>
      <c r="E40" s="1265">
        <v>0</v>
      </c>
      <c r="F40" s="1265">
        <v>0</v>
      </c>
    </row>
    <row r="41" spans="1:6">
      <c r="A41" s="1264" t="s">
        <v>31</v>
      </c>
      <c r="B41" s="1264" t="s">
        <v>32</v>
      </c>
      <c r="C41" s="1265">
        <v>85</v>
      </c>
      <c r="D41" s="1265">
        <v>2713735.0268107802</v>
      </c>
      <c r="E41" s="1265">
        <v>209</v>
      </c>
      <c r="F41" s="1265">
        <v>9310616.2302357592</v>
      </c>
    </row>
    <row r="42" spans="1:6">
      <c r="A42" s="1264" t="s">
        <v>31</v>
      </c>
      <c r="B42" s="1264" t="s">
        <v>33</v>
      </c>
      <c r="C42" s="1265">
        <v>0</v>
      </c>
      <c r="D42" s="1265">
        <v>0</v>
      </c>
      <c r="E42" s="1265">
        <v>5</v>
      </c>
      <c r="F42" s="1265">
        <v>268673.78806425602</v>
      </c>
    </row>
    <row r="43" spans="1:6">
      <c r="A43" s="1264" t="s">
        <v>31</v>
      </c>
      <c r="B43" s="1264" t="s">
        <v>34</v>
      </c>
      <c r="C43" s="1265">
        <v>0</v>
      </c>
      <c r="D43" s="1265">
        <v>0</v>
      </c>
      <c r="E43" s="1265">
        <v>0</v>
      </c>
      <c r="F43" s="1265">
        <v>0</v>
      </c>
    </row>
    <row r="44" spans="1:6">
      <c r="A44" s="1264" t="s">
        <v>31</v>
      </c>
      <c r="B44" s="1264" t="s">
        <v>35</v>
      </c>
      <c r="C44" s="1265">
        <v>17</v>
      </c>
      <c r="D44" s="1265">
        <v>4910380.3447022401</v>
      </c>
      <c r="E44" s="1265">
        <v>34</v>
      </c>
      <c r="F44" s="1265">
        <v>14626745.058148099</v>
      </c>
    </row>
    <row r="45" spans="1:6">
      <c r="A45" s="1264" t="s">
        <v>31</v>
      </c>
      <c r="B45" s="1264" t="s">
        <v>36</v>
      </c>
      <c r="C45" s="1265">
        <v>3</v>
      </c>
      <c r="D45" s="1265">
        <v>25537602.076474201</v>
      </c>
      <c r="E45" s="1265">
        <v>6</v>
      </c>
      <c r="F45" s="1265">
        <v>4227549.1575080696</v>
      </c>
    </row>
    <row r="46" spans="1:6">
      <c r="A46" s="1264" t="s">
        <v>31</v>
      </c>
      <c r="B46" s="1264" t="s">
        <v>37</v>
      </c>
      <c r="C46" s="1265">
        <v>0</v>
      </c>
      <c r="D46" s="1265">
        <v>0</v>
      </c>
      <c r="E46" s="1265">
        <v>0</v>
      </c>
      <c r="F46" s="1265">
        <v>0</v>
      </c>
    </row>
    <row r="47" spans="1:6">
      <c r="A47" s="1264" t="s">
        <v>31</v>
      </c>
      <c r="B47" s="1264" t="s">
        <v>38</v>
      </c>
      <c r="C47" s="1265">
        <v>8</v>
      </c>
      <c r="D47" s="1265">
        <v>207121.81546232</v>
      </c>
      <c r="E47" s="1265">
        <v>10</v>
      </c>
      <c r="F47" s="1265">
        <v>283306.91403107299</v>
      </c>
    </row>
    <row r="48" spans="1:6">
      <c r="A48" s="1264" t="s">
        <v>31</v>
      </c>
      <c r="B48" s="1264" t="s">
        <v>28</v>
      </c>
      <c r="C48" s="1265">
        <v>4</v>
      </c>
      <c r="D48" s="1265">
        <v>1161912.5295001101</v>
      </c>
      <c r="E48" s="1265">
        <v>2</v>
      </c>
      <c r="F48" s="1265">
        <v>124899.05975855001</v>
      </c>
    </row>
    <row r="49" spans="1:6">
      <c r="A49" s="1264" t="s">
        <v>31</v>
      </c>
      <c r="B49" s="1264" t="s">
        <v>39</v>
      </c>
      <c r="C49" s="1265">
        <v>0</v>
      </c>
      <c r="D49" s="1265">
        <v>0</v>
      </c>
      <c r="E49" s="1265">
        <v>0</v>
      </c>
      <c r="F49" s="1265">
        <v>0</v>
      </c>
    </row>
    <row r="50" spans="1:6">
      <c r="A50" s="1264" t="s">
        <v>31</v>
      </c>
      <c r="B50" s="1264" t="s">
        <v>40</v>
      </c>
      <c r="C50" s="1265">
        <v>18</v>
      </c>
      <c r="D50" s="1265">
        <v>9667321.4728489891</v>
      </c>
      <c r="E50" s="1265">
        <v>17</v>
      </c>
      <c r="F50" s="1265">
        <v>16511240.418677701</v>
      </c>
    </row>
    <row r="51" spans="1:6">
      <c r="A51" s="1264" t="s">
        <v>41</v>
      </c>
      <c r="B51" s="1264" t="s">
        <v>42</v>
      </c>
      <c r="C51" s="1265">
        <v>6</v>
      </c>
      <c r="D51" s="1265">
        <v>4904997.6798453396</v>
      </c>
      <c r="E51" s="1265">
        <v>80</v>
      </c>
      <c r="F51" s="1265">
        <v>2104398.75493176</v>
      </c>
    </row>
    <row r="52" spans="1:6">
      <c r="A52" s="1264" t="s">
        <v>41</v>
      </c>
      <c r="B52" s="1264" t="s">
        <v>28</v>
      </c>
      <c r="C52" s="1265">
        <v>0</v>
      </c>
      <c r="D52" s="1265">
        <v>0</v>
      </c>
      <c r="E52" s="1265">
        <v>0</v>
      </c>
      <c r="F52" s="1265">
        <v>0</v>
      </c>
    </row>
    <row r="53" spans="1:6">
      <c r="A53" s="1264" t="s">
        <v>43</v>
      </c>
      <c r="B53" s="1264" t="s">
        <v>44</v>
      </c>
      <c r="C53" s="1265">
        <v>83</v>
      </c>
      <c r="D53" s="1265">
        <v>1739460.6376286701</v>
      </c>
      <c r="E53" s="1265">
        <v>211</v>
      </c>
      <c r="F53" s="1265">
        <v>681921.97384820995</v>
      </c>
    </row>
    <row r="54" spans="1:6">
      <c r="A54" s="1264" t="s">
        <v>45</v>
      </c>
      <c r="B54" s="1264" t="s">
        <v>46</v>
      </c>
      <c r="C54" s="1265">
        <v>0</v>
      </c>
      <c r="D54" s="1265">
        <v>0</v>
      </c>
      <c r="E54" s="1265">
        <v>1</v>
      </c>
      <c r="F54" s="1265">
        <v>531676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56</v>
      </c>
      <c r="D57" s="1265">
        <v>2982502.5273201899</v>
      </c>
      <c r="E57" s="1265">
        <v>103</v>
      </c>
      <c r="F57" s="1265">
        <v>3015291.2296511</v>
      </c>
    </row>
    <row r="58" spans="1:6">
      <c r="A58" s="1264" t="s">
        <v>48</v>
      </c>
      <c r="B58" s="1264" t="s">
        <v>50</v>
      </c>
      <c r="C58" s="1265">
        <v>45</v>
      </c>
      <c r="D58" s="1265">
        <v>13658952.207488</v>
      </c>
      <c r="E58" s="1265">
        <v>53</v>
      </c>
      <c r="F58" s="1265">
        <v>1913789.66410645</v>
      </c>
    </row>
    <row r="59" spans="1:6">
      <c r="A59" s="1264" t="s">
        <v>48</v>
      </c>
      <c r="B59" s="1264" t="s">
        <v>51</v>
      </c>
      <c r="C59" s="1265">
        <v>125</v>
      </c>
      <c r="D59" s="1265">
        <v>5648340.9367716396</v>
      </c>
      <c r="E59" s="1265">
        <v>227</v>
      </c>
      <c r="F59" s="1265">
        <v>7056649.0849026097</v>
      </c>
    </row>
    <row r="60" spans="1:6">
      <c r="A60" s="1264" t="s">
        <v>48</v>
      </c>
      <c r="B60" s="1264" t="s">
        <v>52</v>
      </c>
      <c r="C60" s="1265">
        <v>74</v>
      </c>
      <c r="D60" s="1265">
        <v>8499602.7953367699</v>
      </c>
      <c r="E60" s="1265">
        <v>88</v>
      </c>
      <c r="F60" s="1265">
        <v>3703373.7249501701</v>
      </c>
    </row>
    <row r="61" spans="1:6">
      <c r="A61" s="1264" t="s">
        <v>48</v>
      </c>
      <c r="B61" s="1264" t="s">
        <v>53</v>
      </c>
      <c r="C61" s="1265">
        <v>230</v>
      </c>
      <c r="D61" s="1265">
        <v>8954571.8430298399</v>
      </c>
      <c r="E61" s="1265">
        <v>369</v>
      </c>
      <c r="F61" s="1265">
        <v>5087521.1143193003</v>
      </c>
    </row>
    <row r="62" spans="1:6">
      <c r="A62" s="1264" t="s">
        <v>48</v>
      </c>
      <c r="B62" s="1264" t="s">
        <v>54</v>
      </c>
      <c r="C62" s="1265">
        <v>21</v>
      </c>
      <c r="D62" s="1265">
        <v>3518559.3904468701</v>
      </c>
      <c r="E62" s="1265">
        <v>26</v>
      </c>
      <c r="F62" s="1265">
        <v>1113150.12014294</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12</v>
      </c>
      <c r="F66" s="1265">
        <v>302215.22092967702</v>
      </c>
    </row>
    <row r="67" spans="1:6">
      <c r="A67" s="1264" t="s">
        <v>55</v>
      </c>
      <c r="B67" s="1264" t="s">
        <v>58</v>
      </c>
      <c r="C67" s="1265">
        <v>0</v>
      </c>
      <c r="D67" s="1265">
        <v>0</v>
      </c>
      <c r="E67" s="1265">
        <v>0</v>
      </c>
      <c r="F67" s="1265">
        <v>0</v>
      </c>
    </row>
    <row r="68" spans="1:6">
      <c r="A68" s="1259" t="s">
        <v>55</v>
      </c>
      <c r="B68" s="1259" t="s">
        <v>59</v>
      </c>
      <c r="C68" s="1267">
        <v>9</v>
      </c>
      <c r="D68" s="1267">
        <v>596382.82891982095</v>
      </c>
      <c r="E68" s="1267">
        <v>19</v>
      </c>
      <c r="F68" s="1267">
        <v>355784.57218453498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91330183</v>
      </c>
      <c r="E73" s="443"/>
      <c r="F73" s="324"/>
    </row>
    <row r="74" spans="1:6">
      <c r="A74" s="1264" t="s">
        <v>63</v>
      </c>
      <c r="B74" s="1264" t="s">
        <v>608</v>
      </c>
      <c r="C74" s="1277" t="s">
        <v>610</v>
      </c>
      <c r="D74" s="1265">
        <v>8191429.3471790431</v>
      </c>
      <c r="E74" s="443"/>
      <c r="F74" s="324"/>
    </row>
    <row r="75" spans="1:6">
      <c r="A75" s="1264" t="s">
        <v>64</v>
      </c>
      <c r="B75" s="1264" t="s">
        <v>607</v>
      </c>
      <c r="C75" s="1277" t="s">
        <v>611</v>
      </c>
      <c r="D75" s="1265">
        <v>10934010</v>
      </c>
      <c r="E75" s="443"/>
      <c r="F75" s="324"/>
    </row>
    <row r="76" spans="1:6">
      <c r="A76" s="1264" t="s">
        <v>64</v>
      </c>
      <c r="B76" s="1264" t="s">
        <v>608</v>
      </c>
      <c r="C76" s="1277" t="s">
        <v>612</v>
      </c>
      <c r="D76" s="1265">
        <v>219016.34717904299</v>
      </c>
      <c r="E76" s="443"/>
      <c r="F76" s="324"/>
    </row>
    <row r="77" spans="1:6">
      <c r="A77" s="1264" t="s">
        <v>65</v>
      </c>
      <c r="B77" s="1264" t="s">
        <v>607</v>
      </c>
      <c r="C77" s="1277" t="s">
        <v>613</v>
      </c>
      <c r="D77" s="1265">
        <v>5492039</v>
      </c>
      <c r="E77" s="443"/>
      <c r="F77" s="324"/>
    </row>
    <row r="78" spans="1:6">
      <c r="A78" s="1259" t="s">
        <v>65</v>
      </c>
      <c r="B78" s="1259" t="s">
        <v>608</v>
      </c>
      <c r="C78" s="1259" t="s">
        <v>614</v>
      </c>
      <c r="D78" s="1267">
        <v>1309526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750445.30564191402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4739.0866980725959</v>
      </c>
      <c r="C91" s="324"/>
      <c r="D91" s="324"/>
      <c r="E91" s="324"/>
      <c r="F91" s="324"/>
    </row>
    <row r="92" spans="1:6">
      <c r="A92" s="1259" t="s">
        <v>68</v>
      </c>
      <c r="B92" s="1260">
        <v>6321.7570500133306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3064</v>
      </c>
      <c r="C97" s="324"/>
      <c r="D97" s="324"/>
      <c r="E97" s="324"/>
      <c r="F97" s="324"/>
    </row>
    <row r="98" spans="1:6">
      <c r="A98" s="1264" t="s">
        <v>71</v>
      </c>
      <c r="B98" s="1265">
        <v>2</v>
      </c>
      <c r="C98" s="324"/>
      <c r="D98" s="324"/>
      <c r="E98" s="324"/>
      <c r="F98" s="324"/>
    </row>
    <row r="99" spans="1:6">
      <c r="A99" s="1264" t="s">
        <v>72</v>
      </c>
      <c r="B99" s="1265">
        <v>56</v>
      </c>
      <c r="C99" s="324"/>
      <c r="D99" s="324"/>
      <c r="E99" s="324"/>
      <c r="F99" s="324"/>
    </row>
    <row r="100" spans="1:6">
      <c r="A100" s="1264" t="s">
        <v>73</v>
      </c>
      <c r="B100" s="1265">
        <v>513</v>
      </c>
      <c r="C100" s="324"/>
      <c r="D100" s="324"/>
      <c r="E100" s="324"/>
      <c r="F100" s="324"/>
    </row>
    <row r="101" spans="1:6">
      <c r="A101" s="1264" t="s">
        <v>74</v>
      </c>
      <c r="B101" s="1265">
        <v>115</v>
      </c>
      <c r="C101" s="324"/>
      <c r="D101" s="324"/>
      <c r="E101" s="324"/>
      <c r="F101" s="324"/>
    </row>
    <row r="102" spans="1:6">
      <c r="A102" s="1264" t="s">
        <v>75</v>
      </c>
      <c r="B102" s="1265">
        <v>55</v>
      </c>
      <c r="C102" s="324"/>
      <c r="D102" s="324"/>
      <c r="E102" s="324"/>
      <c r="F102" s="324"/>
    </row>
    <row r="103" spans="1:6">
      <c r="A103" s="1264" t="s">
        <v>76</v>
      </c>
      <c r="B103" s="1265">
        <v>102</v>
      </c>
      <c r="C103" s="324"/>
      <c r="D103" s="324"/>
      <c r="E103" s="324"/>
      <c r="F103" s="324"/>
    </row>
    <row r="104" spans="1:6">
      <c r="A104" s="1264" t="s">
        <v>77</v>
      </c>
      <c r="B104" s="1265">
        <v>1072</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1</v>
      </c>
      <c r="C122" s="1265">
        <v>0</v>
      </c>
      <c r="D122" s="324"/>
      <c r="E122" s="324"/>
      <c r="F122" s="324"/>
    </row>
    <row r="123" spans="1:6">
      <c r="A123" s="1264" t="s">
        <v>87</v>
      </c>
      <c r="B123" s="1265">
        <v>52</v>
      </c>
      <c r="C123" s="1265">
        <v>29</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118</v>
      </c>
      <c r="C129" s="324"/>
      <c r="D129" s="324"/>
      <c r="E129" s="324"/>
      <c r="F129" s="324"/>
    </row>
    <row r="130" spans="1:6">
      <c r="A130" s="1264" t="s">
        <v>284</v>
      </c>
      <c r="B130" s="1265">
        <v>4</v>
      </c>
      <c r="C130" s="324"/>
      <c r="D130" s="324"/>
      <c r="E130" s="324"/>
      <c r="F130" s="324"/>
    </row>
    <row r="131" spans="1:6">
      <c r="A131" s="1264" t="s">
        <v>285</v>
      </c>
      <c r="B131" s="1265">
        <v>3</v>
      </c>
      <c r="C131" s="324"/>
      <c r="D131" s="324"/>
      <c r="E131" s="324"/>
      <c r="F131" s="324"/>
    </row>
    <row r="132" spans="1:6">
      <c r="A132" s="1259" t="s">
        <v>286</v>
      </c>
      <c r="B132" s="1260">
        <v>24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114312.0359766019</v>
      </c>
      <c r="C3" s="43" t="s">
        <v>163</v>
      </c>
      <c r="D3" s="43"/>
      <c r="E3" s="153"/>
      <c r="F3" s="43"/>
      <c r="G3" s="43"/>
      <c r="H3" s="43"/>
      <c r="I3" s="43"/>
      <c r="J3" s="43"/>
      <c r="K3" s="96"/>
    </row>
    <row r="4" spans="1:11">
      <c r="A4" s="350" t="s">
        <v>164</v>
      </c>
      <c r="B4" s="49">
        <f>IF(ISERROR('SEAP template'!B78+'SEAP template'!C78),0,'SEAP template'!B78+'SEAP template'!C78)</f>
        <v>44365.343748085928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0.1352282710253373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22802.142857142859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531.67600000000004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531.67600000000004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0.1352282710253373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71.897626225667238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22858.398532692998</v>
      </c>
      <c r="C5" s="17">
        <f>IF(ISERROR('Eigen informatie GS &amp; warmtenet'!B59),0,'Eigen informatie GS &amp; warmtenet'!B59)</f>
        <v>0</v>
      </c>
      <c r="D5" s="30">
        <f>(SUM(HH_hh_gas_kWh,HH_rest_gas_kWh)/1000)*0.903</f>
        <v>70877.300883402102</v>
      </c>
      <c r="E5" s="17">
        <f>B32*B41</f>
        <v>1312.8622776572086</v>
      </c>
      <c r="F5" s="17">
        <f>B36*B45</f>
        <v>21514.769412741825</v>
      </c>
      <c r="G5" s="18"/>
      <c r="H5" s="17"/>
      <c r="I5" s="17"/>
      <c r="J5" s="17">
        <f>B35*B44+C35*C44</f>
        <v>118.7507443658168</v>
      </c>
      <c r="K5" s="17"/>
      <c r="L5" s="17"/>
      <c r="M5" s="17"/>
      <c r="N5" s="17">
        <f>B34*B43+C34*C43</f>
        <v>7555.2637388423573</v>
      </c>
      <c r="O5" s="17">
        <f>B52*B53*B54</f>
        <v>291.64185824989369</v>
      </c>
      <c r="P5" s="17">
        <f>B60*B61*B62/1000-B60*B61*B62/1000/B63</f>
        <v>821.64882599943178</v>
      </c>
    </row>
    <row r="6" spans="1:16">
      <c r="A6" s="16" t="s">
        <v>573</v>
      </c>
      <c r="B6" s="739">
        <f>kWh_PV_kleiner_dan_10kW</f>
        <v>4739.0866980725959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27597.485230765593</v>
      </c>
      <c r="C8" s="21">
        <f>C5</f>
        <v>0</v>
      </c>
      <c r="D8" s="21">
        <f>D5</f>
        <v>70877.300883402102</v>
      </c>
      <c r="E8" s="21">
        <f>E5</f>
        <v>1312.8622776572086</v>
      </c>
      <c r="F8" s="21">
        <f>F5</f>
        <v>21514.769412741825</v>
      </c>
      <c r="G8" s="21"/>
      <c r="H8" s="21"/>
      <c r="I8" s="21"/>
      <c r="J8" s="21">
        <f>J5</f>
        <v>118.7507443658168</v>
      </c>
      <c r="K8" s="21"/>
      <c r="L8" s="21">
        <f>L5</f>
        <v>0</v>
      </c>
      <c r="M8" s="21">
        <f>M5</f>
        <v>0</v>
      </c>
      <c r="N8" s="21">
        <f>N5</f>
        <v>7555.2637388423573</v>
      </c>
      <c r="O8" s="21">
        <f>O5</f>
        <v>291.64185824989369</v>
      </c>
      <c r="P8" s="21">
        <f>P5</f>
        <v>821.64882599943178</v>
      </c>
    </row>
    <row r="9" spans="1:16">
      <c r="B9" s="19"/>
      <c r="C9" s="19"/>
      <c r="D9" s="253"/>
      <c r="E9" s="19"/>
      <c r="F9" s="19"/>
      <c r="G9" s="19"/>
      <c r="H9" s="19"/>
      <c r="I9" s="19"/>
      <c r="J9" s="19"/>
      <c r="K9" s="19"/>
      <c r="L9" s="19"/>
      <c r="M9" s="19"/>
      <c r="N9" s="19"/>
      <c r="O9" s="19"/>
      <c r="P9" s="19"/>
    </row>
    <row r="10" spans="1:16">
      <c r="A10" s="24" t="s">
        <v>207</v>
      </c>
      <c r="B10" s="25">
        <f ca="1">'EF ele_warmte'!B12</f>
        <v>0.1352282710253373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3731.9602124037128</v>
      </c>
      <c r="C12" s="23">
        <f ca="1">C10*C8</f>
        <v>0</v>
      </c>
      <c r="D12" s="23">
        <f>D8*D10</f>
        <v>14317.214778447225</v>
      </c>
      <c r="E12" s="23">
        <f>E10*E8</f>
        <v>298.01973702818634</v>
      </c>
      <c r="F12" s="23">
        <f>F10*F8</f>
        <v>5744.4434332020674</v>
      </c>
      <c r="G12" s="23"/>
      <c r="H12" s="23"/>
      <c r="I12" s="23"/>
      <c r="J12" s="23">
        <f>J10*J8</f>
        <v>42.037763505499143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6186</v>
      </c>
      <c r="C26" s="36"/>
      <c r="D26" s="224"/>
    </row>
    <row r="27" spans="1:5" s="15" customFormat="1">
      <c r="A27" s="226" t="s">
        <v>784</v>
      </c>
      <c r="B27" s="37">
        <f>SUM(HH_hh_gas_aantal,HH_rest_gas_aantal)</f>
        <v>4662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4428.8999999999996</v>
      </c>
      <c r="C31" s="34" t="s">
        <v>104</v>
      </c>
      <c r="D31" s="170"/>
    </row>
    <row r="32" spans="1:5">
      <c r="A32" s="167" t="s">
        <v>72</v>
      </c>
      <c r="B32" s="33">
        <f>IF((B21*($B$26-($B$27-0.05*$B$27)-$B$60))&lt;0,0,B21*($B$26-($B$27-0.05*$B$27)-$B$60))</f>
        <v>25.900054006018735</v>
      </c>
      <c r="C32" s="34" t="s">
        <v>104</v>
      </c>
      <c r="D32" s="170"/>
    </row>
    <row r="33" spans="1:6">
      <c r="A33" s="167" t="s">
        <v>73</v>
      </c>
      <c r="B33" s="33">
        <f>IF((B22*($B$26-($B$27-0.05*$B$27)-$B$60))&lt;0,0,B22*($B$26-($B$27-0.05*$B$27)-$B$60))</f>
        <v>420.56558143777039</v>
      </c>
      <c r="C33" s="34" t="s">
        <v>104</v>
      </c>
      <c r="D33" s="170"/>
    </row>
    <row r="34" spans="1:6">
      <c r="A34" s="167" t="s">
        <v>74</v>
      </c>
      <c r="B34" s="33">
        <f>IF((B24*($B$26-($B$27-0.05*$B$27)-$B$60))&lt;0,0,B24*($B$26-($B$27-0.05*$B$27)-$B$60))</f>
        <v>183.89619976492972</v>
      </c>
      <c r="C34" s="33">
        <f>B26*C24</f>
        <v>1039.2475781926714</v>
      </c>
      <c r="D34" s="229"/>
    </row>
    <row r="35" spans="1:6">
      <c r="A35" s="167" t="s">
        <v>76</v>
      </c>
      <c r="B35" s="33">
        <f>IF((B19*($B$26-($B$27-0.05*$B$27)-$B$60))&lt;0,0,B19*($B$26-($B$27-0.05*$B$27)-$B$60))</f>
        <v>11.258691728997482</v>
      </c>
      <c r="C35" s="33">
        <f>B35/2</f>
        <v>5.6293458644987409</v>
      </c>
      <c r="D35" s="229"/>
    </row>
    <row r="36" spans="1:6">
      <c r="A36" s="167" t="s">
        <v>77</v>
      </c>
      <c r="B36" s="33">
        <f>IF((B18*($B$26-($B$27-0.05*$B$27)-$B$60))&lt;0,0,B18*($B$26-($B$27-0.05*$B$27)-$B$60))</f>
        <v>1037.4794730622837</v>
      </c>
      <c r="C36" s="34" t="s">
        <v>104</v>
      </c>
      <c r="D36" s="170"/>
    </row>
    <row r="37" spans="1:6">
      <c r="A37" s="167" t="s">
        <v>78</v>
      </c>
      <c r="B37" s="33">
        <f>B60</f>
        <v>78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78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21889.774938072565</v>
      </c>
      <c r="C5" s="17">
        <f>IF(ISERROR('Eigen informatie GS &amp; warmtenet'!B60),0,'Eigen informatie GS &amp; warmtenet'!B60)</f>
        <v>0</v>
      </c>
      <c r="D5" s="30">
        <f>SUM(D6:D12)</f>
        <v>39066.064319455159</v>
      </c>
      <c r="E5" s="17">
        <f>SUM(E6:E12)</f>
        <v>69.456720686353506</v>
      </c>
      <c r="F5" s="17">
        <f>SUM(F6:F12)</f>
        <v>4531.8366182452264</v>
      </c>
      <c r="G5" s="18"/>
      <c r="H5" s="17"/>
      <c r="I5" s="17"/>
      <c r="J5" s="17">
        <f>SUM(J6:J12)</f>
        <v>2.9778473754578653E-2</v>
      </c>
      <c r="K5" s="17"/>
      <c r="L5" s="17"/>
      <c r="M5" s="17"/>
      <c r="N5" s="17">
        <f>SUM(N6:N12)</f>
        <v>1061.1890701995953</v>
      </c>
      <c r="O5" s="17">
        <f>B38*B39*B40</f>
        <v>19.589043063364617</v>
      </c>
      <c r="P5" s="17">
        <f>B46*B47*B48/1000-B46*B47*B48/1000/B49</f>
        <v>210.15655322598008</v>
      </c>
      <c r="R5" s="32"/>
    </row>
    <row r="6" spans="1:18">
      <c r="A6" s="32" t="s">
        <v>53</v>
      </c>
      <c r="B6" s="37">
        <f>B26</f>
        <v>5087.5211143193001</v>
      </c>
      <c r="C6" s="33"/>
      <c r="D6" s="37">
        <f>IF(ISERROR(TER_kantoor_gas_kWh/1000),0,TER_kantoor_gas_kWh/1000)*0.903</f>
        <v>8085.9783742559457</v>
      </c>
      <c r="E6" s="33">
        <f>$C$26*'E Balans VL '!I12/100/3.6*1000000</f>
        <v>1.237321142160559</v>
      </c>
      <c r="F6" s="33">
        <f>$C$26*('E Balans VL '!L12+'E Balans VL '!N12)/100/3.6*1000000</f>
        <v>487.16236157878711</v>
      </c>
      <c r="G6" s="34"/>
      <c r="H6" s="33"/>
      <c r="I6" s="33"/>
      <c r="J6" s="33">
        <f>$C$26*('E Balans VL '!D12+'E Balans VL '!E12)/100/3.6*1000000</f>
        <v>0</v>
      </c>
      <c r="K6" s="33"/>
      <c r="L6" s="33"/>
      <c r="M6" s="33"/>
      <c r="N6" s="33">
        <f>$C$26*'E Balans VL '!Y12/100/3.6*1000000</f>
        <v>2.5828022700357458</v>
      </c>
      <c r="O6" s="33"/>
      <c r="P6" s="33"/>
      <c r="R6" s="32"/>
    </row>
    <row r="7" spans="1:18">
      <c r="A7" s="32" t="s">
        <v>52</v>
      </c>
      <c r="B7" s="37">
        <f t="shared" ref="B7:B12" si="0">B27</f>
        <v>3703.3737249501701</v>
      </c>
      <c r="C7" s="33"/>
      <c r="D7" s="37">
        <f>IF(ISERROR(TER_horeca_gas_kWh/1000),0,TER_horeca_gas_kWh/1000)*0.903</f>
        <v>7675.1413241891041</v>
      </c>
      <c r="E7" s="33">
        <f>$C$27*'E Balans VL '!I9/100/3.6*1000000</f>
        <v>0</v>
      </c>
      <c r="F7" s="33">
        <f>$C$27*('E Balans VL '!L9+'E Balans VL '!N9)/100/3.6*1000000</f>
        <v>303.74733931988231</v>
      </c>
      <c r="G7" s="34"/>
      <c r="H7" s="33"/>
      <c r="I7" s="33"/>
      <c r="J7" s="33">
        <f>$C$27*('E Balans VL '!D9+'E Balans VL '!E9)/100/3.6*1000000</f>
        <v>0</v>
      </c>
      <c r="K7" s="33"/>
      <c r="L7" s="33"/>
      <c r="M7" s="33"/>
      <c r="N7" s="33">
        <f>$C$27*'E Balans VL '!Y9/100/3.6*1000000</f>
        <v>24.323024815533646</v>
      </c>
      <c r="O7" s="33"/>
      <c r="P7" s="33"/>
      <c r="R7" s="32"/>
    </row>
    <row r="8" spans="1:18">
      <c r="A8" s="6" t="s">
        <v>51</v>
      </c>
      <c r="B8" s="37">
        <f t="shared" si="0"/>
        <v>7056.6490849026095</v>
      </c>
      <c r="C8" s="33"/>
      <c r="D8" s="37">
        <f>IF(ISERROR(TER_handel_gas_kWh/1000),0,TER_handel_gas_kWh/1000)*0.903</f>
        <v>5100.4518659047908</v>
      </c>
      <c r="E8" s="33">
        <f>$C$28*'E Balans VL '!I13/100/3.6*1000000</f>
        <v>24.945620086853044</v>
      </c>
      <c r="F8" s="33">
        <f>$C$28*('E Balans VL '!L13+'E Balans VL '!N13)/100/3.6*1000000</f>
        <v>649.76642809496934</v>
      </c>
      <c r="G8" s="34"/>
      <c r="H8" s="33"/>
      <c r="I8" s="33"/>
      <c r="J8" s="33">
        <f>$C$28*('E Balans VL '!D13+'E Balans VL '!E13)/100/3.6*1000000</f>
        <v>0</v>
      </c>
      <c r="K8" s="33"/>
      <c r="L8" s="33"/>
      <c r="M8" s="33"/>
      <c r="N8" s="33">
        <f>$C$28*'E Balans VL '!Y13/100/3.6*1000000</f>
        <v>2.5556144984390112</v>
      </c>
      <c r="O8" s="33"/>
      <c r="P8" s="33"/>
      <c r="R8" s="32"/>
    </row>
    <row r="9" spans="1:18">
      <c r="A9" s="32" t="s">
        <v>50</v>
      </c>
      <c r="B9" s="37">
        <f t="shared" si="0"/>
        <v>1913.7896641064501</v>
      </c>
      <c r="C9" s="33"/>
      <c r="D9" s="37">
        <f>IF(ISERROR(TER_gezond_gas_kWh/1000),0,TER_gezond_gas_kWh/1000)*0.903</f>
        <v>12334.033843361665</v>
      </c>
      <c r="E9" s="33">
        <f>$C$29*'E Balans VL '!I10/100/3.6*1000000</f>
        <v>0</v>
      </c>
      <c r="F9" s="33">
        <f>$C$29*('E Balans VL '!L10+'E Balans VL '!N10)/100/3.6*1000000</f>
        <v>235.10124692036797</v>
      </c>
      <c r="G9" s="34"/>
      <c r="H9" s="33"/>
      <c r="I9" s="33"/>
      <c r="J9" s="33">
        <f>$C$29*('E Balans VL '!D10+'E Balans VL '!E10)/100/3.6*1000000</f>
        <v>0</v>
      </c>
      <c r="K9" s="33"/>
      <c r="L9" s="33"/>
      <c r="M9" s="33"/>
      <c r="N9" s="33">
        <f>$C$29*'E Balans VL '!Y10/100/3.6*1000000</f>
        <v>14.112865139203837</v>
      </c>
      <c r="O9" s="33"/>
      <c r="P9" s="33"/>
      <c r="R9" s="32"/>
    </row>
    <row r="10" spans="1:18">
      <c r="A10" s="32" t="s">
        <v>49</v>
      </c>
      <c r="B10" s="37">
        <f t="shared" si="0"/>
        <v>3015.2912296510999</v>
      </c>
      <c r="C10" s="33"/>
      <c r="D10" s="37">
        <f>IF(ISERROR(TER_ander_gas_kWh/1000),0,TER_ander_gas_kWh/1000)*0.903</f>
        <v>2693.1997821701316</v>
      </c>
      <c r="E10" s="33">
        <f>$C$30*'E Balans VL '!I14/100/3.6*1000000</f>
        <v>43.273779457339906</v>
      </c>
      <c r="F10" s="33">
        <f>$C$30*('E Balans VL '!L14+'E Balans VL '!N14)/100/3.6*1000000</f>
        <v>2725.9187374353837</v>
      </c>
      <c r="G10" s="34"/>
      <c r="H10" s="33"/>
      <c r="I10" s="33"/>
      <c r="J10" s="33">
        <f>$C$30*('E Balans VL '!D14+'E Balans VL '!E14)/100/3.6*1000000</f>
        <v>2.9778473754578653E-2</v>
      </c>
      <c r="K10" s="33"/>
      <c r="L10" s="33"/>
      <c r="M10" s="33"/>
      <c r="N10" s="33">
        <f>$C$30*'E Balans VL '!Y14/100/3.6*1000000</f>
        <v>1014.4802605624437</v>
      </c>
      <c r="O10" s="33"/>
      <c r="P10" s="33"/>
      <c r="R10" s="32"/>
    </row>
    <row r="11" spans="1:18">
      <c r="A11" s="32" t="s">
        <v>54</v>
      </c>
      <c r="B11" s="37">
        <f t="shared" si="0"/>
        <v>1113.1501201429401</v>
      </c>
      <c r="C11" s="33"/>
      <c r="D11" s="37">
        <f>IF(ISERROR(TER_onderwijs_gas_kWh/1000),0,TER_onderwijs_gas_kWh/1000)*0.903</f>
        <v>3177.2591295735238</v>
      </c>
      <c r="E11" s="33">
        <f>$C$31*'E Balans VL '!I11/100/3.6*1000000</f>
        <v>0</v>
      </c>
      <c r="F11" s="33">
        <f>$C$31*('E Balans VL '!L11+'E Balans VL '!N11)/100/3.6*1000000</f>
        <v>130.14050489583576</v>
      </c>
      <c r="G11" s="34"/>
      <c r="H11" s="33"/>
      <c r="I11" s="33"/>
      <c r="J11" s="33">
        <f>$C$31*('E Balans VL '!D11+'E Balans VL '!E11)/100/3.6*1000000</f>
        <v>0</v>
      </c>
      <c r="K11" s="33"/>
      <c r="L11" s="33"/>
      <c r="M11" s="33"/>
      <c r="N11" s="33">
        <f>$C$31*'E Balans VL '!Y11/100/3.6*1000000</f>
        <v>3.1345029139391962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15961.5</v>
      </c>
      <c r="C13" s="242">
        <f ca="1">'lokale energieproductie'!O38+'lokale energieproductie'!O31</f>
        <v>22802.142857142859</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-45604.285714285717</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37851.274938072565</v>
      </c>
      <c r="C16" s="21">
        <f t="shared" ca="1" si="1"/>
        <v>22802.142857142859</v>
      </c>
      <c r="D16" s="21">
        <f t="shared" ca="1" si="1"/>
        <v>39066.064319455159</v>
      </c>
      <c r="E16" s="21">
        <f t="shared" si="1"/>
        <v>69.456720686353506</v>
      </c>
      <c r="F16" s="21">
        <f t="shared" ca="1" si="1"/>
        <v>4531.8366182452264</v>
      </c>
      <c r="G16" s="21">
        <f t="shared" si="1"/>
        <v>0</v>
      </c>
      <c r="H16" s="21">
        <f t="shared" si="1"/>
        <v>0</v>
      </c>
      <c r="I16" s="21">
        <f t="shared" si="1"/>
        <v>0</v>
      </c>
      <c r="J16" s="21">
        <f t="shared" si="1"/>
        <v>2.9778473754578653E-2</v>
      </c>
      <c r="K16" s="21">
        <f t="shared" si="1"/>
        <v>0</v>
      </c>
      <c r="L16" s="21">
        <f t="shared" ca="1" si="1"/>
        <v>0</v>
      </c>
      <c r="M16" s="21">
        <f t="shared" si="1"/>
        <v>0</v>
      </c>
      <c r="N16" s="21">
        <f t="shared" ca="1" si="1"/>
        <v>0</v>
      </c>
      <c r="O16" s="21">
        <f>O5</f>
        <v>19.589043063364617</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0.1352282710253373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5118.5624659802343</v>
      </c>
      <c r="C20" s="23">
        <f t="shared" ref="C20:P20" ca="1" si="2">C16*C18</f>
        <v>0</v>
      </c>
      <c r="D20" s="23">
        <f t="shared" ca="1" si="2"/>
        <v>7891.3449925299428</v>
      </c>
      <c r="E20" s="23">
        <f t="shared" si="2"/>
        <v>15.766675595802246</v>
      </c>
      <c r="F20" s="23">
        <f t="shared" ca="1" si="2"/>
        <v>1210.0003770714754</v>
      </c>
      <c r="G20" s="23">
        <f t="shared" si="2"/>
        <v>0</v>
      </c>
      <c r="H20" s="23">
        <f t="shared" si="2"/>
        <v>0</v>
      </c>
      <c r="I20" s="23">
        <f t="shared" si="2"/>
        <v>0</v>
      </c>
      <c r="J20" s="23">
        <f t="shared" si="2"/>
        <v>1.0541579709120842E-2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5087.5211143193001</v>
      </c>
      <c r="C26" s="39">
        <f>IF(ISERROR(B26*3.6/1000000/'E Balans VL '!Z12*100),0,B26*3.6/1000000/'E Balans VL '!Z12*100)</f>
        <v>0.14340409647948033</v>
      </c>
      <c r="D26" s="232" t="s">
        <v>660</v>
      </c>
      <c r="F26" s="6"/>
    </row>
    <row r="27" spans="1:18">
      <c r="A27" s="227" t="s">
        <v>52</v>
      </c>
      <c r="B27" s="33">
        <f>IF(ISERROR(TER_horeca_ele_kWh/1000),0,TER_horeca_ele_kWh/1000)</f>
        <v>3703.3737249501701</v>
      </c>
      <c r="C27" s="39">
        <f>IF(ISERROR(B27*3.6/1000000/'E Balans VL '!Z9*100),0,B27*3.6/1000000/'E Balans VL '!Z9*100)</f>
        <v>0.27455966695418083</v>
      </c>
      <c r="D27" s="232" t="s">
        <v>660</v>
      </c>
      <c r="F27" s="6"/>
    </row>
    <row r="28" spans="1:18">
      <c r="A28" s="167" t="s">
        <v>51</v>
      </c>
      <c r="B28" s="33">
        <f>IF(ISERROR(TER_handel_ele_kWh/1000),0,TER_handel_ele_kWh/1000)</f>
        <v>7056.6490849026095</v>
      </c>
      <c r="C28" s="39">
        <f>IF(ISERROR(B28*3.6/1000000/'E Balans VL '!Z13*100),0,B28*3.6/1000000/'E Balans VL '!Z13*100)</f>
        <v>0.21140042877406989</v>
      </c>
      <c r="D28" s="232" t="s">
        <v>660</v>
      </c>
      <c r="F28" s="6"/>
    </row>
    <row r="29" spans="1:18">
      <c r="A29" s="227" t="s">
        <v>50</v>
      </c>
      <c r="B29" s="33">
        <f>IF(ISERROR(TER_gezond_ele_kWh/1000),0,TER_gezond_ele_kWh/1000)</f>
        <v>1913.7896641064501</v>
      </c>
      <c r="C29" s="39">
        <f>IF(ISERROR(B29*3.6/1000000/'E Balans VL '!Z10*100),0,B29*3.6/1000000/'E Balans VL '!Z10*100)</f>
        <v>0.18923627209309121</v>
      </c>
      <c r="D29" s="232" t="s">
        <v>660</v>
      </c>
      <c r="F29" s="6"/>
    </row>
    <row r="30" spans="1:18">
      <c r="A30" s="227" t="s">
        <v>49</v>
      </c>
      <c r="B30" s="33">
        <f>IF(ISERROR(TER_ander_ele_kWh/1000),0,TER_ander_ele_kWh/1000)</f>
        <v>3015.2912296510999</v>
      </c>
      <c r="C30" s="39">
        <f>IF(ISERROR(B30*3.6/1000000/'E Balans VL '!Z14*100),0,B30*3.6/1000000/'E Balans VL '!Z14*100)</f>
        <v>0.12195961947267706</v>
      </c>
      <c r="D30" s="232" t="s">
        <v>660</v>
      </c>
      <c r="F30" s="6"/>
    </row>
    <row r="31" spans="1:18">
      <c r="A31" s="227" t="s">
        <v>54</v>
      </c>
      <c r="B31" s="33">
        <f>IF(ISERROR(TER_onderwijs_ele_kWh/1000),0,TER_onderwijs_ele_kWh/1000)</f>
        <v>1113.1501201429401</v>
      </c>
      <c r="C31" s="39">
        <f>IF(ISERROR(B31*3.6/1000000/'E Balans VL '!Z11*100),0,B31*3.6/1000000/'E Balans VL '!Z11*100)</f>
        <v>0.30583102121862621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45353.030626423511</v>
      </c>
      <c r="C5" s="17">
        <f>IF(ISERROR('Eigen informatie GS &amp; warmtenet'!B61),0,'Eigen informatie GS &amp; warmtenet'!B61)</f>
        <v>0</v>
      </c>
      <c r="D5" s="30">
        <f>SUM(D6:D15)</f>
        <v>39910.860159016171</v>
      </c>
      <c r="E5" s="17">
        <f>SUM(E6:E15)</f>
        <v>258.13737319007845</v>
      </c>
      <c r="F5" s="17">
        <f>SUM(F6:F15)</f>
        <v>7824.1257341148503</v>
      </c>
      <c r="G5" s="18"/>
      <c r="H5" s="17"/>
      <c r="I5" s="17"/>
      <c r="J5" s="17">
        <f>SUM(J6:J15)</f>
        <v>15.146657250950089</v>
      </c>
      <c r="K5" s="17"/>
      <c r="L5" s="17"/>
      <c r="M5" s="17"/>
      <c r="N5" s="17">
        <f>SUM(N6:N15)</f>
        <v>3234.8345779381243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14626.745058148099</v>
      </c>
      <c r="C8" s="33"/>
      <c r="D8" s="37">
        <f>IF( ISERROR(IND_metaal_Gas_kWH/1000),0,IND_metaal_Gas_kWH/1000)*0.903</f>
        <v>4434.0734512661229</v>
      </c>
      <c r="E8" s="33">
        <f>C30*'E Balans VL '!I18/100/3.6*1000000</f>
        <v>79.941514976117546</v>
      </c>
      <c r="F8" s="33">
        <f>C30*'E Balans VL '!L18/100/3.6*1000000+C30*'E Balans VL '!N18/100/3.6*1000000</f>
        <v>1001.1789171642687</v>
      </c>
      <c r="G8" s="34"/>
      <c r="H8" s="33"/>
      <c r="I8" s="33"/>
      <c r="J8" s="40">
        <f>C30*'E Balans VL '!D18/100/3.6*1000000+C30*'E Balans VL '!E18/100/3.6*1000000</f>
        <v>14.576537497151193</v>
      </c>
      <c r="K8" s="33"/>
      <c r="L8" s="33"/>
      <c r="M8" s="33"/>
      <c r="N8" s="33">
        <f>C30*'E Balans VL '!Y18/100/3.6*1000000</f>
        <v>216.33660264553316</v>
      </c>
      <c r="O8" s="33"/>
      <c r="P8" s="33"/>
      <c r="R8" s="32"/>
    </row>
    <row r="9" spans="1:18">
      <c r="A9" s="6" t="s">
        <v>32</v>
      </c>
      <c r="B9" s="37">
        <f t="shared" si="0"/>
        <v>9310.6162302357588</v>
      </c>
      <c r="C9" s="33"/>
      <c r="D9" s="37">
        <f>IF( ISERROR(IND_andere_gas_kWh/1000),0,IND_andere_gas_kWh/1000)*0.903</f>
        <v>2450.5027292101345</v>
      </c>
      <c r="E9" s="33">
        <f>C31*'E Balans VL '!I19/100/3.6*1000000</f>
        <v>35.038311005438459</v>
      </c>
      <c r="F9" s="33">
        <f>C31*'E Balans VL '!L19/100/3.6*1000000+C31*'E Balans VL '!N19/100/3.6*1000000</f>
        <v>5992.5643878324572</v>
      </c>
      <c r="G9" s="34"/>
      <c r="H9" s="33"/>
      <c r="I9" s="33"/>
      <c r="J9" s="40">
        <f>C31*'E Balans VL '!D19/100/3.6*1000000+C31*'E Balans VL '!E19/100/3.6*1000000</f>
        <v>0</v>
      </c>
      <c r="K9" s="33"/>
      <c r="L9" s="33"/>
      <c r="M9" s="33"/>
      <c r="N9" s="33">
        <f>C31*'E Balans VL '!Y19/100/3.6*1000000</f>
        <v>336.35224142038493</v>
      </c>
      <c r="O9" s="33"/>
      <c r="P9" s="33"/>
      <c r="R9" s="32"/>
    </row>
    <row r="10" spans="1:18">
      <c r="A10" s="6" t="s">
        <v>40</v>
      </c>
      <c r="B10" s="37">
        <f t="shared" si="0"/>
        <v>16511.240418677702</v>
      </c>
      <c r="C10" s="33"/>
      <c r="D10" s="37">
        <f>IF( ISERROR(IND_voed_gas_kWh/1000),0,IND_voed_gas_kWh/1000)*0.903</f>
        <v>8729.591289982638</v>
      </c>
      <c r="E10" s="33">
        <f>C32*'E Balans VL '!I20/100/3.6*1000000</f>
        <v>32.685237107693943</v>
      </c>
      <c r="F10" s="33">
        <f>C32*'E Balans VL '!L20/100/3.6*1000000+C32*'E Balans VL '!N20/100/3.6*1000000</f>
        <v>350.67849724965674</v>
      </c>
      <c r="G10" s="34"/>
      <c r="H10" s="33"/>
      <c r="I10" s="33"/>
      <c r="J10" s="40">
        <f>C32*'E Balans VL '!D20/100/3.6*1000000+C32*'E Balans VL '!E20/100/3.6*1000000</f>
        <v>0</v>
      </c>
      <c r="K10" s="33"/>
      <c r="L10" s="33"/>
      <c r="M10" s="33"/>
      <c r="N10" s="33">
        <f>C32*'E Balans VL '!Y20/100/3.6*1000000</f>
        <v>665.46573092819676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4227.5491575080696</v>
      </c>
      <c r="C12" s="33"/>
      <c r="D12" s="37">
        <f>IF( ISERROR(IND_min_gas_kWh/1000),0,IND_min_gas_kWh/1000)*0.903</f>
        <v>23060.454675056204</v>
      </c>
      <c r="E12" s="33">
        <f>C34*'E Balans VL '!I22/100/3.6*1000000</f>
        <v>51.728054351694503</v>
      </c>
      <c r="F12" s="33">
        <f>C34*'E Balans VL '!L22/100/3.6*1000000+C34*'E Balans VL '!N22/100/3.6*1000000</f>
        <v>456.4172357703892</v>
      </c>
      <c r="G12" s="34"/>
      <c r="H12" s="33"/>
      <c r="I12" s="33"/>
      <c r="J12" s="40">
        <f>C34*'E Balans VL '!D22/100/3.6*1000000+C34*'E Balans VL '!E22/100/3.6*1000000</f>
        <v>0</v>
      </c>
      <c r="K12" s="33"/>
      <c r="L12" s="33"/>
      <c r="M12" s="33"/>
      <c r="N12" s="33">
        <f>C34*'E Balans VL '!Y22/100/3.6*1000000</f>
        <v>2039.0775766405377</v>
      </c>
      <c r="O12" s="33"/>
      <c r="P12" s="33"/>
      <c r="R12" s="32"/>
    </row>
    <row r="13" spans="1:18">
      <c r="A13" s="6" t="s">
        <v>38</v>
      </c>
      <c r="B13" s="37">
        <f t="shared" si="0"/>
        <v>283.30691403107301</v>
      </c>
      <c r="C13" s="33"/>
      <c r="D13" s="37">
        <f>IF( ISERROR(IND_papier_gas_kWh/1000),0,IND_papier_gas_kWh/1000)*0.903</f>
        <v>187.03099936247497</v>
      </c>
      <c r="E13" s="33">
        <f>C35*'E Balans VL '!I23/100/3.6*1000000</f>
        <v>0</v>
      </c>
      <c r="F13" s="33">
        <f>C35*'E Balans VL '!L23/100/3.6*1000000+C35*'E Balans VL '!N23/100/3.6*1000000</f>
        <v>3.4706885259623274E-2</v>
      </c>
      <c r="G13" s="34"/>
      <c r="H13" s="33"/>
      <c r="I13" s="33"/>
      <c r="J13" s="40">
        <f>C35*'E Balans VL '!D23/100/3.6*1000000+C35*'E Balans VL '!E23/100/3.6*1000000</f>
        <v>2.2073812893702954E-2</v>
      </c>
      <c r="K13" s="33"/>
      <c r="L13" s="33"/>
      <c r="M13" s="33"/>
      <c r="N13" s="33">
        <f>C35*'E Balans VL '!Y23/100/3.6*1000000</f>
        <v>-25.997940587553057</v>
      </c>
      <c r="O13" s="33"/>
      <c r="P13" s="33"/>
      <c r="R13" s="32"/>
    </row>
    <row r="14" spans="1:18">
      <c r="A14" s="6" t="s">
        <v>33</v>
      </c>
      <c r="B14" s="37">
        <f t="shared" si="0"/>
        <v>268.67378806425603</v>
      </c>
      <c r="C14" s="33"/>
      <c r="D14" s="37">
        <f>IF( ISERROR(IND_chemie_gas_kWh/1000),0,IND_chemie_gas_kWh/1000)*0.903</f>
        <v>0</v>
      </c>
      <c r="E14" s="33">
        <f>C36*'E Balans VL '!I24/100/3.6*1000000</f>
        <v>51.982303493475257</v>
      </c>
      <c r="F14" s="33">
        <f>C36*'E Balans VL '!L24/100/3.6*1000000+C36*'E Balans VL '!N24/100/3.6*1000000</f>
        <v>4.1906420097950843</v>
      </c>
      <c r="G14" s="34"/>
      <c r="H14" s="33"/>
      <c r="I14" s="33"/>
      <c r="J14" s="40">
        <f>C36*'E Balans VL '!D24/100/3.6*1000000+C36*'E Balans VL '!E24/100/3.6*1000000</f>
        <v>0</v>
      </c>
      <c r="K14" s="33"/>
      <c r="L14" s="33"/>
      <c r="M14" s="33"/>
      <c r="N14" s="33">
        <f>C36*'E Balans VL '!Y24/100/3.6*1000000</f>
        <v>5.9904485727121023E-2</v>
      </c>
      <c r="O14" s="33"/>
      <c r="P14" s="33"/>
      <c r="R14" s="32"/>
    </row>
    <row r="15" spans="1:18">
      <c r="A15" s="6" t="s">
        <v>259</v>
      </c>
      <c r="B15" s="37">
        <f t="shared" si="0"/>
        <v>124.89905975855001</v>
      </c>
      <c r="C15" s="33"/>
      <c r="D15" s="37">
        <f>IF( ISERROR(IND_rest_gas_kWh/1000),0,IND_rest_gas_kWh/1000)*0.903</f>
        <v>1049.2070141385996</v>
      </c>
      <c r="E15" s="33">
        <f>C37*'E Balans VL '!I15/100/3.6*1000000</f>
        <v>6.7619522556587626</v>
      </c>
      <c r="F15" s="33">
        <f>C37*'E Balans VL '!L15/100/3.6*1000000+C37*'E Balans VL '!N15/100/3.6*1000000</f>
        <v>19.061347203023637</v>
      </c>
      <c r="G15" s="34"/>
      <c r="H15" s="33"/>
      <c r="I15" s="33"/>
      <c r="J15" s="40">
        <f>C37*'E Balans VL '!D15/100/3.6*1000000+C37*'E Balans VL '!E15/100/3.6*1000000</f>
        <v>0.54804594090519176</v>
      </c>
      <c r="K15" s="33"/>
      <c r="L15" s="33"/>
      <c r="M15" s="33"/>
      <c r="N15" s="33">
        <f>C37*'E Balans VL '!Y15/100/3.6*1000000</f>
        <v>3.5404624052969393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45353.030626423511</v>
      </c>
      <c r="C18" s="21">
        <f>C5+C16</f>
        <v>0</v>
      </c>
      <c r="D18" s="21">
        <f>MAX((D5+D16),0)</f>
        <v>39910.860159016171</v>
      </c>
      <c r="E18" s="21">
        <f>MAX((E5+E16),0)</f>
        <v>258.13737319007845</v>
      </c>
      <c r="F18" s="21">
        <f>MAX((F5+F16),0)</f>
        <v>7824.1257341148503</v>
      </c>
      <c r="G18" s="21"/>
      <c r="H18" s="21"/>
      <c r="I18" s="21"/>
      <c r="J18" s="21">
        <f>MAX((J5+J16),0)</f>
        <v>15.146657250950089</v>
      </c>
      <c r="K18" s="21"/>
      <c r="L18" s="21">
        <f>MAX((L5+L16),0)</f>
        <v>0</v>
      </c>
      <c r="M18" s="21"/>
      <c r="N18" s="21">
        <f>MAX((N5+N16),0)</f>
        <v>3234.8345779381243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0.1352282710253373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6133.0119173704215</v>
      </c>
      <c r="C22" s="23">
        <f ca="1">C18*C20</f>
        <v>0</v>
      </c>
      <c r="D22" s="23">
        <f>D18*D20</f>
        <v>8061.9937521212669</v>
      </c>
      <c r="E22" s="23">
        <f>E18*E20</f>
        <v>58.59718371414781</v>
      </c>
      <c r="F22" s="23">
        <f>F18*F20</f>
        <v>2089.041571008665</v>
      </c>
      <c r="G22" s="23"/>
      <c r="H22" s="23"/>
      <c r="I22" s="23"/>
      <c r="J22" s="23">
        <f>J18*J20</f>
        <v>5.3619166668363309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14626.745058148099</v>
      </c>
      <c r="C30" s="39">
        <f>IF(ISERROR(B30*3.6/1000000/'E Balans VL '!Z18*100),0,B30*3.6/1000000/'E Balans VL '!Z18*100)</f>
        <v>0.81610474323085758</v>
      </c>
      <c r="D30" s="232" t="s">
        <v>660</v>
      </c>
    </row>
    <row r="31" spans="1:18">
      <c r="A31" s="6" t="s">
        <v>32</v>
      </c>
      <c r="B31" s="37">
        <f>IF( ISERROR(IND_ander_ele_kWh/1000),0,IND_ander_ele_kWh/1000)</f>
        <v>9310.6162302357588</v>
      </c>
      <c r="C31" s="39">
        <f>IF(ISERROR(B31*3.6/1000000/'E Balans VL '!Z19*100),0,B31*3.6/1000000/'E Balans VL '!Z19*100)</f>
        <v>0.3789708108025226</v>
      </c>
      <c r="D31" s="232" t="s">
        <v>660</v>
      </c>
    </row>
    <row r="32" spans="1:18">
      <c r="A32" s="167" t="s">
        <v>40</v>
      </c>
      <c r="B32" s="37">
        <f>IF( ISERROR(IND_voed_ele_kWh/1000),0,IND_voed_ele_kWh/1000)</f>
        <v>16511.240418677702</v>
      </c>
      <c r="C32" s="39">
        <f>IF(ISERROR(B32*3.6/1000000/'E Balans VL '!Z20*100),0,B32*3.6/1000000/'E Balans VL '!Z20*100)</f>
        <v>0.48022680436862258</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4227.5491575080696</v>
      </c>
      <c r="C34" s="39">
        <f>IF(ISERROR(B34*3.6/1000000/'E Balans VL '!Z22*100),0,B34*3.6/1000000/'E Balans VL '!Z22*100)</f>
        <v>1.6959184379800443</v>
      </c>
      <c r="D34" s="232" t="s">
        <v>660</v>
      </c>
    </row>
    <row r="35" spans="1:5">
      <c r="A35" s="167" t="s">
        <v>38</v>
      </c>
      <c r="B35" s="37">
        <f>IF( ISERROR(IND_papier_ele_kWh/1000),0,IND_papier_ele_kWh/1000)</f>
        <v>283.30691403107301</v>
      </c>
      <c r="C35" s="39">
        <f>IF(ISERROR(B35*3.6/1000000/'E Balans VL '!Z22*100),0,B35*3.6/1000000/'E Balans VL '!Z22*100)</f>
        <v>0.11365105436071017</v>
      </c>
      <c r="D35" s="232" t="s">
        <v>660</v>
      </c>
    </row>
    <row r="36" spans="1:5">
      <c r="A36" s="167" t="s">
        <v>33</v>
      </c>
      <c r="B36" s="37">
        <f>IF( ISERROR(IND_chemie_ele_kWh/1000),0,IND_chemie_ele_kWh/1000)</f>
        <v>268.67378806425603</v>
      </c>
      <c r="C36" s="39">
        <f>IF(ISERROR(B36*3.6/1000000/'E Balans VL '!Z24*100),0,B36*3.6/1000000/'E Balans VL '!Z24*100)</f>
        <v>8.1165279871145673E-3</v>
      </c>
      <c r="D36" s="232" t="s">
        <v>660</v>
      </c>
    </row>
    <row r="37" spans="1:5">
      <c r="A37" s="167" t="s">
        <v>259</v>
      </c>
      <c r="B37" s="37">
        <f>IF( ISERROR(IND_rest_ele_kWh/1000),0,IND_rest_ele_kWh/1000)</f>
        <v>124.89905975855001</v>
      </c>
      <c r="C37" s="39">
        <f>IF(ISERROR(B37*3.6/1000000/'E Balans VL '!Z15*100),0,B37*3.6/1000000/'E Balans VL '!Z15*100)</f>
        <v>1.0060046114931975E-3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2104.3987549317599</v>
      </c>
      <c r="C5" s="17">
        <f>'Eigen informatie GS &amp; warmtenet'!B62</f>
        <v>0</v>
      </c>
      <c r="D5" s="30">
        <f>IF(ISERROR(SUM(LB_lb_gas_kWh,LB_rest_gas_kWh)/1000),0,SUM(LB_lb_gas_kWh,LB_rest_gas_kWh)/1000)*0.903</f>
        <v>4429.2129049003424</v>
      </c>
      <c r="E5" s="17">
        <f>B17*'E Balans VL '!I25/3.6*1000000/100</f>
        <v>62.043624703902104</v>
      </c>
      <c r="F5" s="17">
        <f>B17*('E Balans VL '!L25/3.6*1000000+'E Balans VL '!N25/3.6*1000000)/100</f>
        <v>6688.5271236696735</v>
      </c>
      <c r="G5" s="18"/>
      <c r="H5" s="17"/>
      <c r="I5" s="17"/>
      <c r="J5" s="17">
        <f>('E Balans VL '!D25+'E Balans VL '!E25)/3.6*1000000*landbouw!B17/100</f>
        <v>530.7164434146448</v>
      </c>
      <c r="K5" s="17"/>
      <c r="L5" s="17">
        <f>L6*(-1)</f>
        <v>0</v>
      </c>
      <c r="M5" s="17"/>
      <c r="N5" s="17">
        <f>N6*(-1)</f>
        <v>49551.428571428572</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-49551.428571428572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2104.3987549317599</v>
      </c>
      <c r="C8" s="21">
        <f>C5+C6</f>
        <v>0</v>
      </c>
      <c r="D8" s="21">
        <f>MAX((D5+D6),0)</f>
        <v>4429.2129049003424</v>
      </c>
      <c r="E8" s="21">
        <f>MAX((E5+E6),0)</f>
        <v>62.043624703902104</v>
      </c>
      <c r="F8" s="21">
        <f>MAX((F5+F6),0)</f>
        <v>6688.5271236696735</v>
      </c>
      <c r="G8" s="21"/>
      <c r="H8" s="21"/>
      <c r="I8" s="21"/>
      <c r="J8" s="21">
        <f>MAX((J5+J6),0)</f>
        <v>530.7164434146448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0.1352282710253373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284.5742051772944</v>
      </c>
      <c r="C12" s="23">
        <f ca="1">C8*C10</f>
        <v>0</v>
      </c>
      <c r="D12" s="23">
        <f>D8*D10</f>
        <v>894.70100678986921</v>
      </c>
      <c r="E12" s="23">
        <f>E8*E10</f>
        <v>14.083902807785778</v>
      </c>
      <c r="F12" s="23">
        <f>F8*F10</f>
        <v>1785.8367420198028</v>
      </c>
      <c r="G12" s="23"/>
      <c r="H12" s="23"/>
      <c r="I12" s="23"/>
      <c r="J12" s="23">
        <f>J8*J10</f>
        <v>187.87362096878425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0.28903367752270193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489.38593354716977</v>
      </c>
      <c r="C26" s="242">
        <f>B26*'GWP N2O_CH4'!B5</f>
        <v>10277.104604490565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133.22013567886361</v>
      </c>
      <c r="C27" s="242">
        <f>B27*'GWP N2O_CH4'!B5</f>
        <v>2797.6228492561359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6.7809915499554849</v>
      </c>
      <c r="C28" s="242">
        <f>B28*'GWP N2O_CH4'!B4</f>
        <v>2102.1073804862003</v>
      </c>
      <c r="D28" s="50"/>
    </row>
    <row r="29" spans="1:4">
      <c r="A29" s="41" t="s">
        <v>266</v>
      </c>
      <c r="B29" s="242">
        <f>B34*'ha_N2O bodem landbouw'!B4</f>
        <v>15.195228270244714</v>
      </c>
      <c r="C29" s="242">
        <f>B29*'GWP N2O_CH4'!B4</f>
        <v>4710.5207637758613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3.4630359175021256E-3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5.6428005172961149E-4</v>
      </c>
      <c r="C5" s="430" t="s">
        <v>204</v>
      </c>
      <c r="D5" s="415">
        <f>SUM(D6:D11)</f>
        <v>1.0053190441686583E-3</v>
      </c>
      <c r="E5" s="415">
        <f>SUM(E6:E11)</f>
        <v>5.5488158984510225E-4</v>
      </c>
      <c r="F5" s="428" t="s">
        <v>204</v>
      </c>
      <c r="G5" s="415">
        <f>SUM(G6:G11)</f>
        <v>0.2608063293932853</v>
      </c>
      <c r="H5" s="415">
        <f>SUM(H6:H11)</f>
        <v>6.6374014431357167E-2</v>
      </c>
      <c r="I5" s="430" t="s">
        <v>204</v>
      </c>
      <c r="J5" s="430" t="s">
        <v>204</v>
      </c>
      <c r="K5" s="430" t="s">
        <v>204</v>
      </c>
      <c r="L5" s="430" t="s">
        <v>204</v>
      </c>
      <c r="M5" s="415">
        <f>SUM(M6:M11)</f>
        <v>1.9297850279264308E-2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4.5585123569726673E-4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7.9552711230386106E-4</v>
      </c>
      <c r="E6" s="844">
        <f>vkm_GW_PW*SUMIFS(TableVerdeelsleutelVkm[LPG],TableVerdeelsleutelVkm[Voertuigtype],"Lichte voertuigen")*SUMIFS(TableECFTransport[EnergieConsumptieFactor (PJ per km)],TableECFTransport[Index],CONCATENATE($A6,"_LPG_LPG"))</f>
        <v>4.3740517092679201E-4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0.13462207926238742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5.2523993559086463E-2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1.1230736023344672E-2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1.8961683517164101E-6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7.8477563920299365E-2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8.6007511984063529E-7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4.4184121278051892E-3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7.2289404074299396E-5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1.6172447752412845E-4</v>
      </c>
      <c r="E8" s="418">
        <f>vkm_NGW_PW*SUMIFS(TableVerdeelsleutelVkm[LPG],TableVerdeelsleutelVkm[Voertuigtype],"Lichte voertuigen")*SUMIFS(TableECFTransport[EnergieConsumptieFactor (PJ per km)],TableECFTransport[Index],CONCATENATE($A8,"_LPG_LPG"))</f>
        <v>8.49295204871717E-5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2.4155221136977916E-2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1.0511108498192685E-2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2.0906778796058799E-3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5.0698339499498069E-8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2.7020890610177225E-3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2.7756817664964783E-8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1.5213179858659281E-4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3.3889413584712891E-5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4.8067454340668744E-5</v>
      </c>
      <c r="E10" s="418">
        <f>vkm_SW_PW*SUMIFS(TableVerdeelsleutelVkm[LPG],TableVerdeelsleutelVkm[Voertuigtype],"Lichte voertuigen")*SUMIFS(TableECFTransport[EnergieConsumptieFactor (PJ per km)],TableECFTransport[Index],CONCATENATE($A10,"_LPG_LPG"))</f>
        <v>3.2546898431138611E-5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8.9970514821836097E-3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3.3378830210195947E-3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7.3858684999264274E-4</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3.0313168211661436E-7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1.1852324530419301E-2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1.415211209381684E-7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6.6730559992933351E-4</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156.74445881378097</v>
      </c>
      <c r="C14" s="21"/>
      <c r="D14" s="21">
        <f t="shared" ref="D14:M14" si="0">((D5)*10^9/3600)+D12</f>
        <v>279.25529004684955</v>
      </c>
      <c r="E14" s="21">
        <f t="shared" si="0"/>
        <v>154.13377495697284</v>
      </c>
      <c r="F14" s="21"/>
      <c r="G14" s="21">
        <f t="shared" si="0"/>
        <v>72446.202609245913</v>
      </c>
      <c r="H14" s="21">
        <f t="shared" si="0"/>
        <v>18437.226230932545</v>
      </c>
      <c r="I14" s="21"/>
      <c r="J14" s="21"/>
      <c r="K14" s="21"/>
      <c r="L14" s="21"/>
      <c r="M14" s="21">
        <f t="shared" si="0"/>
        <v>5360.5139664623075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0.1352282710253373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21.196282158189792</v>
      </c>
      <c r="C18" s="23"/>
      <c r="D18" s="23">
        <f t="shared" ref="D18:M18" si="1">D14*D16</f>
        <v>56.409568589463611</v>
      </c>
      <c r="E18" s="23">
        <f t="shared" si="1"/>
        <v>34.988366915232838</v>
      </c>
      <c r="F18" s="23"/>
      <c r="G18" s="23">
        <f t="shared" si="1"/>
        <v>19343.136096668659</v>
      </c>
      <c r="H18" s="23">
        <f t="shared" si="1"/>
        <v>4590.8693315022037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1.2781437748729161E-4</v>
      </c>
      <c r="C50" s="313">
        <f t="shared" ref="C50:P50" si="2">SUM(C51:C52)</f>
        <v>0</v>
      </c>
      <c r="D50" s="313">
        <f t="shared" si="2"/>
        <v>0</v>
      </c>
      <c r="E50" s="313">
        <f t="shared" si="2"/>
        <v>0</v>
      </c>
      <c r="F50" s="313">
        <f t="shared" si="2"/>
        <v>0</v>
      </c>
      <c r="G50" s="313">
        <f t="shared" si="2"/>
        <v>9.1231599870015556E-3</v>
      </c>
      <c r="H50" s="313">
        <f t="shared" si="2"/>
        <v>0</v>
      </c>
      <c r="I50" s="313">
        <f t="shared" si="2"/>
        <v>0</v>
      </c>
      <c r="J50" s="313">
        <f t="shared" si="2"/>
        <v>0</v>
      </c>
      <c r="K50" s="313">
        <f t="shared" si="2"/>
        <v>0</v>
      </c>
      <c r="L50" s="313">
        <f t="shared" si="2"/>
        <v>0</v>
      </c>
      <c r="M50" s="313">
        <f t="shared" si="2"/>
        <v>5.0376806623541681E-4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1.2781437748729161E-4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9.1231599870015556E-3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5.0376806623541681E-4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35.503993746469895</v>
      </c>
      <c r="C54" s="21">
        <f t="shared" ref="C54:P54" si="3">(C50)*10^9/3600</f>
        <v>0</v>
      </c>
      <c r="D54" s="21">
        <f t="shared" si="3"/>
        <v>0</v>
      </c>
      <c r="E54" s="21">
        <f t="shared" si="3"/>
        <v>0</v>
      </c>
      <c r="F54" s="21">
        <f t="shared" si="3"/>
        <v>0</v>
      </c>
      <c r="G54" s="21">
        <f t="shared" si="3"/>
        <v>2534.2111075004318</v>
      </c>
      <c r="H54" s="21">
        <f t="shared" si="3"/>
        <v>0</v>
      </c>
      <c r="I54" s="21">
        <f t="shared" si="3"/>
        <v>0</v>
      </c>
      <c r="J54" s="21">
        <f t="shared" si="3"/>
        <v>0</v>
      </c>
      <c r="K54" s="21">
        <f t="shared" si="3"/>
        <v>0</v>
      </c>
      <c r="L54" s="21">
        <f t="shared" si="3"/>
        <v>0</v>
      </c>
      <c r="M54" s="21">
        <f t="shared" si="3"/>
        <v>139.93557395428243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0.1352282710253373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4.8011436888295114</v>
      </c>
      <c r="C58" s="23">
        <f t="shared" ref="C58:P58" ca="1" si="4">C54*C56</f>
        <v>0</v>
      </c>
      <c r="D58" s="23">
        <f t="shared" si="4"/>
        <v>0</v>
      </c>
      <c r="E58" s="23">
        <f t="shared" si="4"/>
        <v>0</v>
      </c>
      <c r="F58" s="23">
        <f t="shared" si="4"/>
        <v>0</v>
      </c>
      <c r="G58" s="23">
        <f t="shared" si="4"/>
        <v>676.63436570261536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11060.843748085927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15961.5</v>
      </c>
      <c r="C8" s="540">
        <f>B48</f>
        <v>0</v>
      </c>
      <c r="D8" s="541"/>
      <c r="E8" s="541">
        <f>E48</f>
        <v>0</v>
      </c>
      <c r="F8" s="542"/>
      <c r="G8" s="543"/>
      <c r="H8" s="541">
        <f>I48</f>
        <v>0</v>
      </c>
      <c r="I8" s="541">
        <f>G48+F48</f>
        <v>0</v>
      </c>
      <c r="J8" s="541">
        <f>H48+D48+C48</f>
        <v>18778.23529411765</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17343</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49551.428571428572</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44365.343748085928</v>
      </c>
      <c r="C10" s="555">
        <f t="shared" ref="C10:L10" si="0">SUM(C8:C9)</f>
        <v>0</v>
      </c>
      <c r="D10" s="555">
        <f t="shared" si="0"/>
        <v>0</v>
      </c>
      <c r="E10" s="555">
        <f t="shared" si="0"/>
        <v>0</v>
      </c>
      <c r="F10" s="555">
        <f t="shared" si="0"/>
        <v>0</v>
      </c>
      <c r="G10" s="555">
        <f t="shared" si="0"/>
        <v>0</v>
      </c>
      <c r="H10" s="555">
        <f t="shared" si="0"/>
        <v>0</v>
      </c>
      <c r="I10" s="555">
        <f t="shared" si="0"/>
        <v>0</v>
      </c>
      <c r="J10" s="555">
        <f t="shared" si="0"/>
        <v>68329.66386554623</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22802.142857142859</v>
      </c>
      <c r="C17" s="571">
        <f>B49</f>
        <v>0</v>
      </c>
      <c r="D17" s="572"/>
      <c r="E17" s="572">
        <f>E49</f>
        <v>0</v>
      </c>
      <c r="F17" s="573"/>
      <c r="G17" s="574"/>
      <c r="H17" s="571">
        <f>I49</f>
        <v>0</v>
      </c>
      <c r="I17" s="572">
        <f>G49+F49</f>
        <v>0</v>
      </c>
      <c r="J17" s="572">
        <f>H49+D49+C49</f>
        <v>26826.050420168071</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22802.142857142859</v>
      </c>
      <c r="C20" s="554">
        <f>SUM(C17:C19)</f>
        <v>0</v>
      </c>
      <c r="D20" s="554">
        <f t="shared" ref="D20:L20" si="1">SUM(D17:D19)</f>
        <v>0</v>
      </c>
      <c r="E20" s="554">
        <f t="shared" si="1"/>
        <v>0</v>
      </c>
      <c r="F20" s="554">
        <f t="shared" si="1"/>
        <v>0</v>
      </c>
      <c r="G20" s="554">
        <f t="shared" si="1"/>
        <v>0</v>
      </c>
      <c r="H20" s="554">
        <f t="shared" si="1"/>
        <v>0</v>
      </c>
      <c r="I20" s="554">
        <f t="shared" si="1"/>
        <v>0</v>
      </c>
      <c r="J20" s="554">
        <f t="shared" si="1"/>
        <v>26826.050420168071</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11057</v>
      </c>
      <c r="C28" s="746">
        <v>2390</v>
      </c>
      <c r="D28" s="632"/>
      <c r="E28" s="631"/>
      <c r="F28" s="631"/>
      <c r="G28" s="631" t="s">
        <v>861</v>
      </c>
      <c r="H28" s="631" t="s">
        <v>862</v>
      </c>
      <c r="I28" s="631"/>
      <c r="J28" s="745"/>
      <c r="K28" s="745"/>
      <c r="L28" s="631" t="s">
        <v>863</v>
      </c>
      <c r="M28" s="631">
        <v>3547</v>
      </c>
      <c r="N28" s="631">
        <v>15961.5</v>
      </c>
      <c r="O28" s="631">
        <v>22802.142857142859</v>
      </c>
      <c r="P28" s="631">
        <v>0</v>
      </c>
      <c r="Q28" s="631">
        <v>45604.285714285717</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3547</v>
      </c>
      <c r="N29" s="589">
        <f>SUM(N28:N28)</f>
        <v>15961.5</v>
      </c>
      <c r="O29" s="589">
        <f>SUM(O28:O28)</f>
        <v>22802.142857142859</v>
      </c>
      <c r="P29" s="589">
        <f>SUM(P28:P28)</f>
        <v>0</v>
      </c>
      <c r="Q29" s="589">
        <f>SUM(Q28:Q28)</f>
        <v>45604.285714285717</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3547</v>
      </c>
      <c r="N31" s="589">
        <f ca="1">SUMIF($AA$28:AE28,"tertiair",N28:N28)</f>
        <v>15961.5</v>
      </c>
      <c r="O31" s="589">
        <f ca="1">SUMIF($AA$28:AF28,"tertiair",O28:O28)</f>
        <v>22802.142857142859</v>
      </c>
      <c r="P31" s="589">
        <f ca="1">SUMIF($AA$28:AG28,"tertiair",P28:P28)</f>
        <v>0</v>
      </c>
      <c r="Q31" s="589">
        <f ca="1">SUMIF($AA$28:AH28,"tertiair",Q28:Q28)</f>
        <v>45604.285714285717</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38.25" hidden="1">
      <c r="A35" s="586"/>
      <c r="B35" s="746">
        <v>11057</v>
      </c>
      <c r="C35" s="746">
        <v>2390</v>
      </c>
      <c r="D35" s="634"/>
      <c r="E35" s="634"/>
      <c r="F35" s="634"/>
      <c r="G35" s="634" t="s">
        <v>864</v>
      </c>
      <c r="H35" s="634" t="s">
        <v>865</v>
      </c>
      <c r="I35" s="634"/>
      <c r="J35" s="745"/>
      <c r="K35" s="745"/>
      <c r="L35" s="634" t="s">
        <v>866</v>
      </c>
      <c r="M35" s="634">
        <v>3854</v>
      </c>
      <c r="N35" s="634">
        <v>17343</v>
      </c>
      <c r="O35" s="634">
        <v>0</v>
      </c>
      <c r="P35" s="634">
        <v>0</v>
      </c>
      <c r="Q35" s="634">
        <v>49551.428571428572</v>
      </c>
      <c r="R35" s="634">
        <v>0</v>
      </c>
      <c r="S35" s="634">
        <v>0</v>
      </c>
      <c r="T35" s="634">
        <v>0</v>
      </c>
      <c r="U35" s="634">
        <v>0</v>
      </c>
      <c r="V35" s="634">
        <v>0</v>
      </c>
      <c r="W35" s="634">
        <v>0</v>
      </c>
      <c r="X35" s="634"/>
      <c r="Y35" s="634">
        <v>10</v>
      </c>
      <c r="Z35" s="634" t="s">
        <v>105</v>
      </c>
      <c r="AA35" s="635" t="s">
        <v>105</v>
      </c>
    </row>
    <row r="36" spans="1:28" s="565" customFormat="1" hidden="1">
      <c r="A36" s="587" t="s">
        <v>269</v>
      </c>
      <c r="B36" s="588"/>
      <c r="C36" s="588"/>
      <c r="D36" s="588"/>
      <c r="E36" s="588"/>
      <c r="F36" s="588"/>
      <c r="G36" s="588"/>
      <c r="H36" s="588"/>
      <c r="I36" s="588"/>
      <c r="J36" s="588"/>
      <c r="K36" s="588"/>
      <c r="L36" s="589"/>
      <c r="M36" s="589">
        <f>SUM(M35:M35)</f>
        <v>3854</v>
      </c>
      <c r="N36" s="589">
        <f>SUM(N35:N35)</f>
        <v>17343</v>
      </c>
      <c r="O36" s="589">
        <f>SUM(O35:O35)</f>
        <v>0</v>
      </c>
      <c r="P36" s="589">
        <f>SUM(P35:P35)</f>
        <v>0</v>
      </c>
      <c r="Q36" s="589">
        <f>SUM(Q35:Q35)</f>
        <v>49551.428571428572</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3854</v>
      </c>
      <c r="N39" s="594">
        <f>SUMIF($AA$35:$AA$37,"landbouw",N35:N37)</f>
        <v>17343</v>
      </c>
      <c r="O39" s="594">
        <f>SUMIF($AA$35:$AA$37,"landbouw",O35:O37)</f>
        <v>0</v>
      </c>
      <c r="P39" s="594">
        <f>SUMIF($AA$35:$AA$37,"landbouw",P35:P37)</f>
        <v>0</v>
      </c>
      <c r="Q39" s="594">
        <f>SUMIF($AA$35:$AA$37,"landbouw",Q35:Q37)</f>
        <v>49551.428571428572</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0.41176470588235298</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18778.23529411765</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26826.050420168071</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38382.950938072565</v>
      </c>
      <c r="D10" s="642">
        <f ca="1">tertiair!C16</f>
        <v>22802.142857142859</v>
      </c>
      <c r="E10" s="642">
        <f ca="1">tertiair!D16</f>
        <v>39066.064319455159</v>
      </c>
      <c r="F10" s="642">
        <f>tertiair!E16</f>
        <v>69.456720686353506</v>
      </c>
      <c r="G10" s="642">
        <f ca="1">tertiair!F16</f>
        <v>4531.8366182452264</v>
      </c>
      <c r="H10" s="642">
        <f>tertiair!G16</f>
        <v>0</v>
      </c>
      <c r="I10" s="642">
        <f>tertiair!H16</f>
        <v>0</v>
      </c>
      <c r="J10" s="642">
        <f>tertiair!I16</f>
        <v>0</v>
      </c>
      <c r="K10" s="642">
        <f>tertiair!J16</f>
        <v>2.9778473754578653E-2</v>
      </c>
      <c r="L10" s="642">
        <f>tertiair!K16</f>
        <v>0</v>
      </c>
      <c r="M10" s="642">
        <f ca="1">tertiair!L16</f>
        <v>0</v>
      </c>
      <c r="N10" s="642">
        <f>tertiair!M16</f>
        <v>0</v>
      </c>
      <c r="O10" s="642">
        <f ca="1">tertiair!N16</f>
        <v>0</v>
      </c>
      <c r="P10" s="642">
        <f>tertiair!O16</f>
        <v>19.589043063364617</v>
      </c>
      <c r="Q10" s="643">
        <f>tertiair!P16</f>
        <v>210.15655322598008</v>
      </c>
      <c r="R10" s="645">
        <f ca="1">SUM(C10:Q10)</f>
        <v>105082.22682836525</v>
      </c>
      <c r="S10" s="67"/>
    </row>
    <row r="11" spans="1:19" s="441" customFormat="1">
      <c r="A11" s="762" t="s">
        <v>214</v>
      </c>
      <c r="B11" s="767"/>
      <c r="C11" s="642">
        <f>huishoudens!B8</f>
        <v>27597.485230765593</v>
      </c>
      <c r="D11" s="642">
        <f>huishoudens!C8</f>
        <v>0</v>
      </c>
      <c r="E11" s="642">
        <f>huishoudens!D8</f>
        <v>70877.300883402102</v>
      </c>
      <c r="F11" s="642">
        <f>huishoudens!E8</f>
        <v>1312.8622776572086</v>
      </c>
      <c r="G11" s="642">
        <f>huishoudens!F8</f>
        <v>21514.769412741825</v>
      </c>
      <c r="H11" s="642">
        <f>huishoudens!G8</f>
        <v>0</v>
      </c>
      <c r="I11" s="642">
        <f>huishoudens!H8</f>
        <v>0</v>
      </c>
      <c r="J11" s="642">
        <f>huishoudens!I8</f>
        <v>0</v>
      </c>
      <c r="K11" s="642">
        <f>huishoudens!J8</f>
        <v>118.7507443658168</v>
      </c>
      <c r="L11" s="642">
        <f>huishoudens!K8</f>
        <v>0</v>
      </c>
      <c r="M11" s="642">
        <f>huishoudens!L8</f>
        <v>0</v>
      </c>
      <c r="N11" s="642">
        <f>huishoudens!M8</f>
        <v>0</v>
      </c>
      <c r="O11" s="642">
        <f>huishoudens!N8</f>
        <v>7555.2637388423573</v>
      </c>
      <c r="P11" s="642">
        <f>huishoudens!O8</f>
        <v>291.64185824989369</v>
      </c>
      <c r="Q11" s="643">
        <f>huishoudens!P8</f>
        <v>821.64882599943178</v>
      </c>
      <c r="R11" s="645">
        <f>SUM(C11:Q11)</f>
        <v>130089.72297202423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45353.030626423511</v>
      </c>
      <c r="D13" s="642">
        <f>industrie!C18</f>
        <v>0</v>
      </c>
      <c r="E13" s="642">
        <f>industrie!D18</f>
        <v>39910.860159016171</v>
      </c>
      <c r="F13" s="642">
        <f>industrie!E18</f>
        <v>258.13737319007845</v>
      </c>
      <c r="G13" s="642">
        <f>industrie!F18</f>
        <v>7824.1257341148503</v>
      </c>
      <c r="H13" s="642">
        <f>industrie!G18</f>
        <v>0</v>
      </c>
      <c r="I13" s="642">
        <f>industrie!H18</f>
        <v>0</v>
      </c>
      <c r="J13" s="642">
        <f>industrie!I18</f>
        <v>0</v>
      </c>
      <c r="K13" s="642">
        <f>industrie!J18</f>
        <v>15.146657250950089</v>
      </c>
      <c r="L13" s="642">
        <f>industrie!K18</f>
        <v>0</v>
      </c>
      <c r="M13" s="642">
        <f>industrie!L18</f>
        <v>0</v>
      </c>
      <c r="N13" s="642">
        <f>industrie!M18</f>
        <v>0</v>
      </c>
      <c r="O13" s="642">
        <f>industrie!N18</f>
        <v>3234.8345779381243</v>
      </c>
      <c r="P13" s="642">
        <f>industrie!O18</f>
        <v>0</v>
      </c>
      <c r="Q13" s="643">
        <f>industrie!P18</f>
        <v>0</v>
      </c>
      <c r="R13" s="645">
        <f>SUM(C13:Q13)</f>
        <v>96596.135127933681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111333.46679526167</v>
      </c>
      <c r="D16" s="678">
        <f t="shared" ref="D16:R16" ca="1" si="0">SUM(D9:D15)</f>
        <v>22802.142857142859</v>
      </c>
      <c r="E16" s="678">
        <f t="shared" ca="1" si="0"/>
        <v>149854.22536187345</v>
      </c>
      <c r="F16" s="678">
        <f t="shared" si="0"/>
        <v>1640.4563715336405</v>
      </c>
      <c r="G16" s="678">
        <f t="shared" ca="1" si="0"/>
        <v>33870.731765101904</v>
      </c>
      <c r="H16" s="678">
        <f t="shared" si="0"/>
        <v>0</v>
      </c>
      <c r="I16" s="678">
        <f t="shared" si="0"/>
        <v>0</v>
      </c>
      <c r="J16" s="678">
        <f t="shared" si="0"/>
        <v>0</v>
      </c>
      <c r="K16" s="678">
        <f t="shared" si="0"/>
        <v>133.92718009052146</v>
      </c>
      <c r="L16" s="678">
        <f t="shared" si="0"/>
        <v>0</v>
      </c>
      <c r="M16" s="678">
        <f t="shared" ca="1" si="0"/>
        <v>0</v>
      </c>
      <c r="N16" s="678">
        <f t="shared" si="0"/>
        <v>0</v>
      </c>
      <c r="O16" s="678">
        <f t="shared" ca="1" si="0"/>
        <v>10790.098316780481</v>
      </c>
      <c r="P16" s="678">
        <f t="shared" si="0"/>
        <v>311.2309013132583</v>
      </c>
      <c r="Q16" s="678">
        <f t="shared" si="0"/>
        <v>1031.8053792254118</v>
      </c>
      <c r="R16" s="678">
        <f t="shared" ca="1" si="0"/>
        <v>331768.08492832317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35.503993746469895</v>
      </c>
      <c r="D19" s="642">
        <f>transport!C54</f>
        <v>0</v>
      </c>
      <c r="E19" s="642">
        <f>transport!D54</f>
        <v>0</v>
      </c>
      <c r="F19" s="642">
        <f>transport!E54</f>
        <v>0</v>
      </c>
      <c r="G19" s="642">
        <f>transport!F54</f>
        <v>0</v>
      </c>
      <c r="H19" s="642">
        <f>transport!G54</f>
        <v>2534.2111075004318</v>
      </c>
      <c r="I19" s="642">
        <f>transport!H54</f>
        <v>0</v>
      </c>
      <c r="J19" s="642">
        <f>transport!I54</f>
        <v>0</v>
      </c>
      <c r="K19" s="642">
        <f>transport!J54</f>
        <v>0</v>
      </c>
      <c r="L19" s="642">
        <f>transport!K54</f>
        <v>0</v>
      </c>
      <c r="M19" s="642">
        <f>transport!L54</f>
        <v>0</v>
      </c>
      <c r="N19" s="642">
        <f>transport!M54</f>
        <v>139.93557395428243</v>
      </c>
      <c r="O19" s="642">
        <f>transport!N54</f>
        <v>0</v>
      </c>
      <c r="P19" s="642">
        <f>transport!O54</f>
        <v>0</v>
      </c>
      <c r="Q19" s="643">
        <f>transport!P54</f>
        <v>0</v>
      </c>
      <c r="R19" s="645">
        <f>SUM(C19:Q19)</f>
        <v>2709.6506752011842</v>
      </c>
      <c r="S19" s="67"/>
    </row>
    <row r="20" spans="1:19" s="441" customFormat="1">
      <c r="A20" s="762" t="s">
        <v>296</v>
      </c>
      <c r="B20" s="767"/>
      <c r="C20" s="642">
        <f>transport!B14</f>
        <v>156.74445881378097</v>
      </c>
      <c r="D20" s="642">
        <f>transport!C14</f>
        <v>0</v>
      </c>
      <c r="E20" s="642">
        <f>transport!D14</f>
        <v>279.25529004684955</v>
      </c>
      <c r="F20" s="642">
        <f>transport!E14</f>
        <v>154.13377495697284</v>
      </c>
      <c r="G20" s="642">
        <f>transport!F14</f>
        <v>0</v>
      </c>
      <c r="H20" s="642">
        <f>transport!G14</f>
        <v>72446.202609245913</v>
      </c>
      <c r="I20" s="642">
        <f>transport!H14</f>
        <v>18437.226230932545</v>
      </c>
      <c r="J20" s="642">
        <f>transport!I14</f>
        <v>0</v>
      </c>
      <c r="K20" s="642">
        <f>transport!J14</f>
        <v>0</v>
      </c>
      <c r="L20" s="642">
        <f>transport!K14</f>
        <v>0</v>
      </c>
      <c r="M20" s="642">
        <f>transport!L14</f>
        <v>0</v>
      </c>
      <c r="N20" s="642">
        <f>transport!M14</f>
        <v>5360.5139664623075</v>
      </c>
      <c r="O20" s="642">
        <f>transport!N14</f>
        <v>0</v>
      </c>
      <c r="P20" s="642">
        <f>transport!O14</f>
        <v>0</v>
      </c>
      <c r="Q20" s="643">
        <f>transport!P14</f>
        <v>0</v>
      </c>
      <c r="R20" s="645">
        <f>SUM(C20:Q20)</f>
        <v>96834.076330458367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192.24845256025085</v>
      </c>
      <c r="D22" s="765">
        <f t="shared" ref="D22:R22" si="1">SUM(D18:D21)</f>
        <v>0</v>
      </c>
      <c r="E22" s="765">
        <f t="shared" si="1"/>
        <v>279.25529004684955</v>
      </c>
      <c r="F22" s="765">
        <f t="shared" si="1"/>
        <v>154.13377495697284</v>
      </c>
      <c r="G22" s="765">
        <f t="shared" si="1"/>
        <v>0</v>
      </c>
      <c r="H22" s="765">
        <f t="shared" si="1"/>
        <v>74980.413716746349</v>
      </c>
      <c r="I22" s="765">
        <f t="shared" si="1"/>
        <v>18437.226230932545</v>
      </c>
      <c r="J22" s="765">
        <f t="shared" si="1"/>
        <v>0</v>
      </c>
      <c r="K22" s="765">
        <f t="shared" si="1"/>
        <v>0</v>
      </c>
      <c r="L22" s="765">
        <f t="shared" si="1"/>
        <v>0</v>
      </c>
      <c r="M22" s="765">
        <f t="shared" si="1"/>
        <v>0</v>
      </c>
      <c r="N22" s="765">
        <f t="shared" si="1"/>
        <v>5500.44954041659</v>
      </c>
      <c r="O22" s="765">
        <f t="shared" si="1"/>
        <v>0</v>
      </c>
      <c r="P22" s="765">
        <f t="shared" si="1"/>
        <v>0</v>
      </c>
      <c r="Q22" s="765">
        <f t="shared" si="1"/>
        <v>0</v>
      </c>
      <c r="R22" s="765">
        <f t="shared" si="1"/>
        <v>99543.727005659544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2104.3987549317599</v>
      </c>
      <c r="D24" s="642">
        <f>+landbouw!C8</f>
        <v>0</v>
      </c>
      <c r="E24" s="642">
        <f>+landbouw!D8</f>
        <v>4429.2129049003424</v>
      </c>
      <c r="F24" s="642">
        <f>+landbouw!E8</f>
        <v>62.043624703902104</v>
      </c>
      <c r="G24" s="642">
        <f>+landbouw!F8</f>
        <v>6688.5271236696735</v>
      </c>
      <c r="H24" s="642">
        <f>+landbouw!G8</f>
        <v>0</v>
      </c>
      <c r="I24" s="642">
        <f>+landbouw!H8</f>
        <v>0</v>
      </c>
      <c r="J24" s="642">
        <f>+landbouw!I8</f>
        <v>0</v>
      </c>
      <c r="K24" s="642">
        <f>+landbouw!J8</f>
        <v>530.7164434146448</v>
      </c>
      <c r="L24" s="642">
        <f>+landbouw!K8</f>
        <v>0</v>
      </c>
      <c r="M24" s="642">
        <f>+landbouw!L8</f>
        <v>0</v>
      </c>
      <c r="N24" s="642">
        <f>+landbouw!M8</f>
        <v>0</v>
      </c>
      <c r="O24" s="642">
        <f>+landbouw!N8</f>
        <v>0</v>
      </c>
      <c r="P24" s="642">
        <f>+landbouw!O8</f>
        <v>0</v>
      </c>
      <c r="Q24" s="643">
        <f>+landbouw!P8</f>
        <v>0</v>
      </c>
      <c r="R24" s="645">
        <f>SUM(C24:Q24)</f>
        <v>13814.898851620323</v>
      </c>
      <c r="S24" s="67"/>
    </row>
    <row r="25" spans="1:19" s="441" customFormat="1" ht="15" thickBot="1">
      <c r="A25" s="784" t="s">
        <v>672</v>
      </c>
      <c r="B25" s="895"/>
      <c r="C25" s="896">
        <f>IF(Onbekend_ele_kWh="---",0,Onbekend_ele_kWh)/1000+IF(REST_rest_ele_kWh="---",0,REST_rest_ele_kWh)/1000</f>
        <v>681.92197384820997</v>
      </c>
      <c r="D25" s="896"/>
      <c r="E25" s="896">
        <f>IF(onbekend_gas_kWh="---",0,onbekend_gas_kWh)/1000+IF(REST_rest_gas_kWh="---",0,REST_rest_gas_kWh)/1000</f>
        <v>1739.4606376286702</v>
      </c>
      <c r="F25" s="896"/>
      <c r="G25" s="896"/>
      <c r="H25" s="896"/>
      <c r="I25" s="896"/>
      <c r="J25" s="896"/>
      <c r="K25" s="896"/>
      <c r="L25" s="896"/>
      <c r="M25" s="896"/>
      <c r="N25" s="896"/>
      <c r="O25" s="896"/>
      <c r="P25" s="896"/>
      <c r="Q25" s="897"/>
      <c r="R25" s="645">
        <f>SUM(C25:Q25)</f>
        <v>2421.3826114768799</v>
      </c>
      <c r="S25" s="67"/>
    </row>
    <row r="26" spans="1:19" s="441" customFormat="1" ht="15.75" thickBot="1">
      <c r="A26" s="650" t="s">
        <v>673</v>
      </c>
      <c r="B26" s="770"/>
      <c r="C26" s="765">
        <f>SUM(C24:C25)</f>
        <v>2786.3207287799696</v>
      </c>
      <c r="D26" s="765">
        <f t="shared" ref="D26:R26" si="2">SUM(D24:D25)</f>
        <v>0</v>
      </c>
      <c r="E26" s="765">
        <f t="shared" si="2"/>
        <v>6168.6735425290126</v>
      </c>
      <c r="F26" s="765">
        <f t="shared" si="2"/>
        <v>62.043624703902104</v>
      </c>
      <c r="G26" s="765">
        <f t="shared" si="2"/>
        <v>6688.5271236696735</v>
      </c>
      <c r="H26" s="765">
        <f t="shared" si="2"/>
        <v>0</v>
      </c>
      <c r="I26" s="765">
        <f t="shared" si="2"/>
        <v>0</v>
      </c>
      <c r="J26" s="765">
        <f t="shared" si="2"/>
        <v>0</v>
      </c>
      <c r="K26" s="765">
        <f t="shared" si="2"/>
        <v>530.7164434146448</v>
      </c>
      <c r="L26" s="765">
        <f t="shared" si="2"/>
        <v>0</v>
      </c>
      <c r="M26" s="765">
        <f t="shared" si="2"/>
        <v>0</v>
      </c>
      <c r="N26" s="765">
        <f t="shared" si="2"/>
        <v>0</v>
      </c>
      <c r="O26" s="765">
        <f t="shared" si="2"/>
        <v>0</v>
      </c>
      <c r="P26" s="765">
        <f t="shared" si="2"/>
        <v>0</v>
      </c>
      <c r="Q26" s="765">
        <f t="shared" si="2"/>
        <v>0</v>
      </c>
      <c r="R26" s="765">
        <f t="shared" si="2"/>
        <v>16236.281463097203</v>
      </c>
      <c r="S26" s="67"/>
    </row>
    <row r="27" spans="1:19" s="441" customFormat="1" ht="17.25" thickTop="1" thickBot="1">
      <c r="A27" s="651" t="s">
        <v>109</v>
      </c>
      <c r="B27" s="757"/>
      <c r="C27" s="652">
        <f ca="1">C22+C16+C26</f>
        <v>114312.0359766019</v>
      </c>
      <c r="D27" s="652">
        <f t="shared" ref="D27:R27" ca="1" si="3">D22+D16+D26</f>
        <v>22802.142857142859</v>
      </c>
      <c r="E27" s="652">
        <f t="shared" ca="1" si="3"/>
        <v>156302.15419444934</v>
      </c>
      <c r="F27" s="652">
        <f t="shared" si="3"/>
        <v>1856.6337711945155</v>
      </c>
      <c r="G27" s="652">
        <f t="shared" ca="1" si="3"/>
        <v>40559.258888771576</v>
      </c>
      <c r="H27" s="652">
        <f t="shared" si="3"/>
        <v>74980.413716746349</v>
      </c>
      <c r="I27" s="652">
        <f t="shared" si="3"/>
        <v>18437.226230932545</v>
      </c>
      <c r="J27" s="652">
        <f t="shared" si="3"/>
        <v>0</v>
      </c>
      <c r="K27" s="652">
        <f t="shared" si="3"/>
        <v>664.64362350516626</v>
      </c>
      <c r="L27" s="652">
        <f t="shared" si="3"/>
        <v>0</v>
      </c>
      <c r="M27" s="652">
        <f t="shared" ca="1" si="3"/>
        <v>0</v>
      </c>
      <c r="N27" s="652">
        <f t="shared" si="3"/>
        <v>5500.44954041659</v>
      </c>
      <c r="O27" s="652">
        <f t="shared" ca="1" si="3"/>
        <v>10790.098316780481</v>
      </c>
      <c r="P27" s="652">
        <f t="shared" si="3"/>
        <v>311.2309013132583</v>
      </c>
      <c r="Q27" s="652">
        <f t="shared" si="3"/>
        <v>1031.8053792254118</v>
      </c>
      <c r="R27" s="652">
        <f t="shared" ca="1" si="3"/>
        <v>447548.09339707991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5190.4600922059017</v>
      </c>
      <c r="D40" s="642">
        <f ca="1">tertiair!C20</f>
        <v>0</v>
      </c>
      <c r="E40" s="642">
        <f ca="1">tertiair!D20</f>
        <v>7891.3449925299428</v>
      </c>
      <c r="F40" s="642">
        <f>tertiair!E20</f>
        <v>15.766675595802246</v>
      </c>
      <c r="G40" s="642">
        <f ca="1">tertiair!F20</f>
        <v>1210.0003770714754</v>
      </c>
      <c r="H40" s="642">
        <f>tertiair!G20</f>
        <v>0</v>
      </c>
      <c r="I40" s="642">
        <f>tertiair!H20</f>
        <v>0</v>
      </c>
      <c r="J40" s="642">
        <f>tertiair!I20</f>
        <v>0</v>
      </c>
      <c r="K40" s="642">
        <f>tertiair!J20</f>
        <v>1.0541579709120842E-2</v>
      </c>
      <c r="L40" s="642">
        <f>tertiair!K20</f>
        <v>0</v>
      </c>
      <c r="M40" s="642">
        <f ca="1">tertiair!L20</f>
        <v>0</v>
      </c>
      <c r="N40" s="642">
        <f>tertiair!M20</f>
        <v>0</v>
      </c>
      <c r="O40" s="642">
        <f ca="1">tertiair!N20</f>
        <v>0</v>
      </c>
      <c r="P40" s="642">
        <f>tertiair!O20</f>
        <v>0</v>
      </c>
      <c r="Q40" s="725">
        <f>tertiair!P20</f>
        <v>0</v>
      </c>
      <c r="R40" s="803">
        <f t="shared" ca="1" si="4"/>
        <v>14307.582678982832</v>
      </c>
    </row>
    <row r="41" spans="1:18">
      <c r="A41" s="775" t="s">
        <v>214</v>
      </c>
      <c r="B41" s="782"/>
      <c r="C41" s="642">
        <f ca="1">huishoudens!B12</f>
        <v>3731.9602124037128</v>
      </c>
      <c r="D41" s="642">
        <f ca="1">huishoudens!C12</f>
        <v>0</v>
      </c>
      <c r="E41" s="642">
        <f>huishoudens!D12</f>
        <v>14317.214778447225</v>
      </c>
      <c r="F41" s="642">
        <f>huishoudens!E12</f>
        <v>298.01973702818634</v>
      </c>
      <c r="G41" s="642">
        <f>huishoudens!F12</f>
        <v>5744.4434332020674</v>
      </c>
      <c r="H41" s="642">
        <f>huishoudens!G12</f>
        <v>0</v>
      </c>
      <c r="I41" s="642">
        <f>huishoudens!H12</f>
        <v>0</v>
      </c>
      <c r="J41" s="642">
        <f>huishoudens!I12</f>
        <v>0</v>
      </c>
      <c r="K41" s="642">
        <f>huishoudens!J12</f>
        <v>42.037763505499143</v>
      </c>
      <c r="L41" s="642">
        <f>huishoudens!K12</f>
        <v>0</v>
      </c>
      <c r="M41" s="642">
        <f>huishoudens!L12</f>
        <v>0</v>
      </c>
      <c r="N41" s="642">
        <f>huishoudens!M12</f>
        <v>0</v>
      </c>
      <c r="O41" s="642">
        <f>huishoudens!N12</f>
        <v>0</v>
      </c>
      <c r="P41" s="642">
        <f>huishoudens!O12</f>
        <v>0</v>
      </c>
      <c r="Q41" s="725">
        <f>huishoudens!P12</f>
        <v>0</v>
      </c>
      <c r="R41" s="803">
        <f t="shared" ca="1" si="4"/>
        <v>24133.675924586689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6133.0119173704215</v>
      </c>
      <c r="D43" s="642">
        <f ca="1">industrie!C22</f>
        <v>0</v>
      </c>
      <c r="E43" s="642">
        <f>industrie!D22</f>
        <v>8061.9937521212669</v>
      </c>
      <c r="F43" s="642">
        <f>industrie!E22</f>
        <v>58.59718371414781</v>
      </c>
      <c r="G43" s="642">
        <f>industrie!F22</f>
        <v>2089.041571008665</v>
      </c>
      <c r="H43" s="642">
        <f>industrie!G22</f>
        <v>0</v>
      </c>
      <c r="I43" s="642">
        <f>industrie!H22</f>
        <v>0</v>
      </c>
      <c r="J43" s="642">
        <f>industrie!I22</f>
        <v>0</v>
      </c>
      <c r="K43" s="642">
        <f>industrie!J22</f>
        <v>5.3619166668363309</v>
      </c>
      <c r="L43" s="642">
        <f>industrie!K22</f>
        <v>0</v>
      </c>
      <c r="M43" s="642">
        <f>industrie!L22</f>
        <v>0</v>
      </c>
      <c r="N43" s="642">
        <f>industrie!M22</f>
        <v>0</v>
      </c>
      <c r="O43" s="642">
        <f>industrie!N22</f>
        <v>0</v>
      </c>
      <c r="P43" s="642">
        <f>industrie!O22</f>
        <v>0</v>
      </c>
      <c r="Q43" s="725">
        <f>industrie!P22</f>
        <v>0</v>
      </c>
      <c r="R43" s="802">
        <f t="shared" ca="1" si="4"/>
        <v>16348.006340881338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15055.432221980038</v>
      </c>
      <c r="D46" s="678">
        <f t="shared" ref="D46:Q46" ca="1" si="5">SUM(D39:D45)</f>
        <v>0</v>
      </c>
      <c r="E46" s="678">
        <f t="shared" ca="1" si="5"/>
        <v>30270.553523098435</v>
      </c>
      <c r="F46" s="678">
        <f t="shared" si="5"/>
        <v>372.38359633813644</v>
      </c>
      <c r="G46" s="678">
        <f t="shared" ca="1" si="5"/>
        <v>9043.4853812822075</v>
      </c>
      <c r="H46" s="678">
        <f t="shared" si="5"/>
        <v>0</v>
      </c>
      <c r="I46" s="678">
        <f t="shared" si="5"/>
        <v>0</v>
      </c>
      <c r="J46" s="678">
        <f t="shared" si="5"/>
        <v>0</v>
      </c>
      <c r="K46" s="678">
        <f t="shared" si="5"/>
        <v>47.410221752044592</v>
      </c>
      <c r="L46" s="678">
        <f t="shared" si="5"/>
        <v>0</v>
      </c>
      <c r="M46" s="678">
        <f t="shared" ca="1" si="5"/>
        <v>0</v>
      </c>
      <c r="N46" s="678">
        <f t="shared" si="5"/>
        <v>0</v>
      </c>
      <c r="O46" s="678">
        <f t="shared" ca="1" si="5"/>
        <v>0</v>
      </c>
      <c r="P46" s="678">
        <f t="shared" si="5"/>
        <v>0</v>
      </c>
      <c r="Q46" s="678">
        <f t="shared" si="5"/>
        <v>0</v>
      </c>
      <c r="R46" s="678">
        <f ca="1">SUM(R39:R45)</f>
        <v>54789.264944450857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4.8011436888295114</v>
      </c>
      <c r="D49" s="642">
        <f ca="1">transport!C58</f>
        <v>0</v>
      </c>
      <c r="E49" s="642">
        <f>transport!D58</f>
        <v>0</v>
      </c>
      <c r="F49" s="642">
        <f>transport!E58</f>
        <v>0</v>
      </c>
      <c r="G49" s="642">
        <f>transport!F58</f>
        <v>0</v>
      </c>
      <c r="H49" s="642">
        <f>transport!G58</f>
        <v>676.63436570261536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681.43550939144484</v>
      </c>
    </row>
    <row r="50" spans="1:18">
      <c r="A50" s="778" t="s">
        <v>296</v>
      </c>
      <c r="B50" s="788"/>
      <c r="C50" s="648">
        <f ca="1">transport!B18</f>
        <v>21.196282158189792</v>
      </c>
      <c r="D50" s="648">
        <f>transport!C18</f>
        <v>0</v>
      </c>
      <c r="E50" s="648">
        <f>transport!D18</f>
        <v>56.409568589463611</v>
      </c>
      <c r="F50" s="648">
        <f>transport!E18</f>
        <v>34.988366915232838</v>
      </c>
      <c r="G50" s="648">
        <f>transport!F18</f>
        <v>0</v>
      </c>
      <c r="H50" s="648">
        <f>transport!G18</f>
        <v>19343.136096668659</v>
      </c>
      <c r="I50" s="648">
        <f>transport!H18</f>
        <v>4590.8693315022037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24046.599645833747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25.997425847019304</v>
      </c>
      <c r="D52" s="678">
        <f t="shared" ref="D52:Q52" ca="1" si="6">SUM(D48:D51)</f>
        <v>0</v>
      </c>
      <c r="E52" s="678">
        <f t="shared" si="6"/>
        <v>56.409568589463611</v>
      </c>
      <c r="F52" s="678">
        <f t="shared" si="6"/>
        <v>34.988366915232838</v>
      </c>
      <c r="G52" s="678">
        <f t="shared" si="6"/>
        <v>0</v>
      </c>
      <c r="H52" s="678">
        <f t="shared" si="6"/>
        <v>20019.770462371274</v>
      </c>
      <c r="I52" s="678">
        <f t="shared" si="6"/>
        <v>4590.8693315022037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24728.035155225192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284.5742051772944</v>
      </c>
      <c r="D54" s="648">
        <f ca="1">+landbouw!C12</f>
        <v>0</v>
      </c>
      <c r="E54" s="648">
        <f>+landbouw!D12</f>
        <v>894.70100678986921</v>
      </c>
      <c r="F54" s="648">
        <f>+landbouw!E12</f>
        <v>14.083902807785778</v>
      </c>
      <c r="G54" s="648">
        <f>+landbouw!F12</f>
        <v>1785.8367420198028</v>
      </c>
      <c r="H54" s="648">
        <f>+landbouw!G12</f>
        <v>0</v>
      </c>
      <c r="I54" s="648">
        <f>+landbouw!H12</f>
        <v>0</v>
      </c>
      <c r="J54" s="648">
        <f>+landbouw!I12</f>
        <v>0</v>
      </c>
      <c r="K54" s="648">
        <f>+landbouw!J12</f>
        <v>187.87362096878425</v>
      </c>
      <c r="L54" s="648">
        <f>+landbouw!K12</f>
        <v>0</v>
      </c>
      <c r="M54" s="648">
        <f>+landbouw!L12</f>
        <v>0</v>
      </c>
      <c r="N54" s="648">
        <f>+landbouw!M12</f>
        <v>0</v>
      </c>
      <c r="O54" s="648">
        <f>+landbouw!N12</f>
        <v>0</v>
      </c>
      <c r="P54" s="648">
        <f>+landbouw!O12</f>
        <v>0</v>
      </c>
      <c r="Q54" s="649">
        <f>+landbouw!P12</f>
        <v>0</v>
      </c>
      <c r="R54" s="677">
        <f ca="1">SUM(C54:Q54)</f>
        <v>3167.0694777635363</v>
      </c>
    </row>
    <row r="55" spans="1:18" ht="15" thickBot="1">
      <c r="A55" s="778" t="s">
        <v>672</v>
      </c>
      <c r="B55" s="788"/>
      <c r="C55" s="648">
        <f ca="1">C25*'EF ele_warmte'!B12</f>
        <v>92.215129497678717</v>
      </c>
      <c r="D55" s="648"/>
      <c r="E55" s="648">
        <f>E25*EF_CO2_aardgas</f>
        <v>351.37104880099139</v>
      </c>
      <c r="F55" s="648"/>
      <c r="G55" s="648"/>
      <c r="H55" s="648"/>
      <c r="I55" s="648"/>
      <c r="J55" s="648"/>
      <c r="K55" s="648"/>
      <c r="L55" s="648"/>
      <c r="M55" s="648"/>
      <c r="N55" s="648"/>
      <c r="O55" s="648"/>
      <c r="P55" s="648"/>
      <c r="Q55" s="649"/>
      <c r="R55" s="677">
        <f ca="1">SUM(C55:Q55)</f>
        <v>443.58617829867012</v>
      </c>
    </row>
    <row r="56" spans="1:18" ht="15.75" thickBot="1">
      <c r="A56" s="776" t="s">
        <v>673</v>
      </c>
      <c r="B56" s="789"/>
      <c r="C56" s="678">
        <f ca="1">SUM(C54:C55)</f>
        <v>376.78933467497313</v>
      </c>
      <c r="D56" s="678">
        <f t="shared" ref="D56:Q56" ca="1" si="7">SUM(D54:D55)</f>
        <v>0</v>
      </c>
      <c r="E56" s="678">
        <f t="shared" si="7"/>
        <v>1246.0720555908606</v>
      </c>
      <c r="F56" s="678">
        <f t="shared" si="7"/>
        <v>14.083902807785778</v>
      </c>
      <c r="G56" s="678">
        <f t="shared" si="7"/>
        <v>1785.8367420198028</v>
      </c>
      <c r="H56" s="678">
        <f t="shared" si="7"/>
        <v>0</v>
      </c>
      <c r="I56" s="678">
        <f t="shared" si="7"/>
        <v>0</v>
      </c>
      <c r="J56" s="678">
        <f t="shared" si="7"/>
        <v>0</v>
      </c>
      <c r="K56" s="678">
        <f t="shared" si="7"/>
        <v>187.87362096878425</v>
      </c>
      <c r="L56" s="678">
        <f t="shared" si="7"/>
        <v>0</v>
      </c>
      <c r="M56" s="678">
        <f t="shared" si="7"/>
        <v>0</v>
      </c>
      <c r="N56" s="678">
        <f t="shared" si="7"/>
        <v>0</v>
      </c>
      <c r="O56" s="678">
        <f t="shared" si="7"/>
        <v>0</v>
      </c>
      <c r="P56" s="678">
        <f t="shared" si="7"/>
        <v>0</v>
      </c>
      <c r="Q56" s="679">
        <f t="shared" si="7"/>
        <v>0</v>
      </c>
      <c r="R56" s="680">
        <f ca="1">SUM(R54:R55)</f>
        <v>3610.6556560622066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15458.21898250203</v>
      </c>
      <c r="D61" s="686">
        <f t="shared" ref="D61:Q61" ca="1" si="8">D46+D52+D56</f>
        <v>0</v>
      </c>
      <c r="E61" s="686">
        <f t="shared" ca="1" si="8"/>
        <v>31573.035147278759</v>
      </c>
      <c r="F61" s="686">
        <f t="shared" si="8"/>
        <v>421.45586606115506</v>
      </c>
      <c r="G61" s="686">
        <f t="shared" ca="1" si="8"/>
        <v>10829.32212330201</v>
      </c>
      <c r="H61" s="686">
        <f t="shared" si="8"/>
        <v>20019.770462371274</v>
      </c>
      <c r="I61" s="686">
        <f t="shared" si="8"/>
        <v>4590.8693315022037</v>
      </c>
      <c r="J61" s="686">
        <f t="shared" si="8"/>
        <v>0</v>
      </c>
      <c r="K61" s="686">
        <f t="shared" si="8"/>
        <v>235.28384272082883</v>
      </c>
      <c r="L61" s="686">
        <f t="shared" si="8"/>
        <v>0</v>
      </c>
      <c r="M61" s="686">
        <f t="shared" ca="1" si="8"/>
        <v>0</v>
      </c>
      <c r="N61" s="686">
        <f t="shared" si="8"/>
        <v>0</v>
      </c>
      <c r="O61" s="686">
        <f t="shared" ca="1" si="8"/>
        <v>0</v>
      </c>
      <c r="P61" s="686">
        <f t="shared" si="8"/>
        <v>0</v>
      </c>
      <c r="Q61" s="686">
        <f t="shared" si="8"/>
        <v>0</v>
      </c>
      <c r="R61" s="686">
        <f ca="1">R46+R52+R56</f>
        <v>83127.955755738265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0.1352282710253373</v>
      </c>
      <c r="D63" s="732">
        <f t="shared" ca="1" si="9"/>
        <v>0</v>
      </c>
      <c r="E63" s="921">
        <f t="shared" ca="1" si="9"/>
        <v>0.20199999999999996</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11060.843748085927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15961.5</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18778.23529411765</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17343</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49551.428571428572</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44365.343748085928</v>
      </c>
      <c r="C78" s="704">
        <f>SUM(C72:C77)</f>
        <v>0</v>
      </c>
      <c r="D78" s="705">
        <f t="shared" ref="D78:H78" si="10">SUM(D76:D77)</f>
        <v>0</v>
      </c>
      <c r="E78" s="705">
        <f t="shared" si="10"/>
        <v>0</v>
      </c>
      <c r="F78" s="705">
        <f t="shared" si="10"/>
        <v>0</v>
      </c>
      <c r="G78" s="705">
        <f t="shared" si="10"/>
        <v>0</v>
      </c>
      <c r="H78" s="705">
        <f t="shared" si="10"/>
        <v>0</v>
      </c>
      <c r="I78" s="705">
        <f>SUM(I76:I77)</f>
        <v>0</v>
      </c>
      <c r="J78" s="705">
        <f>SUM(J76:J77)</f>
        <v>68329.66386554623</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22802.142857142859</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26826.050420168071</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22802.142857142859</v>
      </c>
      <c r="C90" s="704">
        <f>SUM(C87:C89)</f>
        <v>0</v>
      </c>
      <c r="D90" s="704">
        <f t="shared" ref="D90:H90" si="12">SUM(D87:D89)</f>
        <v>0</v>
      </c>
      <c r="E90" s="704">
        <f t="shared" si="12"/>
        <v>0</v>
      </c>
      <c r="F90" s="704">
        <f t="shared" si="12"/>
        <v>0</v>
      </c>
      <c r="G90" s="704">
        <f t="shared" si="12"/>
        <v>0</v>
      </c>
      <c r="H90" s="704">
        <f t="shared" si="12"/>
        <v>0</v>
      </c>
      <c r="I90" s="704">
        <f>SUM(I87:I89)</f>
        <v>0</v>
      </c>
      <c r="J90" s="704">
        <f>SUM(J87:J89)</f>
        <v>26826.050420168071</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27597.485230765593</v>
      </c>
      <c r="C4" s="445">
        <f>huishoudens!C8</f>
        <v>0</v>
      </c>
      <c r="D4" s="445">
        <f>huishoudens!D8</f>
        <v>70877.300883402102</v>
      </c>
      <c r="E4" s="445">
        <f>huishoudens!E8</f>
        <v>1312.8622776572086</v>
      </c>
      <c r="F4" s="445">
        <f>huishoudens!F8</f>
        <v>21514.769412741825</v>
      </c>
      <c r="G4" s="445">
        <f>huishoudens!G8</f>
        <v>0</v>
      </c>
      <c r="H4" s="445">
        <f>huishoudens!H8</f>
        <v>0</v>
      </c>
      <c r="I4" s="445">
        <f>huishoudens!I8</f>
        <v>0</v>
      </c>
      <c r="J4" s="445">
        <f>huishoudens!J8</f>
        <v>118.7507443658168</v>
      </c>
      <c r="K4" s="445">
        <f>huishoudens!K8</f>
        <v>0</v>
      </c>
      <c r="L4" s="445">
        <f>huishoudens!L8</f>
        <v>0</v>
      </c>
      <c r="M4" s="445">
        <f>huishoudens!M8</f>
        <v>0</v>
      </c>
      <c r="N4" s="445">
        <f>huishoudens!N8</f>
        <v>7555.2637388423573</v>
      </c>
      <c r="O4" s="445">
        <f>huishoudens!O8</f>
        <v>291.64185824989369</v>
      </c>
      <c r="P4" s="446">
        <f>huishoudens!P8</f>
        <v>821.64882599943178</v>
      </c>
      <c r="Q4" s="447">
        <f>SUM(B4:P4)</f>
        <v>130089.72297202423</v>
      </c>
    </row>
    <row r="5" spans="1:17">
      <c r="A5" s="444" t="s">
        <v>149</v>
      </c>
      <c r="B5" s="445">
        <f ca="1">tertiair!B16</f>
        <v>37851.274938072565</v>
      </c>
      <c r="C5" s="445">
        <f ca="1">tertiair!C16</f>
        <v>22802.142857142859</v>
      </c>
      <c r="D5" s="445">
        <f ca="1">tertiair!D16</f>
        <v>39066.064319455159</v>
      </c>
      <c r="E5" s="445">
        <f>tertiair!E16</f>
        <v>69.456720686353506</v>
      </c>
      <c r="F5" s="445">
        <f ca="1">tertiair!F16</f>
        <v>4531.8366182452264</v>
      </c>
      <c r="G5" s="445">
        <f>tertiair!G16</f>
        <v>0</v>
      </c>
      <c r="H5" s="445">
        <f>tertiair!H16</f>
        <v>0</v>
      </c>
      <c r="I5" s="445">
        <f>tertiair!I16</f>
        <v>0</v>
      </c>
      <c r="J5" s="445">
        <f>tertiair!J16</f>
        <v>2.9778473754578653E-2</v>
      </c>
      <c r="K5" s="445">
        <f>tertiair!K16</f>
        <v>0</v>
      </c>
      <c r="L5" s="445">
        <f ca="1">tertiair!L16</f>
        <v>0</v>
      </c>
      <c r="M5" s="445">
        <f>tertiair!M16</f>
        <v>0</v>
      </c>
      <c r="N5" s="445">
        <f ca="1">tertiair!N16</f>
        <v>0</v>
      </c>
      <c r="O5" s="445">
        <f>tertiair!O16</f>
        <v>19.589043063364617</v>
      </c>
      <c r="P5" s="446">
        <f>tertiair!P16</f>
        <v>210.15655322598008</v>
      </c>
      <c r="Q5" s="444">
        <f t="shared" ref="Q5:Q14" ca="1" si="0">SUM(B5:P5)</f>
        <v>104550.55082836527</v>
      </c>
    </row>
    <row r="6" spans="1:17">
      <c r="A6" s="444" t="s">
        <v>187</v>
      </c>
      <c r="B6" s="445">
        <f>'openbare verlichting'!B8</f>
        <v>531.67600000000004</v>
      </c>
      <c r="C6" s="445"/>
      <c r="D6" s="445"/>
      <c r="E6" s="445"/>
      <c r="F6" s="445"/>
      <c r="G6" s="445"/>
      <c r="H6" s="445"/>
      <c r="I6" s="445"/>
      <c r="J6" s="445"/>
      <c r="K6" s="445"/>
      <c r="L6" s="445"/>
      <c r="M6" s="445"/>
      <c r="N6" s="445"/>
      <c r="O6" s="445"/>
      <c r="P6" s="446"/>
      <c r="Q6" s="444">
        <f t="shared" si="0"/>
        <v>531.67600000000004</v>
      </c>
    </row>
    <row r="7" spans="1:17">
      <c r="A7" s="444" t="s">
        <v>105</v>
      </c>
      <c r="B7" s="445">
        <f>landbouw!B8</f>
        <v>2104.3987549317599</v>
      </c>
      <c r="C7" s="445">
        <f>landbouw!C8</f>
        <v>0</v>
      </c>
      <c r="D7" s="445">
        <f>landbouw!D8</f>
        <v>4429.2129049003424</v>
      </c>
      <c r="E7" s="445">
        <f>landbouw!E8</f>
        <v>62.043624703902104</v>
      </c>
      <c r="F7" s="445">
        <f>landbouw!F8</f>
        <v>6688.5271236696735</v>
      </c>
      <c r="G7" s="445">
        <f>landbouw!G8</f>
        <v>0</v>
      </c>
      <c r="H7" s="445">
        <f>landbouw!H8</f>
        <v>0</v>
      </c>
      <c r="I7" s="445">
        <f>landbouw!I8</f>
        <v>0</v>
      </c>
      <c r="J7" s="445">
        <f>landbouw!J8</f>
        <v>530.7164434146448</v>
      </c>
      <c r="K7" s="445">
        <f>landbouw!K8</f>
        <v>0</v>
      </c>
      <c r="L7" s="445">
        <f>landbouw!L8</f>
        <v>0</v>
      </c>
      <c r="M7" s="445">
        <f>landbouw!M8</f>
        <v>0</v>
      </c>
      <c r="N7" s="445">
        <f>landbouw!N8</f>
        <v>0</v>
      </c>
      <c r="O7" s="445">
        <f>landbouw!O8</f>
        <v>0</v>
      </c>
      <c r="P7" s="446">
        <f>landbouw!P8</f>
        <v>0</v>
      </c>
      <c r="Q7" s="444">
        <f t="shared" si="0"/>
        <v>13814.898851620323</v>
      </c>
    </row>
    <row r="8" spans="1:17">
      <c r="A8" s="444" t="s">
        <v>587</v>
      </c>
      <c r="B8" s="445">
        <f>industrie!B18</f>
        <v>45353.030626423511</v>
      </c>
      <c r="C8" s="445">
        <f>industrie!C18</f>
        <v>0</v>
      </c>
      <c r="D8" s="445">
        <f>industrie!D18</f>
        <v>39910.860159016171</v>
      </c>
      <c r="E8" s="445">
        <f>industrie!E18</f>
        <v>258.13737319007845</v>
      </c>
      <c r="F8" s="445">
        <f>industrie!F18</f>
        <v>7824.1257341148503</v>
      </c>
      <c r="G8" s="445">
        <f>industrie!G18</f>
        <v>0</v>
      </c>
      <c r="H8" s="445">
        <f>industrie!H18</f>
        <v>0</v>
      </c>
      <c r="I8" s="445">
        <f>industrie!I18</f>
        <v>0</v>
      </c>
      <c r="J8" s="445">
        <f>industrie!J18</f>
        <v>15.146657250950089</v>
      </c>
      <c r="K8" s="445">
        <f>industrie!K18</f>
        <v>0</v>
      </c>
      <c r="L8" s="445">
        <f>industrie!L18</f>
        <v>0</v>
      </c>
      <c r="M8" s="445">
        <f>industrie!M18</f>
        <v>0</v>
      </c>
      <c r="N8" s="445">
        <f>industrie!N18</f>
        <v>3234.8345779381243</v>
      </c>
      <c r="O8" s="445">
        <f>industrie!O18</f>
        <v>0</v>
      </c>
      <c r="P8" s="446">
        <f>industrie!P18</f>
        <v>0</v>
      </c>
      <c r="Q8" s="444">
        <f t="shared" si="0"/>
        <v>96596.135127933681</v>
      </c>
    </row>
    <row r="9" spans="1:17" s="450" customFormat="1">
      <c r="A9" s="448" t="s">
        <v>536</v>
      </c>
      <c r="B9" s="449">
        <f>transport!B14</f>
        <v>156.74445881378097</v>
      </c>
      <c r="C9" s="449">
        <f>transport!C14</f>
        <v>0</v>
      </c>
      <c r="D9" s="449">
        <f>transport!D14</f>
        <v>279.25529004684955</v>
      </c>
      <c r="E9" s="449">
        <f>transport!E14</f>
        <v>154.13377495697284</v>
      </c>
      <c r="F9" s="449">
        <f>transport!F14</f>
        <v>0</v>
      </c>
      <c r="G9" s="449">
        <f>transport!G14</f>
        <v>72446.202609245913</v>
      </c>
      <c r="H9" s="449">
        <f>transport!H14</f>
        <v>18437.226230932545</v>
      </c>
      <c r="I9" s="449">
        <f>transport!I14</f>
        <v>0</v>
      </c>
      <c r="J9" s="449">
        <f>transport!J14</f>
        <v>0</v>
      </c>
      <c r="K9" s="449">
        <f>transport!K14</f>
        <v>0</v>
      </c>
      <c r="L9" s="449">
        <f>transport!L14</f>
        <v>0</v>
      </c>
      <c r="M9" s="449">
        <f>transport!M14</f>
        <v>5360.5139664623075</v>
      </c>
      <c r="N9" s="449">
        <f>transport!N14</f>
        <v>0</v>
      </c>
      <c r="O9" s="449">
        <f>transport!O14</f>
        <v>0</v>
      </c>
      <c r="P9" s="449">
        <f>transport!P14</f>
        <v>0</v>
      </c>
      <c r="Q9" s="448">
        <f>SUM(B9:P9)</f>
        <v>96834.076330458367</v>
      </c>
    </row>
    <row r="10" spans="1:17">
      <c r="A10" s="444" t="s">
        <v>526</v>
      </c>
      <c r="B10" s="445">
        <f>transport!B54</f>
        <v>35.503993746469895</v>
      </c>
      <c r="C10" s="445">
        <f>transport!C54</f>
        <v>0</v>
      </c>
      <c r="D10" s="445">
        <f>transport!D54</f>
        <v>0</v>
      </c>
      <c r="E10" s="445">
        <f>transport!E54</f>
        <v>0</v>
      </c>
      <c r="F10" s="445">
        <f>transport!F54</f>
        <v>0</v>
      </c>
      <c r="G10" s="445">
        <f>transport!G54</f>
        <v>2534.2111075004318</v>
      </c>
      <c r="H10" s="445">
        <f>transport!H54</f>
        <v>0</v>
      </c>
      <c r="I10" s="445">
        <f>transport!I54</f>
        <v>0</v>
      </c>
      <c r="J10" s="445">
        <f>transport!J54</f>
        <v>0</v>
      </c>
      <c r="K10" s="445">
        <f>transport!K54</f>
        <v>0</v>
      </c>
      <c r="L10" s="445">
        <f>transport!L54</f>
        <v>0</v>
      </c>
      <c r="M10" s="445">
        <f>transport!M54</f>
        <v>139.93557395428243</v>
      </c>
      <c r="N10" s="445">
        <f>transport!N54</f>
        <v>0</v>
      </c>
      <c r="O10" s="445">
        <f>transport!O54</f>
        <v>0</v>
      </c>
      <c r="P10" s="446">
        <f>transport!P54</f>
        <v>0</v>
      </c>
      <c r="Q10" s="444">
        <f t="shared" si="0"/>
        <v>2709.6506752011842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681.92197384820997</v>
      </c>
      <c r="C14" s="452"/>
      <c r="D14" s="452">
        <f>'SEAP template'!E25</f>
        <v>1739.4606376286702</v>
      </c>
      <c r="E14" s="452"/>
      <c r="F14" s="452"/>
      <c r="G14" s="452"/>
      <c r="H14" s="452"/>
      <c r="I14" s="452"/>
      <c r="J14" s="452"/>
      <c r="K14" s="452"/>
      <c r="L14" s="452"/>
      <c r="M14" s="452"/>
      <c r="N14" s="452"/>
      <c r="O14" s="452"/>
      <c r="P14" s="453"/>
      <c r="Q14" s="444">
        <f t="shared" si="0"/>
        <v>2421.3826114768799</v>
      </c>
    </row>
    <row r="15" spans="1:17" s="456" customFormat="1">
      <c r="A15" s="454" t="s">
        <v>530</v>
      </c>
      <c r="B15" s="455">
        <f ca="1">SUM(B4:B14)</f>
        <v>114312.0359766019</v>
      </c>
      <c r="C15" s="455">
        <f t="shared" ref="C15:Q15" ca="1" si="1">SUM(C4:C14)</f>
        <v>22802.142857142859</v>
      </c>
      <c r="D15" s="455">
        <f t="shared" ca="1" si="1"/>
        <v>156302.15419444931</v>
      </c>
      <c r="E15" s="455">
        <f t="shared" si="1"/>
        <v>1856.6337711945157</v>
      </c>
      <c r="F15" s="455">
        <f t="shared" ca="1" si="1"/>
        <v>40559.258888771576</v>
      </c>
      <c r="G15" s="455">
        <f t="shared" si="1"/>
        <v>74980.413716746349</v>
      </c>
      <c r="H15" s="455">
        <f t="shared" si="1"/>
        <v>18437.226230932545</v>
      </c>
      <c r="I15" s="455">
        <f t="shared" si="1"/>
        <v>0</v>
      </c>
      <c r="J15" s="455">
        <f t="shared" si="1"/>
        <v>664.64362350516626</v>
      </c>
      <c r="K15" s="455">
        <f t="shared" si="1"/>
        <v>0</v>
      </c>
      <c r="L15" s="455">
        <f t="shared" ca="1" si="1"/>
        <v>0</v>
      </c>
      <c r="M15" s="455">
        <f t="shared" si="1"/>
        <v>5500.44954041659</v>
      </c>
      <c r="N15" s="455">
        <f t="shared" ca="1" si="1"/>
        <v>10790.098316780481</v>
      </c>
      <c r="O15" s="455">
        <f t="shared" si="1"/>
        <v>311.2309013132583</v>
      </c>
      <c r="P15" s="455">
        <f t="shared" si="1"/>
        <v>1031.8053792254118</v>
      </c>
      <c r="Q15" s="455">
        <f t="shared" ca="1" si="1"/>
        <v>447548.09339707991</v>
      </c>
    </row>
    <row r="17" spans="1:17">
      <c r="A17" s="457" t="s">
        <v>531</v>
      </c>
      <c r="B17" s="737">
        <f ca="1">huishoudens!B10</f>
        <v>0.1352282710253373</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3731.9602124037128</v>
      </c>
      <c r="C22" s="445">
        <f t="shared" ref="C22:C32" ca="1" si="3">C4*$C$17</f>
        <v>0</v>
      </c>
      <c r="D22" s="445">
        <f t="shared" ref="D22:D32" si="4">D4*$D$17</f>
        <v>14317.214778447225</v>
      </c>
      <c r="E22" s="445">
        <f t="shared" ref="E22:E32" si="5">E4*$E$17</f>
        <v>298.01973702818634</v>
      </c>
      <c r="F22" s="445">
        <f t="shared" ref="F22:F32" si="6">F4*$F$17</f>
        <v>5744.4434332020674</v>
      </c>
      <c r="G22" s="445">
        <f t="shared" ref="G22:G32" si="7">G4*$G$17</f>
        <v>0</v>
      </c>
      <c r="H22" s="445">
        <f t="shared" ref="H22:H32" si="8">H4*$H$17</f>
        <v>0</v>
      </c>
      <c r="I22" s="445">
        <f t="shared" ref="I22:I32" si="9">I4*$I$17</f>
        <v>0</v>
      </c>
      <c r="J22" s="445">
        <f t="shared" ref="J22:J32" si="10">J4*$J$17</f>
        <v>42.037763505499143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24133.675924586689</v>
      </c>
    </row>
    <row r="23" spans="1:17">
      <c r="A23" s="444" t="s">
        <v>149</v>
      </c>
      <c r="B23" s="445">
        <f t="shared" ca="1" si="2"/>
        <v>5118.5624659802343</v>
      </c>
      <c r="C23" s="445">
        <f t="shared" ca="1" si="3"/>
        <v>0</v>
      </c>
      <c r="D23" s="445">
        <f t="shared" ca="1" si="4"/>
        <v>7891.3449925299428</v>
      </c>
      <c r="E23" s="445">
        <f t="shared" si="5"/>
        <v>15.766675595802246</v>
      </c>
      <c r="F23" s="445">
        <f t="shared" ca="1" si="6"/>
        <v>1210.0003770714754</v>
      </c>
      <c r="G23" s="445">
        <f t="shared" si="7"/>
        <v>0</v>
      </c>
      <c r="H23" s="445">
        <f t="shared" si="8"/>
        <v>0</v>
      </c>
      <c r="I23" s="445">
        <f t="shared" si="9"/>
        <v>0</v>
      </c>
      <c r="J23" s="445">
        <f t="shared" si="10"/>
        <v>1.0541579709120842E-2</v>
      </c>
      <c r="K23" s="445">
        <f t="shared" si="11"/>
        <v>0</v>
      </c>
      <c r="L23" s="445">
        <f t="shared" ca="1" si="12"/>
        <v>0</v>
      </c>
      <c r="M23" s="445">
        <f t="shared" si="13"/>
        <v>0</v>
      </c>
      <c r="N23" s="445">
        <f t="shared" ca="1" si="14"/>
        <v>0</v>
      </c>
      <c r="O23" s="445">
        <f t="shared" si="15"/>
        <v>0</v>
      </c>
      <c r="P23" s="446">
        <f t="shared" si="16"/>
        <v>0</v>
      </c>
      <c r="Q23" s="444">
        <f t="shared" ref="Q23:Q31" ca="1" si="17">SUM(B23:P23)</f>
        <v>14235.685052757164</v>
      </c>
    </row>
    <row r="24" spans="1:17">
      <c r="A24" s="444" t="s">
        <v>187</v>
      </c>
      <c r="B24" s="445">
        <f t="shared" ca="1" si="2"/>
        <v>71.897626225667238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71.897626225667238</v>
      </c>
    </row>
    <row r="25" spans="1:17">
      <c r="A25" s="444" t="s">
        <v>105</v>
      </c>
      <c r="B25" s="445">
        <f t="shared" ca="1" si="2"/>
        <v>284.5742051772944</v>
      </c>
      <c r="C25" s="445">
        <f t="shared" ca="1" si="3"/>
        <v>0</v>
      </c>
      <c r="D25" s="445">
        <f t="shared" si="4"/>
        <v>894.70100678986921</v>
      </c>
      <c r="E25" s="445">
        <f t="shared" si="5"/>
        <v>14.083902807785778</v>
      </c>
      <c r="F25" s="445">
        <f t="shared" si="6"/>
        <v>1785.8367420198028</v>
      </c>
      <c r="G25" s="445">
        <f t="shared" si="7"/>
        <v>0</v>
      </c>
      <c r="H25" s="445">
        <f t="shared" si="8"/>
        <v>0</v>
      </c>
      <c r="I25" s="445">
        <f t="shared" si="9"/>
        <v>0</v>
      </c>
      <c r="J25" s="445">
        <f t="shared" si="10"/>
        <v>187.87362096878425</v>
      </c>
      <c r="K25" s="445">
        <f t="shared" si="11"/>
        <v>0</v>
      </c>
      <c r="L25" s="445">
        <f t="shared" si="12"/>
        <v>0</v>
      </c>
      <c r="M25" s="445">
        <f t="shared" si="13"/>
        <v>0</v>
      </c>
      <c r="N25" s="445">
        <f t="shared" si="14"/>
        <v>0</v>
      </c>
      <c r="O25" s="445">
        <f t="shared" si="15"/>
        <v>0</v>
      </c>
      <c r="P25" s="446">
        <f t="shared" si="16"/>
        <v>0</v>
      </c>
      <c r="Q25" s="444">
        <f t="shared" ca="1" si="17"/>
        <v>3167.0694777635363</v>
      </c>
    </row>
    <row r="26" spans="1:17">
      <c r="A26" s="444" t="s">
        <v>587</v>
      </c>
      <c r="B26" s="445">
        <f t="shared" ca="1" si="2"/>
        <v>6133.0119173704215</v>
      </c>
      <c r="C26" s="445">
        <f t="shared" ca="1" si="3"/>
        <v>0</v>
      </c>
      <c r="D26" s="445">
        <f t="shared" si="4"/>
        <v>8061.9937521212669</v>
      </c>
      <c r="E26" s="445">
        <f t="shared" si="5"/>
        <v>58.59718371414781</v>
      </c>
      <c r="F26" s="445">
        <f t="shared" si="6"/>
        <v>2089.041571008665</v>
      </c>
      <c r="G26" s="445">
        <f t="shared" si="7"/>
        <v>0</v>
      </c>
      <c r="H26" s="445">
        <f t="shared" si="8"/>
        <v>0</v>
      </c>
      <c r="I26" s="445">
        <f t="shared" si="9"/>
        <v>0</v>
      </c>
      <c r="J26" s="445">
        <f t="shared" si="10"/>
        <v>5.3619166668363309</v>
      </c>
      <c r="K26" s="445">
        <f t="shared" si="11"/>
        <v>0</v>
      </c>
      <c r="L26" s="445">
        <f t="shared" si="12"/>
        <v>0</v>
      </c>
      <c r="M26" s="445">
        <f t="shared" si="13"/>
        <v>0</v>
      </c>
      <c r="N26" s="445">
        <f t="shared" si="14"/>
        <v>0</v>
      </c>
      <c r="O26" s="445">
        <f t="shared" si="15"/>
        <v>0</v>
      </c>
      <c r="P26" s="446">
        <f t="shared" si="16"/>
        <v>0</v>
      </c>
      <c r="Q26" s="444">
        <f t="shared" ca="1" si="17"/>
        <v>16348.006340881338</v>
      </c>
    </row>
    <row r="27" spans="1:17" s="450" customFormat="1">
      <c r="A27" s="448" t="s">
        <v>536</v>
      </c>
      <c r="B27" s="731">
        <f t="shared" ca="1" si="2"/>
        <v>21.196282158189792</v>
      </c>
      <c r="C27" s="449">
        <f t="shared" ca="1" si="3"/>
        <v>0</v>
      </c>
      <c r="D27" s="449">
        <f t="shared" si="4"/>
        <v>56.409568589463611</v>
      </c>
      <c r="E27" s="449">
        <f t="shared" si="5"/>
        <v>34.988366915232838</v>
      </c>
      <c r="F27" s="449">
        <f t="shared" si="6"/>
        <v>0</v>
      </c>
      <c r="G27" s="449">
        <f t="shared" si="7"/>
        <v>19343.136096668659</v>
      </c>
      <c r="H27" s="449">
        <f t="shared" si="8"/>
        <v>4590.8693315022037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24046.599645833747</v>
      </c>
    </row>
    <row r="28" spans="1:17" ht="16.5" customHeight="1">
      <c r="A28" s="444" t="s">
        <v>526</v>
      </c>
      <c r="B28" s="445">
        <f t="shared" ca="1" si="2"/>
        <v>4.8011436888295114</v>
      </c>
      <c r="C28" s="445">
        <f t="shared" ca="1" si="3"/>
        <v>0</v>
      </c>
      <c r="D28" s="445">
        <f t="shared" si="4"/>
        <v>0</v>
      </c>
      <c r="E28" s="445">
        <f t="shared" si="5"/>
        <v>0</v>
      </c>
      <c r="F28" s="445">
        <f t="shared" si="6"/>
        <v>0</v>
      </c>
      <c r="G28" s="445">
        <f t="shared" si="7"/>
        <v>676.63436570261536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681.43550939144484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92.215129497678717</v>
      </c>
      <c r="C32" s="445">
        <f t="shared" ca="1" si="3"/>
        <v>0</v>
      </c>
      <c r="D32" s="445">
        <f t="shared" si="4"/>
        <v>351.37104880099139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443.58617829867012</v>
      </c>
    </row>
    <row r="33" spans="1:17" s="456" customFormat="1">
      <c r="A33" s="454" t="s">
        <v>530</v>
      </c>
      <c r="B33" s="455">
        <f ca="1">SUM(B22:B32)</f>
        <v>15458.218982502027</v>
      </c>
      <c r="C33" s="455">
        <f t="shared" ref="C33:Q33" ca="1" si="19">SUM(C22:C32)</f>
        <v>0</v>
      </c>
      <c r="D33" s="455">
        <f t="shared" ca="1" si="19"/>
        <v>31573.035147278762</v>
      </c>
      <c r="E33" s="455">
        <f t="shared" si="19"/>
        <v>421.45586606115506</v>
      </c>
      <c r="F33" s="455">
        <f t="shared" ca="1" si="19"/>
        <v>10829.32212330201</v>
      </c>
      <c r="G33" s="455">
        <f t="shared" si="19"/>
        <v>20019.770462371274</v>
      </c>
      <c r="H33" s="455">
        <f t="shared" si="19"/>
        <v>4590.8693315022037</v>
      </c>
      <c r="I33" s="455">
        <f t="shared" si="19"/>
        <v>0</v>
      </c>
      <c r="J33" s="455">
        <f t="shared" si="19"/>
        <v>235.28384272082883</v>
      </c>
      <c r="K33" s="455">
        <f t="shared" si="19"/>
        <v>0</v>
      </c>
      <c r="L33" s="455">
        <f t="shared" ca="1" si="19"/>
        <v>0</v>
      </c>
      <c r="M33" s="455">
        <f t="shared" si="19"/>
        <v>0</v>
      </c>
      <c r="N33" s="455">
        <f t="shared" ca="1" si="19"/>
        <v>0</v>
      </c>
      <c r="O33" s="455">
        <f t="shared" si="19"/>
        <v>0</v>
      </c>
      <c r="P33" s="455">
        <f t="shared" si="19"/>
        <v>0</v>
      </c>
      <c r="Q33" s="455">
        <f t="shared" ca="1" si="19"/>
        <v>83127.955755738265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11060.843748085927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15961.5</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18778.23529411765</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17343</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49551.428571428572</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44365.343748085928</v>
      </c>
      <c r="C10" s="974">
        <f>SUM(C4:C9)</f>
        <v>0</v>
      </c>
      <c r="D10" s="974">
        <f t="shared" ref="D10:H10" si="0">SUM(D8:D9)</f>
        <v>0</v>
      </c>
      <c r="E10" s="974">
        <f t="shared" si="0"/>
        <v>0</v>
      </c>
      <c r="F10" s="974">
        <f t="shared" si="0"/>
        <v>0</v>
      </c>
      <c r="G10" s="974">
        <f t="shared" si="0"/>
        <v>0</v>
      </c>
      <c r="H10" s="974">
        <f t="shared" si="0"/>
        <v>0</v>
      </c>
      <c r="I10" s="974">
        <f>SUM(I8:I9)</f>
        <v>0</v>
      </c>
      <c r="J10" s="974">
        <f>SUM(J8:J9)</f>
        <v>68329.66386554623</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0.1352282710253373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22802.142857142859</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26826.050420168071</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22802.142857142859</v>
      </c>
      <c r="C20" s="974">
        <f>SUM(C17:C19)</f>
        <v>0</v>
      </c>
      <c r="D20" s="974">
        <f t="shared" ref="D20:H20" si="2">SUM(D17:D19)</f>
        <v>0</v>
      </c>
      <c r="E20" s="974">
        <f t="shared" si="2"/>
        <v>0</v>
      </c>
      <c r="F20" s="974">
        <f t="shared" si="2"/>
        <v>0</v>
      </c>
      <c r="G20" s="974">
        <f t="shared" si="2"/>
        <v>0</v>
      </c>
      <c r="H20" s="974">
        <f t="shared" si="2"/>
        <v>0</v>
      </c>
      <c r="I20" s="974">
        <f>SUM(I17:I19)</f>
        <v>0</v>
      </c>
      <c r="J20" s="974">
        <f>SUM(J17:J19)</f>
        <v>26826.050420168071</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0.1352282710253373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2022-07-26T09:39:18Z</dcterms:modified>
</cp:coreProperties>
</file>