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2066847-5E52-42B4-983A-99E0EADEC99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<sst xmlns="http://schemas.openxmlformats.org/spreadsheetml/2006/main" count="2392" uniqueCount="866">
  <si>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</si>
  <si>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</si>
  <si>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</si>
  <si>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</si>
  <si>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</si>
  <si>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</si>
  <si>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</si>
  <si>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</si>
  <si>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</si>
  <si>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</si>
  <si>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</si>
  <si>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</si>
  <si>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</si>
  <si>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</si>
  <si>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</si>
  <si>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</si>
  <si>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</si>
  <si>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</si>
  <si>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</si>
  <si>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</si>
  <si>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</si>
  <si>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</si>
  <si>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</si>
  <si>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</si>
  <si>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</si>
  <si>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</si>
  <si>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</si>
  <si>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</si>
  <si>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</si>
  <si>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</si>
  <si>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</si>
  <si>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</si>
  <si>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</si>
  <si>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</si>
  <si>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</si>
  <si>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</si>
  <si>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</si>
  <si>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</si>
  <si>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</si>
  <si>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</si>
  <si>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</si>
  <si>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</si>
  <si>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</si>
  <si>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</si>
  <si>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</si>
  <si>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</si>
  <si>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</si>
  <si>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</si>
  <si>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</si>
  <si>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</si>
  <si>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</si>
  <si>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</si>
  <si>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</si>
  <si>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</si>
  <si>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</si>
  <si>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</si>
  <si>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</si>
  <si>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</si>
  <si>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</si>
  <si>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</si>
  <si>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</si>
  <si>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</si>
  <si>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</si>
  <si>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</si>
  <si>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</si>
  <si>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</si>
  <si>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</si>
  <si>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</si>
  <si>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</si>
  <si>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</si>
  <si>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</si>
  <si>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</si>
  <si>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</si>
  <si>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</si>
  <si>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</si>
  <si>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</si>
  <si>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</si>
  <si>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</si>
  <si>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</si>
  <si>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</si>
  <si>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</si>
  <si>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</si>
  <si>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</si>
  <si>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</si>
  <si>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</si>
  <si>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</si>
  <si>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</si>
  <si>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</si>
  <si>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</si>
  <si>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</si>
  <si>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</si>
  <si>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</si>
  <si>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</si>
  <si>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</si>
  <si>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</si>
  <si>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</si>
  <si>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</si>
  <si>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</si>
  <si>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</si>
  <si>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</si>
  <si>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</si>
  <si>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</si>
  <si>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</si>
  <si>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</si>
  <si>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</si>
  <si>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</si>
  <si>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</si>
  <si>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</si>
  <si>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</si>
  <si>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</si>
  <si>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</si>
  <si>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</si>
  <si>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</si>
  <si>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</si>
  <si>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</si>
  <si>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</si>
  <si>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</si>
  <si>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</si>
  <si>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</si>
  <si>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</si>
  <si>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</si>
  <si>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</si>
  <si>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</si>
  <si>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</si>
  <si>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</si>
  <si>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</si>
  <si>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</si>
  <si>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</si>
  <si>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</si>
  <si>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</si>
  <si>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</si>
  <si>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</si>
  <si>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</si>
  <si>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</si>
  <si>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</si>
  <si>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</si>
  <si>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</si>
  <si>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</si>
  <si>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</si>
  <si>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</si>
  <si>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</si>
  <si>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</si>
  <si>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</si>
  <si>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</si>
  <si>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</si>
  <si>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</si>
  <si>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</si>
  <si>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</si>
  <si>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</si>
  <si>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</si>
  <si>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</si>
  <si>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</si>
  <si>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</si>
  <si>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</si>
  <si>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</si>
  <si>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</si>
  <si>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</si>
  <si>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</si>
  <si>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</si>
  <si>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</si>
  <si>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</si>
  <si>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</si>
  <si>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</si>
  <si>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</si>
  <si>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</si>
  <si>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</si>
  <si>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</si>
  <si>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</si>
  <si>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</si>
  <si>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</si>
  <si>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</si>
  <si>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</si>
  <si>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</si>
  <si>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</si>
  <si>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</si>
  <si>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</si>
  <si>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</si>
  <si>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</si>
  <si>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</si>
  <si>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</si>
  <si>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</si>
  <si>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</si>
  <si>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</si>
  <si>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</si>
  <si>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</si>
  <si>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</si>
  <si>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</si>
  <si>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</si>
  <si>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</si>
  <si>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</si>
  <si>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</si>
  <si>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</si>
  <si>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</si>
  <si>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</si>
  <si>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</si>
  <si>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</si>
  <si>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</si>
  <si>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</si>
  <si>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</si>
  <si>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</si>
  <si>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</si>
  <si>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</si>
  <si>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</si>
  <si>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</si>
  <si>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</si>
  <si>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</si>
  <si>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</si>
  <si>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</si>
  <si>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</si>
  <si>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</si>
  <si>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</si>
  <si>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</si>
  <si>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</si>
  <si>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</si>
  <si>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</si>
  <si>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</si>
  <si>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</si>
  <si>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</si>
  <si>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</si>
  <si>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</si>
  <si>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</si>
  <si>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</si>
  <si>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</si>
  <si>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</si>
  <si>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</si>
  <si>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</si>
  <si>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</si>
  <si>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</si>
  <si>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</si>
  <si>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</si>
  <si>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</si>
  <si>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</si>
  <si>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</si>
  <si>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</si>
  <si>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</si>
  <si>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</si>
  <si>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</si>
  <si>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</si>
  <si>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</si>
  <si>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</si>
  <si>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</si>
  <si>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</si>
  <si>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</si>
  <si>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</si>
  <si>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</si>
  <si>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</si>
  <si>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</si>
  <si>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</si>
  <si>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</si>
  <si>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</si>
  <si>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</si>
  <si>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</si>
  <si>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</si>
  <si>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</si>
  <si>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</si>
  <si>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</si>
  <si>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</si>
  <si>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</si>
  <si>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</si>
  <si>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</si>
  <si>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</si>
  <si>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</si>
  <si>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</si>
  <si>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</si>
  <si>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</si>
  <si>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</si>
  <si>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</si>
  <si>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</si>
  <si>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</si>
  <si>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</si>
  <si>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</si>
  <si>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</si>
  <si>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</si>
  <si>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</si>
  <si>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</si>
  <si>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</si>
  <si>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</si>
  <si>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</si>
  <si>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</si>
  <si>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</si>
  <si>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</si>
  <si>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</si>
  <si>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</si>
  <si>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</si>
  <si>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</si>
  <si>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</si>
  <si>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</si>
  <si>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</si>
  <si>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</si>
  <si>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</si>
  <si>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</si>
  <si>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</si>
  <si>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</si>
  <si>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</si>
  <si>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</si>
  <si>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</si>
  <si>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</si>
  <si>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</si>
  <si>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</si>
  <si>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</si>
  <si>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</si>
  <si>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</si>
  <si>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</si>
  <si>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</si>
  <si>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</si>
  <si>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</si>
  <si>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</si>
  <si>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</si>
  <si>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</si>
  <si>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</si>
  <si>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</si>
  <si>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</si>
  <si>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</si>
  <si>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</si>
  <si>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</si>
  <si>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</si>
  <si>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</si>
  <si>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</si>
  <si>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</si>
  <si>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</si>
  <si>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</si>
  <si>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</si>
  <si>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</si>
  <si>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</si>
  <si>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</si>
  <si>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</si>
  <si>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</si>
  <si>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</si>
  <si>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</si>
  <si>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</si>
  <si>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</si>
  <si>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</si>
  <si>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</si>
  <si>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</si>
  <si>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</si>
  <si>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</si>
  <si>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</si>
  <si>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</si>
  <si>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</si>
  <si>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</si>
  <si>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</si>
  <si>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</si>
  <si>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</si>
  <si>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</si>
  <si>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</si>
  <si>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</si>
  <si>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</si>
  <si>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</si>
  <si>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</si>
  <si>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</si>
  <si>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</si>
  <si>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</si>
  <si>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</si>
  <si>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</si>
  <si>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</si>
  <si>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</si>
  <si>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</si>
  <si>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</si>
  <si>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</si>
  <si>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</si>
  <si>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</si>
  <si>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</si>
  <si>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</si>
  <si>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</si>
  <si>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</si>
  <si>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</si>
  <si>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</si>
  <si>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</si>
  <si>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</si>
  <si>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</si>
  <si>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</si>
  <si>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</si>
  <si>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</si>
  <si>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</si>
  <si>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</si>
  <si>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</si>
  <si>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</si>
  <si>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</si>
  <si>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</si>
  <si>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</si>
  <si>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</si>
  <si>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</si>
  <si>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</si>
  <si>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</si>
  <si>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</si>
  <si>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</si>
  <si>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</si>
  <si>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</si>
  <si>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</si>
  <si>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</si>
  <si>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</si>
  <si>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</si>
  <si>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</si>
  <si>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</si>
  <si>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</si>
  <si>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</si>
  <si>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</si>
  <si>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</si>
  <si>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</si>
  <si>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</si>
  <si>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</si>
  <si>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</si>
  <si>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</si>
  <si>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</si>
  <si>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</si>
  <si>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</si>
  <si>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</si>
  <si>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</si>
  <si>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</si>
  <si>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</si>
  <si>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</si>
  <si>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</si>
  <si>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</si>
  <si>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</si>
  <si>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</si>
  <si>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</si>
  <si>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</si>
  <si>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</si>
  <si>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</si>
  <si>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</si>
  <si>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</si>
  <si>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</si>
  <si>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</si>
  <si>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</si>
  <si>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</si>
  <si>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</si>
  <si>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</si>
  <si>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</si>
  <si>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</si>
  <si>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</si>
  <si>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</si>
  <si>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</si>
  <si>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</si>
  <si>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</si>
  <si>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</si>
  <si>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</si>
  <si>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</si>
  <si>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</si>
  <si>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</si>
  <si>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</si>
  <si>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</si>
  <si>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</si>
  <si>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</si>
  <si>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</si>
  <si>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</si>
  <si>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</si>
  <si>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</si>
  <si>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</si>
  <si>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</si>
  <si>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</si>
  <si>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</si>
  <si>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</si>
  <si>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</si>
  <si>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</si>
  <si>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</si>
  <si>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</si>
  <si>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</si>
  <si>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</si>
  <si>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</si>
  <si>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</si>
  <si>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</si>
  <si>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</si>
  <si>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</si>
  <si>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</si>
  <si>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</si>
  <si>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</si>
  <si>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</si>
  <si>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</si>
  <si>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</si>
  <si>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</si>
  <si>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</si>
  <si>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</si>
  <si>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</si>
  <si>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</si>
  <si>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</si>
  <si>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</si>
  <si>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</si>
  <si>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</si>
  <si>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</si>
  <si>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</si>
  <si>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</si>
  <si>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</si>
  <si>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</si>
  <si>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</si>
  <si>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</si>
  <si>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</si>
  <si>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</si>
  <si>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</si>
  <si>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</si>
  <si>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</si>
  <si>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</si>
  <si>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</si>
  <si>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</si>
  <si>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</si>
  <si>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</si>
  <si>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</si>
  <si>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</si>
  <si>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</si>
  <si>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</si>
  <si>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</si>
  <si>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</si>
  <si>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</si>
  <si>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</si>
  <si>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</si>
  <si>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</si>
  <si>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</si>
  <si>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</si>
  <si>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</si>
  <si>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</si>
  <si>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</si>
  <si>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</si>
  <si>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</si>
  <si>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</si>
  <si>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</si>
  <si>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</si>
  <si>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</si>
  <si>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</si>
  <si>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</si>
  <si>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</si>
  <si>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</si>
  <si>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</si>
  <si>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</si>
  <si>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</si>
  <si>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</si>
  <si>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</si>
  <si>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</si>
  <si>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</si>
  <si>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</si>
  <si>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</si>
  <si>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</si>
  <si>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</si>
  <si>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</si>
  <si>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</si>
  <si>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</si>
  <si>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</si>
  <si>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</si>
  <si>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</si>
  <si>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</si>
  <si>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</si>
  <si>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</si>
  <si>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</si>
  <si>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</si>
  <si>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</si>
  <si>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</si>
  <si>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</si>
  <si>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</si>
  <si>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</si>
  <si>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</si>
  <si>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</si>
  <si>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</si>
  <si>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</si>
  <si>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</si>
  <si>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</si>
  <si>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</si>
  <si>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</si>
  <si>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</si>
  <si>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</si>
  <si>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</si>
  <si>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</si>
  <si>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</si>
  <si>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</si>
  <si>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</si>
  <si>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</si>
  <si>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</si>
  <si>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</si>
  <si>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</si>
  <si>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</si>
  <si>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</si>
  <si>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</si>
  <si>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</si>
  <si>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</si>
  <si>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</si>
  <si>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</si>
  <si>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</si>
  <si>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</si>
  <si>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</si>
  <si>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</si>
  <si>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</si>
  <si>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</si>
  <si>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</si>
  <si>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</si>
  <si>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</si>
  <si>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</si>
  <si>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</si>
  <si>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</si>
  <si>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</si>
  <si>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</si>
  <si>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</si>
  <si>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</si>
  <si>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</si>
  <si>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</si>
  <si>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</si>
  <si>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</si>
  <si>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</si>
  <si>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</si>
  <si>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</si>
  <si>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</si>
  <si>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</si>
  <si>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</si>
  <si>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</si>
  <si>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</si>
  <si>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</si>
  <si>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</si>
  <si>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</si>
  <si>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</si>
  <si>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</si>
  <si>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</si>
  <si>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</si>
  <si>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</si>
  <si>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</si>
  <si>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</si>
  <si>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</si>
  <si>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</si>
  <si>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</si>
  <si>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</si>
  <si>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</si>
  <si>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</si>
  <si>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</si>
  <si>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</si>
  <si>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</si>
  <si>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</si>
  <si>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</si>
  <si>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</si>
  <si>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</si>
  <si>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</si>
  <si>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</si>
  <si>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</si>
  <si>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</si>
  <si>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</si>
  <si>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</si>
  <si>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</si>
  <si>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</si>
  <si>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</si>
  <si>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</si>
  <si>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</si>
  <si>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</si>
  <si>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</si>
  <si>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</si>
  <si>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</si>
  <si>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</si>
  <si>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</si>
  <si>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</si>
  <si>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</si>
  <si>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</si>
  <si>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</si>
  <si>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</si>
  <si>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</si>
  <si>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</si>
  <si>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</si>
  <si>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</si>
  <si>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</si>
  <si>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</si>
  <si>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</si>
  <si>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</si>
  <si>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</si>
  <si>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</si>
  <si>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</si>
  <si>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</si>
  <si>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</si>
  <si>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</si>
  <si>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</si>
  <si>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</si>
  <si>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</si>
  <si>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</si>
  <si>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</si>
  <si>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</si>
  <si>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</si>
  <si>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</si>
  <si>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</si>
  <si>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</si>
  <si>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</si>
  <si>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</si>
  <si>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</si>
  <si>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</si>
  <si>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</si>
  <si>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</si>
  <si>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</si>
  <si>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</si>
  <si>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</si>
  <si>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</si>
  <si>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</si>
  <si>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</si>
  <si>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</si>
  <si>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</si>
  <si>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</si>
  <si>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</si>
  <si>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</si>
  <si>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</si>
  <si>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</si>
  <si>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</si>
  <si>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</si>
  <si>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</si>
  <si>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</si>
  <si>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</si>
  <si>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</si>
  <si>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</si>
  <si>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</si>
  <si>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</si>
  <si>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</si>
  <si>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</si>
  <si>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</si>
  <si>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</si>
  <si>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</si>
  <si>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</si>
  <si>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</si>
  <si>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</si>
  <si>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</si>
  <si>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</si>
  <si>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</si>
  <si>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</si>
  <si>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</si>
  <si>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</si>
  <si>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</si>
  <si>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</si>
  <si>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</si>
  <si>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</si>
  <si>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</si>
  <si>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</si>
  <si>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</si>
  <si>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</si>
  <si>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</si>
  <si>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</si>
  <si>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</si>
  <si>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</si>
  <si>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</si>
  <si>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</si>
  <si>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</si>
  <si>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</si>
  <si>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</si>
  <si>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</si>
  <si>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</si>
  <si>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</si>
  <si>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</si>
  <si>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</si>
  <si>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</si>
  <si>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</si>
  <si>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</si>
  <si>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</si>
  <si>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</si>
  <si>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</si>
  <si>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</si>
  <si>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</si>
  <si>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</si>
  <si>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</si>
  <si>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</si>
  <si>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</si>
  <si>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</si>
  <si>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</si>
  <si>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</si>
  <si>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</si>
  <si>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</si>
  <si>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</si>
  <si>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</si>
  <si>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</si>
  <si>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</si>
  <si>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</si>
  <si>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</si>
  <si>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</si>
  <si>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</si>
  <si>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</si>
  <si>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</si>
  <si>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</si>
  <si>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</si>
  <si>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</si>
  <si>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</si>
  <si>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</si>
  <si>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</si>
  <si>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</si>
  <si>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</si>
  <si>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</si>
  <si>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</si>
  <si>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</si>
  <si>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</si>
  <si>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</si>
  <si>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</si>
  <si>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</si>
  <si>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</si>
  <si>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</si>
  <si>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</si>
  <si>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</si>
  <si>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</si>
  <si>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</si>
  <si>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</si>
  <si>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</si>
  <si>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</si>
  <si>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</si>
  <si>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</si>
  <si>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</si>
  <si>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</si>
  <si>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</si>
  <si>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</si>
  <si>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</si>
  <si>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</si>
  <si>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</si>
  <si>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</si>
  <si>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</si>
  <si>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</si>
  <si>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</si>
  <si>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</si>
  <si>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</si>
  <si>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</si>
  <si>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</si>
  <si>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</si>
  <si>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</si>
  <si>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</si>
  <si>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</si>
  <si>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</si>
  <si>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</si>
  <si>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</si>
  <si>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</si>
  <si>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</si>
  <si>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</si>
  <si>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</si>
  <si>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</si>
  <si>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</si>
  <si>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</si>
  <si>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</si>
  <si>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</si>
  <si>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</si>
  <si>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</si>
  <si>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</si>
  <si>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</si>
  <si>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</si>
  <si>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</si>
  <si>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</si>
  <si>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</si>
  <si>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</si>
  <si>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</si>
  <si>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</si>
  <si>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</si>
  <si>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</si>
  <si>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</si>
  <si>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</si>
  <si>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</si>
  <si>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</si>
  <si>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</si>
  <si>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</si>
  <si>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</si>
  <si>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</si>
  <si>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</si>
  <si>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</si>
  <si>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</si>
  <si>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</si>
  <si>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</si>
  <si>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</si>
  <si>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</si>
  <si>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</si>
  <si>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</si>
  <si>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</si>
  <si>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</si>
  <si>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</si>
  <si>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</si>
  <si>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</si>
  <si>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</si>
  <si>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</si>
  <si>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</si>
  <si>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</si>
  <si>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11056</t>
  </si>
  <si>
    <t>ZWIJNDRECHT</t>
  </si>
  <si>
    <t>waterkracht</t>
  </si>
  <si>
    <t>vloeibaar gas (MWh)</t>
  </si>
  <si>
    <t>interne verbrandingsmotor</t>
  </si>
  <si>
    <t>WKK interne verbrandinsgmotor (gas)</t>
  </si>
  <si>
    <t>IMEA</t>
  </si>
  <si>
    <t>Interne verbrandingsmotor</t>
  </si>
  <si>
    <t>I.M.E.A. of IMEA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</si>
</sst>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AFBEB1F-71B2-4BC6-8DB2-204DCFF0A1B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147981.48397521072</c:v>
                </c:pt>
                <c:pt idx="1">
                  <c:v>107766.1623104946</c:v>
                </c:pt>
                <c:pt idx="2">
                  <c:v>1288.8822028206901</c:v>
                </c:pt>
                <c:pt idx="3">
                  <c:v>62951.883287376055</c:v>
                </c:pt>
                <c:pt idx="4">
                  <c:v>65733.550374135928</c:v>
                </c:pt>
                <c:pt idx="5">
                  <c:v>238001.23785738173</c:v>
                </c:pt>
                <c:pt idx="6">
                  <c:v>2203.3783088260325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147981.48397521072</c:v>
                </c:pt>
                <c:pt idx="1">
                  <c:v>107766.1623104946</c:v>
                </c:pt>
                <c:pt idx="2">
                  <c:v>1288.8822028206901</c:v>
                </c:pt>
                <c:pt idx="3">
                  <c:v>62951.883287376055</c:v>
                </c:pt>
                <c:pt idx="4">
                  <c:v>65733.550374135928</c:v>
                </c:pt>
                <c:pt idx="5">
                  <c:v>238001.23785738173</c:v>
                </c:pt>
                <c:pt idx="6">
                  <c:v>2203.3783088260325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29727.233018626805</c:v>
                </c:pt>
                <c:pt idx="1">
                  <c:v>22152.387352347891</c:v>
                </c:pt>
                <c:pt idx="2">
                  <c:v>276.13725759515808</c:v>
                </c:pt>
                <c:pt idx="3">
                  <c:v>15091.722998511672</c:v>
                </c:pt>
                <c:pt idx="4">
                  <c:v>12292.676757629755</c:v>
                </c:pt>
                <c:pt idx="5">
                  <c:v>59383.270025807084</c:v>
                </c:pt>
                <c:pt idx="6">
                  <c:v>511.72511699349019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29727.233018626805</c:v>
                </c:pt>
                <c:pt idx="1">
                  <c:v>22152.387352347891</c:v>
                </c:pt>
                <c:pt idx="2">
                  <c:v>276.13725759515808</c:v>
                </c:pt>
                <c:pt idx="3">
                  <c:v>15091.722998511672</c:v>
                </c:pt>
                <c:pt idx="4">
                  <c:v>12292.676757629755</c:v>
                </c:pt>
                <c:pt idx="5">
                  <c:v>59383.270025807084</c:v>
                </c:pt>
                <c:pt idx="6">
                  <c:v>511.72511699349019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11056</v>
      </c>
      <c r="B6" s="382"/>
      <c r="C6" s="383"/>
    </row>
    <row r="7" spans="1:7" s="380" customFormat="1" ht="15.75" customHeight="1">
      <c r="A7" s="384" t="str">
        <f>txtMunicipality</f>
        <v>ZWIJNDRECHT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0.21424553538782506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0.21424553538782506</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8168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366.96</v>
      </c>
      <c r="C14" s="324"/>
      <c r="D14" s="324"/>
      <c r="E14" s="324"/>
      <c r="F14" s="324"/>
    </row>
    <row r="15" spans="1:6">
      <c r="A15" s="1264" t="s">
        <v>177</v>
      </c>
      <c r="B15" s="1265">
        <v>0</v>
      </c>
      <c r="C15" s="324"/>
      <c r="D15" s="324"/>
      <c r="E15" s="324"/>
      <c r="F15" s="324"/>
    </row>
    <row r="16" spans="1:6">
      <c r="A16" s="1264" t="s">
        <v>6</v>
      </c>
      <c r="B16" s="1265">
        <v>28</v>
      </c>
      <c r="C16" s="324"/>
      <c r="D16" s="324"/>
      <c r="E16" s="324"/>
      <c r="F16" s="324"/>
    </row>
    <row r="17" spans="1:6">
      <c r="A17" s="1264" t="s">
        <v>7</v>
      </c>
      <c r="B17" s="1265">
        <v>9</v>
      </c>
      <c r="C17" s="324"/>
      <c r="D17" s="324"/>
      <c r="E17" s="324"/>
      <c r="F17" s="324"/>
    </row>
    <row r="18" spans="1:6">
      <c r="A18" s="1264" t="s">
        <v>8</v>
      </c>
      <c r="B18" s="1265">
        <v>22</v>
      </c>
      <c r="C18" s="324"/>
      <c r="D18" s="324"/>
      <c r="E18" s="324"/>
      <c r="F18" s="324"/>
    </row>
    <row r="19" spans="1:6">
      <c r="A19" s="1264" t="s">
        <v>9</v>
      </c>
      <c r="B19" s="1265">
        <v>30</v>
      </c>
      <c r="C19" s="324"/>
      <c r="D19" s="324"/>
      <c r="E19" s="324"/>
      <c r="F19" s="324"/>
    </row>
    <row r="20" spans="1:6">
      <c r="A20" s="1264" t="s">
        <v>10</v>
      </c>
      <c r="B20" s="1265">
        <v>13</v>
      </c>
      <c r="C20" s="324"/>
      <c r="D20" s="324"/>
      <c r="E20" s="324"/>
      <c r="F20" s="324"/>
    </row>
    <row r="21" spans="1:6">
      <c r="A21" s="1264" t="s">
        <v>11</v>
      </c>
      <c r="B21" s="1265">
        <v>75</v>
      </c>
      <c r="C21" s="324"/>
      <c r="D21" s="324"/>
      <c r="E21" s="324"/>
      <c r="F21" s="324"/>
    </row>
    <row r="22" spans="1:6">
      <c r="A22" s="1264" t="s">
        <v>12</v>
      </c>
      <c r="B22" s="1265">
        <v>122</v>
      </c>
      <c r="C22" s="324"/>
      <c r="D22" s="324"/>
      <c r="E22" s="324"/>
      <c r="F22" s="324"/>
    </row>
    <row r="23" spans="1:6">
      <c r="A23" s="1264" t="s">
        <v>13</v>
      </c>
      <c r="B23" s="1265">
        <v>7</v>
      </c>
      <c r="C23" s="324"/>
      <c r="D23" s="324"/>
      <c r="E23" s="324"/>
      <c r="F23" s="324"/>
    </row>
    <row r="24" spans="1:6">
      <c r="A24" s="1264" t="s">
        <v>14</v>
      </c>
      <c r="B24" s="1265">
        <v>1</v>
      </c>
      <c r="C24" s="324"/>
      <c r="D24" s="324"/>
      <c r="E24" s="324"/>
      <c r="F24" s="324"/>
    </row>
    <row r="25" spans="1:6">
      <c r="A25" s="1264" t="s">
        <v>15</v>
      </c>
      <c r="B25" s="1265">
        <v>34</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13</v>
      </c>
      <c r="C29" s="324"/>
      <c r="D29" s="324"/>
      <c r="E29" s="324"/>
      <c r="F29" s="324"/>
    </row>
    <row r="30" spans="1:6">
      <c r="A30" s="1259" t="s">
        <v>658</v>
      </c>
      <c r="B30" s="1267">
        <v>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4</v>
      </c>
      <c r="D36" s="1265">
        <v>243813.44752643799</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3003.8927965408998</v>
      </c>
    </row>
    <row r="39" spans="1:6">
      <c r="A39" s="1264" t="s">
        <v>29</v>
      </c>
      <c r="B39" s="1264" t="s">
        <v>30</v>
      </c>
      <c r="C39" s="1265">
        <v>6833</v>
      </c>
      <c r="D39" s="1265">
        <v>93889071.876106694</v>
      </c>
      <c r="E39" s="1265">
        <v>8294</v>
      </c>
      <c r="F39" s="1265">
        <v>27821210.3473561</v>
      </c>
    </row>
    <row r="40" spans="1:6">
      <c r="A40" s="1264" t="s">
        <v>29</v>
      </c>
      <c r="B40" s="1264" t="s">
        <v>28</v>
      </c>
      <c r="C40" s="1265">
        <v>1</v>
      </c>
      <c r="D40" s="1265">
        <v>24562.587770329501</v>
      </c>
      <c r="E40" s="1265">
        <v>1</v>
      </c>
      <c r="F40" s="1265">
        <v>3878.7118493480002</v>
      </c>
    </row>
    <row r="41" spans="1:6">
      <c r="A41" s="1264" t="s">
        <v>31</v>
      </c>
      <c r="B41" s="1264" t="s">
        <v>32</v>
      </c>
      <c r="C41" s="1265">
        <v>44</v>
      </c>
      <c r="D41" s="1265">
        <v>1847378.78633236</v>
      </c>
      <c r="E41" s="1265">
        <v>78</v>
      </c>
      <c r="F41" s="1265">
        <v>5473445.5850618798</v>
      </c>
    </row>
    <row r="42" spans="1:6">
      <c r="A42" s="1264" t="s">
        <v>31</v>
      </c>
      <c r="B42" s="1264" t="s">
        <v>33</v>
      </c>
      <c r="C42" s="1265">
        <v>0</v>
      </c>
      <c r="D42" s="1265">
        <v>0</v>
      </c>
      <c r="E42" s="1265">
        <v>5</v>
      </c>
      <c r="F42" s="1265">
        <v>9288710.5821941998</v>
      </c>
    </row>
    <row r="43" spans="1:6">
      <c r="A43" s="1264" t="s">
        <v>31</v>
      </c>
      <c r="B43" s="1264" t="s">
        <v>34</v>
      </c>
      <c r="C43" s="1265">
        <v>0</v>
      </c>
      <c r="D43" s="1265">
        <v>0</v>
      </c>
      <c r="E43" s="1265">
        <v>0</v>
      </c>
      <c r="F43" s="1265">
        <v>0</v>
      </c>
    </row>
    <row r="44" spans="1:6">
      <c r="A44" s="1264" t="s">
        <v>31</v>
      </c>
      <c r="B44" s="1264" t="s">
        <v>35</v>
      </c>
      <c r="C44" s="1265">
        <v>6</v>
      </c>
      <c r="D44" s="1265">
        <v>3019147.07902512</v>
      </c>
      <c r="E44" s="1265">
        <v>15</v>
      </c>
      <c r="F44" s="1265">
        <v>4663968.1574651403</v>
      </c>
    </row>
    <row r="45" spans="1:6">
      <c r="A45" s="1264" t="s">
        <v>31</v>
      </c>
      <c r="B45" s="1264" t="s">
        <v>36</v>
      </c>
      <c r="C45" s="1265">
        <v>3</v>
      </c>
      <c r="D45" s="1265">
        <v>1063414.1141373599</v>
      </c>
      <c r="E45" s="1265">
        <v>5</v>
      </c>
      <c r="F45" s="1265">
        <v>19043828.174859501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1692388.16594639</v>
      </c>
      <c r="E48" s="1265">
        <v>2</v>
      </c>
      <c r="F48" s="1265">
        <v>6992.3256674122003</v>
      </c>
    </row>
    <row r="49" spans="1:6">
      <c r="A49" s="1264" t="s">
        <v>31</v>
      </c>
      <c r="B49" s="1264" t="s">
        <v>39</v>
      </c>
      <c r="C49" s="1265">
        <v>4</v>
      </c>
      <c r="D49" s="1265">
        <v>74663.871608390997</v>
      </c>
      <c r="E49" s="1265">
        <v>4</v>
      </c>
      <c r="F49" s="1265">
        <v>34703.4662360156</v>
      </c>
    </row>
    <row r="50" spans="1:6">
      <c r="A50" s="1264" t="s">
        <v>31</v>
      </c>
      <c r="B50" s="1264" t="s">
        <v>40</v>
      </c>
      <c r="C50" s="1265">
        <v>5</v>
      </c>
      <c r="D50" s="1265">
        <v>1458681.9721616299</v>
      </c>
      <c r="E50" s="1265">
        <v>11</v>
      </c>
      <c r="F50" s="1265">
        <v>1291594.75269481</v>
      </c>
    </row>
    <row r="51" spans="1:6">
      <c r="A51" s="1264" t="s">
        <v>41</v>
      </c>
      <c r="B51" s="1264" t="s">
        <v>42</v>
      </c>
      <c r="C51" s="1265">
        <v>9</v>
      </c>
      <c r="D51" s="1265">
        <v>18673855.343108401</v>
      </c>
      <c r="E51" s="1265">
        <v>30</v>
      </c>
      <c r="F51" s="1265">
        <v>1328247.43055306</v>
      </c>
    </row>
    <row r="52" spans="1:6">
      <c r="A52" s="1264" t="s">
        <v>41</v>
      </c>
      <c r="B52" s="1264" t="s">
        <v>28</v>
      </c>
      <c r="C52" s="1265">
        <v>0</v>
      </c>
      <c r="D52" s="1265">
        <v>0</v>
      </c>
      <c r="E52" s="1265">
        <v>0</v>
      </c>
      <c r="F52" s="1265">
        <v>0</v>
      </c>
    </row>
    <row r="53" spans="1:6">
      <c r="A53" s="1264" t="s">
        <v>43</v>
      </c>
      <c r="B53" s="1264" t="s">
        <v>44</v>
      </c>
      <c r="C53" s="1265">
        <v>149</v>
      </c>
      <c r="D53" s="1265">
        <v>5756815.6102115205</v>
      </c>
      <c r="E53" s="1265">
        <v>337</v>
      </c>
      <c r="F53" s="1265">
        <v>777622.95221672999</v>
      </c>
    </row>
    <row r="54" spans="1:6">
      <c r="A54" s="1264" t="s">
        <v>45</v>
      </c>
      <c r="B54" s="1264" t="s">
        <v>46</v>
      </c>
      <c r="C54" s="1265">
        <v>0</v>
      </c>
      <c r="D54" s="1265">
        <v>0</v>
      </c>
      <c r="E54" s="1265">
        <v>5</v>
      </c>
      <c r="F54" s="1265">
        <v>1288882.2028206901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63</v>
      </c>
      <c r="D57" s="1265">
        <v>3349231.4667450301</v>
      </c>
      <c r="E57" s="1265">
        <v>111</v>
      </c>
      <c r="F57" s="1265">
        <v>3418150.0917560598</v>
      </c>
    </row>
    <row r="58" spans="1:6">
      <c r="A58" s="1264" t="s">
        <v>48</v>
      </c>
      <c r="B58" s="1264" t="s">
        <v>50</v>
      </c>
      <c r="C58" s="1265">
        <v>35</v>
      </c>
      <c r="D58" s="1265">
        <v>3527275.7990538999</v>
      </c>
      <c r="E58" s="1265">
        <v>46</v>
      </c>
      <c r="F58" s="1265">
        <v>1625406.9679048799</v>
      </c>
    </row>
    <row r="59" spans="1:6">
      <c r="A59" s="1264" t="s">
        <v>48</v>
      </c>
      <c r="B59" s="1264" t="s">
        <v>51</v>
      </c>
      <c r="C59" s="1265">
        <v>114</v>
      </c>
      <c r="D59" s="1265">
        <v>7038241.6705859303</v>
      </c>
      <c r="E59" s="1265">
        <v>165</v>
      </c>
      <c r="F59" s="1265">
        <v>8265270.19392775</v>
      </c>
    </row>
    <row r="60" spans="1:6">
      <c r="A60" s="1264" t="s">
        <v>48</v>
      </c>
      <c r="B60" s="1264" t="s">
        <v>52</v>
      </c>
      <c r="C60" s="1265">
        <v>54</v>
      </c>
      <c r="D60" s="1265">
        <v>3014254.9959750599</v>
      </c>
      <c r="E60" s="1265">
        <v>62</v>
      </c>
      <c r="F60" s="1265">
        <v>1834172.6751884299</v>
      </c>
    </row>
    <row r="61" spans="1:6">
      <c r="A61" s="1264" t="s">
        <v>48</v>
      </c>
      <c r="B61" s="1264" t="s">
        <v>53</v>
      </c>
      <c r="C61" s="1265">
        <v>122</v>
      </c>
      <c r="D61" s="1265">
        <v>66771727.758685097</v>
      </c>
      <c r="E61" s="1265">
        <v>329</v>
      </c>
      <c r="F61" s="1265">
        <v>9652285.60276559</v>
      </c>
    </row>
    <row r="62" spans="1:6">
      <c r="A62" s="1264" t="s">
        <v>48</v>
      </c>
      <c r="B62" s="1264" t="s">
        <v>54</v>
      </c>
      <c r="C62" s="1265">
        <v>4</v>
      </c>
      <c r="D62" s="1265">
        <v>717124.95922475797</v>
      </c>
      <c r="E62" s="1265">
        <v>9</v>
      </c>
      <c r="F62" s="1265">
        <v>226008.99390793199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13</v>
      </c>
      <c r="F66" s="1265">
        <v>565183.44526303106</v>
      </c>
    </row>
    <row r="67" spans="1:6">
      <c r="A67" s="1264" t="s">
        <v>55</v>
      </c>
      <c r="B67" s="1264" t="s">
        <v>58</v>
      </c>
      <c r="C67" s="1265">
        <v>0</v>
      </c>
      <c r="D67" s="1265">
        <v>0</v>
      </c>
      <c r="E67" s="1265">
        <v>0</v>
      </c>
      <c r="F67" s="1265">
        <v>0</v>
      </c>
    </row>
    <row r="68" spans="1:6">
      <c r="A68" s="1259" t="s">
        <v>55</v>
      </c>
      <c r="B68" s="1259" t="s">
        <v>59</v>
      </c>
      <c r="C68" s="1267">
        <v>3</v>
      </c>
      <c r="D68" s="1267">
        <v>202861.31345063701</v>
      </c>
      <c r="E68" s="1267">
        <v>7</v>
      </c>
      <c r="F68" s="1267">
        <v>895008.83329899202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42441342</v>
      </c>
      <c r="E73" s="443"/>
      <c r="F73" s="324"/>
    </row>
    <row r="74" spans="1:6">
      <c r="A74" s="1264" t="s">
        <v>63</v>
      </c>
      <c r="B74" s="1264" t="s">
        <v>608</v>
      </c>
      <c r="C74" s="1277" t="s">
        <v>610</v>
      </c>
      <c r="D74" s="1265">
        <v>3791669.5256210417</v>
      </c>
      <c r="E74" s="443"/>
      <c r="F74" s="324"/>
    </row>
    <row r="75" spans="1:6">
      <c r="A75" s="1264" t="s">
        <v>64</v>
      </c>
      <c r="B75" s="1264" t="s">
        <v>607</v>
      </c>
      <c r="C75" s="1277" t="s">
        <v>611</v>
      </c>
      <c r="D75" s="1265">
        <v>14371496</v>
      </c>
      <c r="E75" s="443"/>
      <c r="F75" s="324"/>
    </row>
    <row r="76" spans="1:6">
      <c r="A76" s="1264" t="s">
        <v>64</v>
      </c>
      <c r="B76" s="1264" t="s">
        <v>608</v>
      </c>
      <c r="C76" s="1277" t="s">
        <v>612</v>
      </c>
      <c r="D76" s="1265">
        <v>2015036.5256210414</v>
      </c>
      <c r="E76" s="443"/>
      <c r="F76" s="324"/>
    </row>
    <row r="77" spans="1:6">
      <c r="A77" s="1264" t="s">
        <v>65</v>
      </c>
      <c r="B77" s="1264" t="s">
        <v>607</v>
      </c>
      <c r="C77" s="1277" t="s">
        <v>613</v>
      </c>
      <c r="D77" s="1265">
        <v>139663774</v>
      </c>
      <c r="E77" s="443"/>
      <c r="F77" s="324"/>
    </row>
    <row r="78" spans="1:6">
      <c r="A78" s="1259" t="s">
        <v>65</v>
      </c>
      <c r="B78" s="1259" t="s">
        <v>608</v>
      </c>
      <c r="C78" s="1259" t="s">
        <v>614</v>
      </c>
      <c r="D78" s="1267">
        <v>32956974</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286986.94875791698</v>
      </c>
      <c r="C83" s="443"/>
      <c r="D83" s="324"/>
      <c r="E83" s="324"/>
      <c r="F83" s="324"/>
    </row>
    <row r="84" spans="1:6">
      <c r="A84" s="1259" t="s">
        <v>324</v>
      </c>
      <c r="B84" s="1267">
        <v>331105.73672637797</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2916.4827177243237</v>
      </c>
      <c r="C91" s="324"/>
      <c r="D91" s="324"/>
      <c r="E91" s="324"/>
      <c r="F91" s="324"/>
    </row>
    <row r="92" spans="1:6">
      <c r="A92" s="1259" t="s">
        <v>68</v>
      </c>
      <c r="B92" s="1260">
        <v>3163.5224427792673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5156</v>
      </c>
      <c r="C97" s="324"/>
      <c r="D97" s="324"/>
      <c r="E97" s="324"/>
      <c r="F97" s="324"/>
    </row>
    <row r="98" spans="1:6">
      <c r="A98" s="1264" t="s">
        <v>71</v>
      </c>
      <c r="B98" s="1265">
        <v>14</v>
      </c>
      <c r="C98" s="324"/>
      <c r="D98" s="324"/>
      <c r="E98" s="324"/>
      <c r="F98" s="324"/>
    </row>
    <row r="99" spans="1:6">
      <c r="A99" s="1264" t="s">
        <v>72</v>
      </c>
      <c r="B99" s="1265">
        <v>13</v>
      </c>
      <c r="C99" s="324"/>
      <c r="D99" s="324"/>
      <c r="E99" s="324"/>
      <c r="F99" s="324"/>
    </row>
    <row r="100" spans="1:6">
      <c r="A100" s="1264" t="s">
        <v>73</v>
      </c>
      <c r="B100" s="1265">
        <v>969</v>
      </c>
      <c r="C100" s="324"/>
      <c r="D100" s="324"/>
      <c r="E100" s="324"/>
      <c r="F100" s="324"/>
    </row>
    <row r="101" spans="1:6">
      <c r="A101" s="1264" t="s">
        <v>74</v>
      </c>
      <c r="B101" s="1265">
        <v>49</v>
      </c>
      <c r="C101" s="324"/>
      <c r="D101" s="324"/>
      <c r="E101" s="324"/>
      <c r="F101" s="324"/>
    </row>
    <row r="102" spans="1:6">
      <c r="A102" s="1264" t="s">
        <v>75</v>
      </c>
      <c r="B102" s="1265">
        <v>101</v>
      </c>
      <c r="C102" s="324"/>
      <c r="D102" s="324"/>
      <c r="E102" s="324"/>
      <c r="F102" s="324"/>
    </row>
    <row r="103" spans="1:6">
      <c r="A103" s="1264" t="s">
        <v>76</v>
      </c>
      <c r="B103" s="1265">
        <v>138</v>
      </c>
      <c r="C103" s="324"/>
      <c r="D103" s="324"/>
      <c r="E103" s="324"/>
      <c r="F103" s="324"/>
    </row>
    <row r="104" spans="1:6">
      <c r="A104" s="1264" t="s">
        <v>77</v>
      </c>
      <c r="B104" s="1265">
        <v>696</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7</v>
      </c>
      <c r="C123" s="1265">
        <v>19</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78</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100491.20928376833</v>
      </c>
      <c r="C3" s="43" t="s">
        <v>163</v>
      </c>
      <c r="D3" s="43"/>
      <c r="E3" s="153"/>
      <c r="F3" s="43"/>
      <c r="G3" s="43"/>
      <c r="H3" s="43"/>
      <c r="I3" s="43"/>
      <c r="J3" s="43"/>
      <c r="K3" s="96"/>
    </row>
    <row r="4" spans="1:11">
      <c r="A4" s="350" t="s">
        <v>164</v>
      </c>
      <c r="B4" s="49">
        <f>IF(ISERROR('SEAP template'!B78+'SEAP template'!C78),0,'SEAP template'!B78+'SEAP template'!C78)</f>
        <v>46022.005160503591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9492.0988235294135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0.21424553538782506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13560.14117647059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57060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1288.8822028206901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1288.8822028206901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0.21424553538782506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276.13725759515808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27825.089059205446</v>
      </c>
      <c r="C5" s="17">
        <f>IF(ISERROR('Eigen informatie GS &amp; warmtenet'!B59),0,'Eigen informatie GS &amp; warmtenet'!B59)</f>
        <v>0</v>
      </c>
      <c r="D5" s="30">
        <f>(SUM(HH_hh_gas_kWh,HH_rest_gas_kWh)/1000)*0.903</f>
        <v>84804.011920880948</v>
      </c>
      <c r="E5" s="17">
        <f>B32*B41</f>
        <v>1296.911833690674</v>
      </c>
      <c r="F5" s="17">
        <f>B36*B45</f>
        <v>21253.378610514472</v>
      </c>
      <c r="G5" s="18"/>
      <c r="H5" s="17"/>
      <c r="I5" s="17"/>
      <c r="J5" s="17">
        <f>B35*B44+C35*C44</f>
        <v>117.30799814161175</v>
      </c>
      <c r="K5" s="17"/>
      <c r="L5" s="17"/>
      <c r="M5" s="17"/>
      <c r="N5" s="17">
        <f>B34*B43+C34*C43</f>
        <v>9392.8126631032901</v>
      </c>
      <c r="O5" s="17">
        <f>B52*B53*B54</f>
        <v>196.41186371931616</v>
      </c>
      <c r="P5" s="17">
        <f>B60*B61*B62/1000-B60*B61*B62/1000/B63</f>
        <v>179.07730823064537</v>
      </c>
    </row>
    <row r="6" spans="1:16">
      <c r="A6" s="16" t="s">
        <v>573</v>
      </c>
      <c r="B6" s="739">
        <f>kWh_PV_kleiner_dan_10kW</f>
        <v>2916.4827177243237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30741.57177692977</v>
      </c>
      <c r="C8" s="21">
        <f>C5</f>
        <v>0</v>
      </c>
      <c r="D8" s="21">
        <f>D5</f>
        <v>84804.011920880948</v>
      </c>
      <c r="E8" s="21">
        <f>E5</f>
        <v>1296.911833690674</v>
      </c>
      <c r="F8" s="21">
        <f>F5</f>
        <v>21253.378610514472</v>
      </c>
      <c r="G8" s="21"/>
      <c r="H8" s="21"/>
      <c r="I8" s="21"/>
      <c r="J8" s="21">
        <f>J5</f>
        <v>117.30799814161175</v>
      </c>
      <c r="K8" s="21"/>
      <c r="L8" s="21">
        <f>L5</f>
        <v>0</v>
      </c>
      <c r="M8" s="21">
        <f>M5</f>
        <v>0</v>
      </c>
      <c r="N8" s="21">
        <f>N5</f>
        <v>9392.8126631032901</v>
      </c>
      <c r="O8" s="21">
        <f>O5</f>
        <v>196.41186371931616</v>
      </c>
      <c r="P8" s="21">
        <f>P5</f>
        <v>179.07730823064537</v>
      </c>
    </row>
    <row r="9" spans="1:16">
      <c r="B9" s="19"/>
      <c r="C9" s="19"/>
      <c r="D9" s="253"/>
      <c r="E9" s="19"/>
      <c r="F9" s="19"/>
      <c r="G9" s="19"/>
      <c r="H9" s="19"/>
      <c r="I9" s="19"/>
      <c r="J9" s="19"/>
      <c r="K9" s="19"/>
      <c r="L9" s="19"/>
      <c r="M9" s="19"/>
      <c r="N9" s="19"/>
      <c r="O9" s="19"/>
      <c r="P9" s="19"/>
    </row>
    <row r="10" spans="1:16">
      <c r="A10" s="24" t="s">
        <v>207</v>
      </c>
      <c r="B10" s="25">
        <f ca="1">'EF ele_warmte'!B12</f>
        <v>0.21424553538782506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6586.2445040115708</v>
      </c>
      <c r="C12" s="23">
        <f ca="1">C10*C8</f>
        <v>0</v>
      </c>
      <c r="D12" s="23">
        <f>D8*D10</f>
        <v>17130.410408017953</v>
      </c>
      <c r="E12" s="23">
        <f>E10*E8</f>
        <v>294.398986247783</v>
      </c>
      <c r="F12" s="23">
        <f>F10*F8</f>
        <v>5674.6520890073643</v>
      </c>
      <c r="G12" s="23"/>
      <c r="H12" s="23"/>
      <c r="I12" s="23"/>
      <c r="J12" s="23">
        <f>J10*J8</f>
        <v>41.527031342130556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8168</v>
      </c>
      <c r="C26" s="36"/>
      <c r="D26" s="224"/>
    </row>
    <row r="27" spans="1:5" s="15" customFormat="1">
      <c r="A27" s="226" t="s">
        <v>784</v>
      </c>
      <c r="B27" s="37">
        <f>SUM(HH_hh_gas_aantal,HH_rest_gas_aantal)</f>
        <v>6834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6492.3</v>
      </c>
      <c r="C31" s="34" t="s">
        <v>104</v>
      </c>
      <c r="D31" s="170"/>
    </row>
    <row r="32" spans="1:5">
      <c r="A32" s="167" t="s">
        <v>72</v>
      </c>
      <c r="B32" s="33">
        <f>IF((B21*($B$26-($B$27-0.05*$B$27)-$B$60))&lt;0,0,B21*($B$26-($B$27-0.05*$B$27)-$B$60))</f>
        <v>25.585384777430324</v>
      </c>
      <c r="C32" s="34" t="s">
        <v>104</v>
      </c>
      <c r="D32" s="170"/>
    </row>
    <row r="33" spans="1:6">
      <c r="A33" s="167" t="s">
        <v>73</v>
      </c>
      <c r="B33" s="33">
        <f>IF((B22*($B$26-($B$27-0.05*$B$27)-$B$60))&lt;0,0,B22*($B$26-($B$27-0.05*$B$27)-$B$60))</f>
        <v>415.45597637474214</v>
      </c>
      <c r="C33" s="34" t="s">
        <v>104</v>
      </c>
      <c r="D33" s="170"/>
    </row>
    <row r="34" spans="1:6">
      <c r="A34" s="167" t="s">
        <v>74</v>
      </c>
      <c r="B34" s="33">
        <f>IF((B24*($B$26-($B$27-0.05*$B$27)-$B$60))&lt;0,0,B24*($B$26-($B$27-0.05*$B$27)-$B$60))</f>
        <v>181.66197757732644</v>
      </c>
      <c r="C34" s="33">
        <f>B26*C24</f>
        <v>1372.2234430452213</v>
      </c>
      <c r="D34" s="229"/>
    </row>
    <row r="35" spans="1:6">
      <c r="A35" s="167" t="s">
        <v>76</v>
      </c>
      <c r="B35" s="33">
        <f>IF((B19*($B$26-($B$27-0.05*$B$27)-$B$60))&lt;0,0,B19*($B$26-($B$27-0.05*$B$27)-$B$60))</f>
        <v>11.121905765522076</v>
      </c>
      <c r="C35" s="33">
        <f>B35/2</f>
        <v>5.5609528827610379</v>
      </c>
      <c r="D35" s="229"/>
    </row>
    <row r="36" spans="1:6">
      <c r="A36" s="167" t="s">
        <v>77</v>
      </c>
      <c r="B36" s="33">
        <f>IF((B18*($B$26-($B$27-0.05*$B$27)-$B$60))&lt;0,0,B18*($B$26-($B$27-0.05*$B$27)-$B$60))</f>
        <v>1024.8747555049783</v>
      </c>
      <c r="C36" s="34" t="s">
        <v>104</v>
      </c>
      <c r="D36" s="170"/>
    </row>
    <row r="37" spans="1:6">
      <c r="A37" s="167" t="s">
        <v>78</v>
      </c>
      <c r="B37" s="33">
        <f>B60</f>
        <v>17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25021.294525450645</v>
      </c>
      <c r="C5" s="17">
        <f>IF(ISERROR('Eigen informatie GS &amp; warmtenet'!B60),0,'Eigen informatie GS &amp; warmtenet'!B60)</f>
        <v>0</v>
      </c>
      <c r="D5" s="30">
        <f>SUM(D6:D12)</f>
        <v>76229.324555193612</v>
      </c>
      <c r="E5" s="17">
        <f>SUM(E6:E12)</f>
        <v>80.621047846520412</v>
      </c>
      <c r="F5" s="17">
        <f>SUM(F6:F12)</f>
        <v>5151.9728723698818</v>
      </c>
      <c r="G5" s="18"/>
      <c r="H5" s="17"/>
      <c r="I5" s="17"/>
      <c r="J5" s="17">
        <f>SUM(J6:J12)</f>
        <v>3.3757035405281979E-2</v>
      </c>
      <c r="K5" s="17"/>
      <c r="L5" s="17"/>
      <c r="M5" s="17"/>
      <c r="N5" s="17">
        <f>SUM(N6:N12)</f>
        <v>1182.582872362575</v>
      </c>
      <c r="O5" s="17">
        <f>B38*B39*B40</f>
        <v>4.8972607658411542</v>
      </c>
      <c r="P5" s="17">
        <f>B46*B47*B48/1000-B46*B47*B48/1000/B49</f>
        <v>105.07827661299004</v>
      </c>
      <c r="R5" s="32"/>
    </row>
    <row r="6" spans="1:18">
      <c r="A6" s="32" t="s">
        <v>53</v>
      </c>
      <c r="B6" s="37">
        <f>B26</f>
        <v>9652.2856027655907</v>
      </c>
      <c r="C6" s="33"/>
      <c r="D6" s="37">
        <f>IF(ISERROR(TER_kantoor_gas_kWh/1000),0,TER_kantoor_gas_kWh/1000)*0.903</f>
        <v>60294.870166092645</v>
      </c>
      <c r="E6" s="33">
        <f>$C$26*'E Balans VL '!I12/100/3.6*1000000</f>
        <v>2.3475041730754147</v>
      </c>
      <c r="F6" s="33">
        <f>$C$26*('E Balans VL '!L12+'E Balans VL '!N12)/100/3.6*1000000</f>
        <v>924.26746606345273</v>
      </c>
      <c r="G6" s="34"/>
      <c r="H6" s="33"/>
      <c r="I6" s="33"/>
      <c r="J6" s="33">
        <f>$C$26*('E Balans VL '!D12+'E Balans VL '!E12)/100/3.6*1000000</f>
        <v>0</v>
      </c>
      <c r="K6" s="33"/>
      <c r="L6" s="33"/>
      <c r="M6" s="33"/>
      <c r="N6" s="33">
        <f>$C$26*'E Balans VL '!Y12/100/3.6*1000000</f>
        <v>4.9002145849947771</v>
      </c>
      <c r="O6" s="33"/>
      <c r="P6" s="33"/>
      <c r="R6" s="32"/>
    </row>
    <row r="7" spans="1:18">
      <c r="A7" s="32" t="s">
        <v>52</v>
      </c>
      <c r="B7" s="37">
        <f t="shared" ref="B7:B12" si="0">B27</f>
        <v>1834.1726751884298</v>
      </c>
      <c r="C7" s="33"/>
      <c r="D7" s="37">
        <f>IF(ISERROR(TER_horeca_gas_kWh/1000),0,TER_horeca_gas_kWh/1000)*0.903</f>
        <v>2721.8722613654791</v>
      </c>
      <c r="E7" s="33">
        <f>$C$27*'E Balans VL '!I9/100/3.6*1000000</f>
        <v>0</v>
      </c>
      <c r="F7" s="33">
        <f>$C$27*('E Balans VL '!L9+'E Balans VL '!N9)/100/3.6*1000000</f>
        <v>150.43717197329647</v>
      </c>
      <c r="G7" s="34"/>
      <c r="H7" s="33"/>
      <c r="I7" s="33"/>
      <c r="J7" s="33">
        <f>$C$27*('E Balans VL '!D9+'E Balans VL '!E9)/100/3.6*1000000</f>
        <v>0</v>
      </c>
      <c r="K7" s="33"/>
      <c r="L7" s="33"/>
      <c r="M7" s="33"/>
      <c r="N7" s="33">
        <f>$C$27*'E Balans VL '!Y9/100/3.6*1000000</f>
        <v>12.046482696040131</v>
      </c>
      <c r="O7" s="33"/>
      <c r="P7" s="33"/>
      <c r="R7" s="32"/>
    </row>
    <row r="8" spans="1:18">
      <c r="A8" s="6" t="s">
        <v>51</v>
      </c>
      <c r="B8" s="37">
        <f t="shared" si="0"/>
        <v>8265.2701939277504</v>
      </c>
      <c r="C8" s="33"/>
      <c r="D8" s="37">
        <f>IF(ISERROR(TER_handel_gas_kWh/1000),0,TER_handel_gas_kWh/1000)*0.903</f>
        <v>6355.5322285390957</v>
      </c>
      <c r="E8" s="33">
        <f>$C$28*'E Balans VL '!I13/100/3.6*1000000</f>
        <v>29.218158320218837</v>
      </c>
      <c r="F8" s="33">
        <f>$C$28*('E Balans VL '!L13+'E Balans VL '!N13)/100/3.6*1000000</f>
        <v>761.05457796366659</v>
      </c>
      <c r="G8" s="34"/>
      <c r="H8" s="33"/>
      <c r="I8" s="33"/>
      <c r="J8" s="33">
        <f>$C$28*('E Balans VL '!D13+'E Balans VL '!E13)/100/3.6*1000000</f>
        <v>0</v>
      </c>
      <c r="K8" s="33"/>
      <c r="L8" s="33"/>
      <c r="M8" s="33"/>
      <c r="N8" s="33">
        <f>$C$28*'E Balans VL '!Y13/100/3.6*1000000</f>
        <v>2.9933250310418553</v>
      </c>
      <c r="O8" s="33"/>
      <c r="P8" s="33"/>
      <c r="R8" s="32"/>
    </row>
    <row r="9" spans="1:18">
      <c r="A9" s="32" t="s">
        <v>50</v>
      </c>
      <c r="B9" s="37">
        <f t="shared" si="0"/>
        <v>1625.40696790488</v>
      </c>
      <c r="C9" s="33"/>
      <c r="D9" s="37">
        <f>IF(ISERROR(TER_gezond_gas_kWh/1000),0,TER_gezond_gas_kWh/1000)*0.903</f>
        <v>3185.1300465456716</v>
      </c>
      <c r="E9" s="33">
        <f>$C$29*'E Balans VL '!I10/100/3.6*1000000</f>
        <v>0</v>
      </c>
      <c r="F9" s="33">
        <f>$C$29*('E Balans VL '!L10+'E Balans VL '!N10)/100/3.6*1000000</f>
        <v>199.67461005486777</v>
      </c>
      <c r="G9" s="34"/>
      <c r="H9" s="33"/>
      <c r="I9" s="33"/>
      <c r="J9" s="33">
        <f>$C$29*('E Balans VL '!D10+'E Balans VL '!E10)/100/3.6*1000000</f>
        <v>0</v>
      </c>
      <c r="K9" s="33"/>
      <c r="L9" s="33"/>
      <c r="M9" s="33"/>
      <c r="N9" s="33">
        <f>$C$29*'E Balans VL '!Y10/100/3.6*1000000</f>
        <v>11.986243715593531</v>
      </c>
      <c r="O9" s="33"/>
      <c r="P9" s="33"/>
      <c r="R9" s="32"/>
    </row>
    <row r="10" spans="1:18">
      <c r="A10" s="32" t="s">
        <v>49</v>
      </c>
      <c r="B10" s="37">
        <f t="shared" si="0"/>
        <v>3418.1500917560597</v>
      </c>
      <c r="C10" s="33"/>
      <c r="D10" s="37">
        <f>IF(ISERROR(TER_ander_gas_kWh/1000),0,TER_ander_gas_kWh/1000)*0.903</f>
        <v>3024.3560144707621</v>
      </c>
      <c r="E10" s="33">
        <f>$C$30*'E Balans VL '!I14/100/3.6*1000000</f>
        <v>49.055385353226164</v>
      </c>
      <c r="F10" s="33">
        <f>$C$30*('E Balans VL '!L14+'E Balans VL '!N14)/100/3.6*1000000</f>
        <v>3090.1159035183678</v>
      </c>
      <c r="G10" s="34"/>
      <c r="H10" s="33"/>
      <c r="I10" s="33"/>
      <c r="J10" s="33">
        <f>$C$30*('E Balans VL '!D14+'E Balans VL '!E14)/100/3.6*1000000</f>
        <v>3.3757035405281979E-2</v>
      </c>
      <c r="K10" s="33"/>
      <c r="L10" s="33"/>
      <c r="M10" s="33"/>
      <c r="N10" s="33">
        <f>$C$30*'E Balans VL '!Y14/100/3.6*1000000</f>
        <v>1150.020190960948</v>
      </c>
      <c r="O10" s="33"/>
      <c r="P10" s="33"/>
      <c r="R10" s="32"/>
    </row>
    <row r="11" spans="1:18">
      <c r="A11" s="32" t="s">
        <v>54</v>
      </c>
      <c r="B11" s="37">
        <f t="shared" si="0"/>
        <v>226.00899390793199</v>
      </c>
      <c r="C11" s="33"/>
      <c r="D11" s="37">
        <f>IF(ISERROR(TER_onderwijs_gas_kWh/1000),0,TER_onderwijs_gas_kWh/1000)*0.903</f>
        <v>647.56383817995641</v>
      </c>
      <c r="E11" s="33">
        <f>$C$31*'E Balans VL '!I11/100/3.6*1000000</f>
        <v>0</v>
      </c>
      <c r="F11" s="33">
        <f>$C$31*('E Balans VL '!L11+'E Balans VL '!N11)/100/3.6*1000000</f>
        <v>26.423142796230586</v>
      </c>
      <c r="G11" s="34"/>
      <c r="H11" s="33"/>
      <c r="I11" s="33"/>
      <c r="J11" s="33">
        <f>$C$31*('E Balans VL '!D11+'E Balans VL '!E11)/100/3.6*1000000</f>
        <v>0</v>
      </c>
      <c r="K11" s="33"/>
      <c r="L11" s="33"/>
      <c r="M11" s="33"/>
      <c r="N11" s="33">
        <f>$C$31*'E Balans VL '!Y11/100/3.6*1000000</f>
        <v>0.63641537395684766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22.5</v>
      </c>
      <c r="C13" s="242">
        <f ca="1">'lokale energieproductie'!O41+'lokale energieproductie'!O34</f>
        <v>32.142857142857146</v>
      </c>
      <c r="D13" s="302">
        <f ca="1">('lokale energieproductie'!P34+'lokale energieproductie'!P41)*(-1)</f>
        <v>-64.285714285714292</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25043.794525450645</v>
      </c>
      <c r="C16" s="21">
        <f t="shared" ca="1" si="1"/>
        <v>32.142857142857146</v>
      </c>
      <c r="D16" s="21">
        <f t="shared" ca="1" si="1"/>
        <v>76165.038840907902</v>
      </c>
      <c r="E16" s="21">
        <f t="shared" si="1"/>
        <v>80.621047846520412</v>
      </c>
      <c r="F16" s="21">
        <f t="shared" ca="1" si="1"/>
        <v>5151.9728723698818</v>
      </c>
      <c r="G16" s="21">
        <f t="shared" si="1"/>
        <v>0</v>
      </c>
      <c r="H16" s="21">
        <f t="shared" si="1"/>
        <v>0</v>
      </c>
      <c r="I16" s="21">
        <f t="shared" si="1"/>
        <v>0</v>
      </c>
      <c r="J16" s="21">
        <f t="shared" si="1"/>
        <v>3.3757035405281979E-2</v>
      </c>
      <c r="K16" s="21">
        <f t="shared" si="1"/>
        <v>0</v>
      </c>
      <c r="L16" s="21">
        <f t="shared" ca="1" si="1"/>
        <v>0</v>
      </c>
      <c r="M16" s="21">
        <f t="shared" si="1"/>
        <v>0</v>
      </c>
      <c r="N16" s="21">
        <f t="shared" ca="1" si="1"/>
        <v>1182.582872362575</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0.21424553538782506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5365.5211662478559</v>
      </c>
      <c r="C20" s="23">
        <f t="shared" ref="C20:P20" ca="1" si="2">C16*C18</f>
        <v>7.6386554621848752</v>
      </c>
      <c r="D20" s="23">
        <f t="shared" ca="1" si="2"/>
        <v>15385.337845863398</v>
      </c>
      <c r="E20" s="23">
        <f t="shared" si="2"/>
        <v>18.300977861160135</v>
      </c>
      <c r="F20" s="23">
        <f t="shared" ca="1" si="2"/>
        <v>1375.5767569227585</v>
      </c>
      <c r="G20" s="23">
        <f t="shared" si="2"/>
        <v>0</v>
      </c>
      <c r="H20" s="23">
        <f t="shared" si="2"/>
        <v>0</v>
      </c>
      <c r="I20" s="23">
        <f t="shared" si="2"/>
        <v>0</v>
      </c>
      <c r="J20" s="23">
        <f t="shared" si="2"/>
        <v>1.1949990533469819E-2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9652.2856027655907</v>
      </c>
      <c r="C26" s="39">
        <f>IF(ISERROR(B26*3.6/1000000/'E Balans VL '!Z12*100),0,B26*3.6/1000000/'E Balans VL '!Z12*100)</f>
        <v>0.27207303217486423</v>
      </c>
      <c r="D26" s="232" t="s">
        <v>660</v>
      </c>
      <c r="F26" s="6"/>
    </row>
    <row r="27" spans="1:18">
      <c r="A27" s="227" t="s">
        <v>52</v>
      </c>
      <c r="B27" s="33">
        <f>IF(ISERROR(TER_horeca_ele_kWh/1000),0,TER_horeca_ele_kWh/1000)</f>
        <v>1834.1726751884298</v>
      </c>
      <c r="C27" s="39">
        <f>IF(ISERROR(B27*3.6/1000000/'E Balans VL '!Z9*100),0,B27*3.6/1000000/'E Balans VL '!Z9*100)</f>
        <v>0.13598137164592272</v>
      </c>
      <c r="D27" s="232" t="s">
        <v>660</v>
      </c>
      <c r="F27" s="6"/>
    </row>
    <row r="28" spans="1:18">
      <c r="A28" s="167" t="s">
        <v>51</v>
      </c>
      <c r="B28" s="33">
        <f>IF(ISERROR(TER_handel_ele_kWh/1000),0,TER_handel_ele_kWh/1000)</f>
        <v>8265.2701939277504</v>
      </c>
      <c r="C28" s="39">
        <f>IF(ISERROR(B28*3.6/1000000/'E Balans VL '!Z13*100),0,B28*3.6/1000000/'E Balans VL '!Z13*100)</f>
        <v>0.2476078435964881</v>
      </c>
      <c r="D28" s="232" t="s">
        <v>660</v>
      </c>
      <c r="F28" s="6"/>
    </row>
    <row r="29" spans="1:18">
      <c r="A29" s="227" t="s">
        <v>50</v>
      </c>
      <c r="B29" s="33">
        <f>IF(ISERROR(TER_gezond_ele_kWh/1000),0,TER_gezond_ele_kWh/1000)</f>
        <v>1625.40696790488</v>
      </c>
      <c r="C29" s="39">
        <f>IF(ISERROR(B29*3.6/1000000/'E Balans VL '!Z10*100),0,B29*3.6/1000000/'E Balans VL '!Z10*100)</f>
        <v>0.16072087806162666</v>
      </c>
      <c r="D29" s="232" t="s">
        <v>660</v>
      </c>
      <c r="F29" s="6"/>
    </row>
    <row r="30" spans="1:18">
      <c r="A30" s="227" t="s">
        <v>49</v>
      </c>
      <c r="B30" s="33">
        <f>IF(ISERROR(TER_ander_ele_kWh/1000),0,TER_ander_ele_kWh/1000)</f>
        <v>3418.1500917560597</v>
      </c>
      <c r="C30" s="39">
        <f>IF(ISERROR(B30*3.6/1000000/'E Balans VL '!Z14*100),0,B30*3.6/1000000/'E Balans VL '!Z14*100)</f>
        <v>0.13825406991924361</v>
      </c>
      <c r="D30" s="232" t="s">
        <v>660</v>
      </c>
      <c r="F30" s="6"/>
    </row>
    <row r="31" spans="1:18">
      <c r="A31" s="227" t="s">
        <v>54</v>
      </c>
      <c r="B31" s="33">
        <f>IF(ISERROR(TER_onderwijs_ele_kWh/1000),0,TER_onderwijs_ele_kWh/1000)</f>
        <v>226.00899390793199</v>
      </c>
      <c r="C31" s="39">
        <f>IF(ISERROR(B31*3.6/1000000/'E Balans VL '!Z11*100),0,B31*3.6/1000000/'E Balans VL '!Z11*100)</f>
        <v>6.2094555047598907E-2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39803.243044178962</v>
      </c>
      <c r="C5" s="17">
        <f>IF(ISERROR('Eigen informatie GS &amp; warmtenet'!B61),0,'Eigen informatie GS &amp; warmtenet'!B61)</f>
        <v>0</v>
      </c>
      <c r="D5" s="30">
        <f>SUM(D6:D15)</f>
        <v>8267.57361225776</v>
      </c>
      <c r="E5" s="17">
        <f>SUM(E6:E15)</f>
        <v>2079.2662798809083</v>
      </c>
      <c r="F5" s="17">
        <f>SUM(F6:F15)</f>
        <v>6072.322425287678</v>
      </c>
      <c r="G5" s="18"/>
      <c r="H5" s="17"/>
      <c r="I5" s="17"/>
      <c r="J5" s="17">
        <f>SUM(J6:J15)</f>
        <v>4.6786403871881959</v>
      </c>
      <c r="K5" s="17"/>
      <c r="L5" s="17"/>
      <c r="M5" s="17"/>
      <c r="N5" s="17">
        <f>SUM(N6:N15)</f>
        <v>9506.4663721434335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4663.9681574651404</v>
      </c>
      <c r="C8" s="33"/>
      <c r="D8" s="37">
        <f>IF( ISERROR(IND_metaal_Gas_kWH/1000),0,IND_metaal_Gas_kWH/1000)*0.903</f>
        <v>2726.2898123596833</v>
      </c>
      <c r="E8" s="33">
        <f>C30*'E Balans VL '!I18/100/3.6*1000000</f>
        <v>25.490611809114348</v>
      </c>
      <c r="F8" s="33">
        <f>C30*'E Balans VL '!L18/100/3.6*1000000+C30*'E Balans VL '!N18/100/3.6*1000000</f>
        <v>319.24167482350197</v>
      </c>
      <c r="G8" s="34"/>
      <c r="H8" s="33"/>
      <c r="I8" s="33"/>
      <c r="J8" s="40">
        <f>C30*'E Balans VL '!D18/100/3.6*1000000+C30*'E Balans VL '!E18/100/3.6*1000000</f>
        <v>4.6479586854450403</v>
      </c>
      <c r="K8" s="33"/>
      <c r="L8" s="33"/>
      <c r="M8" s="33"/>
      <c r="N8" s="33">
        <f>C30*'E Balans VL '!Y18/100/3.6*1000000</f>
        <v>68.982334895546757</v>
      </c>
      <c r="O8" s="33"/>
      <c r="P8" s="33"/>
      <c r="R8" s="32"/>
    </row>
    <row r="9" spans="1:18">
      <c r="A9" s="6" t="s">
        <v>32</v>
      </c>
      <c r="B9" s="37">
        <f t="shared" si="0"/>
        <v>5473.4455850618797</v>
      </c>
      <c r="C9" s="33"/>
      <c r="D9" s="37">
        <f>IF( ISERROR(IND_andere_gas_kWh/1000),0,IND_andere_gas_kWh/1000)*0.903</f>
        <v>1668.1830440581211</v>
      </c>
      <c r="E9" s="33">
        <f>C31*'E Balans VL '!I19/100/3.6*1000000</f>
        <v>20.598023153177046</v>
      </c>
      <c r="F9" s="33">
        <f>C31*'E Balans VL '!L19/100/3.6*1000000+C31*'E Balans VL '!N19/100/3.6*1000000</f>
        <v>3522.8575940295254</v>
      </c>
      <c r="G9" s="34"/>
      <c r="H9" s="33"/>
      <c r="I9" s="33"/>
      <c r="J9" s="40">
        <f>C31*'E Balans VL '!D19/100/3.6*1000000+C31*'E Balans VL '!E19/100/3.6*1000000</f>
        <v>0</v>
      </c>
      <c r="K9" s="33"/>
      <c r="L9" s="33"/>
      <c r="M9" s="33"/>
      <c r="N9" s="33">
        <f>C31*'E Balans VL '!Y19/100/3.6*1000000</f>
        <v>197.73188426019527</v>
      </c>
      <c r="O9" s="33"/>
      <c r="P9" s="33"/>
      <c r="R9" s="32"/>
    </row>
    <row r="10" spans="1:18">
      <c r="A10" s="6" t="s">
        <v>40</v>
      </c>
      <c r="B10" s="37">
        <f t="shared" si="0"/>
        <v>1291.59475269481</v>
      </c>
      <c r="C10" s="33"/>
      <c r="D10" s="37">
        <f>IF( ISERROR(IND_voed_gas_kWh/1000),0,IND_voed_gas_kWh/1000)*0.903</f>
        <v>1317.1898208619521</v>
      </c>
      <c r="E10" s="33">
        <f>C32*'E Balans VL '!I20/100/3.6*1000000</f>
        <v>2.5568085539550305</v>
      </c>
      <c r="F10" s="33">
        <f>C32*'E Balans VL '!L20/100/3.6*1000000+C32*'E Balans VL '!N20/100/3.6*1000000</f>
        <v>27.431888546556038</v>
      </c>
      <c r="G10" s="34"/>
      <c r="H10" s="33"/>
      <c r="I10" s="33"/>
      <c r="J10" s="40">
        <f>C32*'E Balans VL '!D20/100/3.6*1000000+C32*'E Balans VL '!E20/100/3.6*1000000</f>
        <v>0</v>
      </c>
      <c r="K10" s="33"/>
      <c r="L10" s="33"/>
      <c r="M10" s="33"/>
      <c r="N10" s="33">
        <f>C32*'E Balans VL '!Y20/100/3.6*1000000</f>
        <v>52.056176542180658</v>
      </c>
      <c r="O10" s="33"/>
      <c r="P10" s="33"/>
      <c r="R10" s="32"/>
    </row>
    <row r="11" spans="1:18">
      <c r="A11" s="6" t="s">
        <v>39</v>
      </c>
      <c r="B11" s="37">
        <f t="shared" si="0"/>
        <v>34.703466236015601</v>
      </c>
      <c r="C11" s="33"/>
      <c r="D11" s="37">
        <f>IF( ISERROR(IND_textiel_gas_kWh/1000),0,IND_textiel_gas_kWh/1000)*0.903</f>
        <v>67.421476062377067</v>
      </c>
      <c r="E11" s="33">
        <f>C33*'E Balans VL '!I21/100/3.6*1000000</f>
        <v>6.757576105205744E-2</v>
      </c>
      <c r="F11" s="33">
        <f>C33*'E Balans VL '!L21/100/3.6*1000000+C33*'E Balans VL '!N21/100/3.6*1000000</f>
        <v>0.82201694477268372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19043.8281748595</v>
      </c>
      <c r="C12" s="33"/>
      <c r="D12" s="37">
        <f>IF( ISERROR(IND_min_gas_kWh/1000),0,IND_min_gas_kWh/1000)*0.903</f>
        <v>960.26294506603608</v>
      </c>
      <c r="E12" s="33">
        <f>C34*'E Balans VL '!I22/100/3.6*1000000</f>
        <v>233.01921330564272</v>
      </c>
      <c r="F12" s="33">
        <f>C34*'E Balans VL '!L22/100/3.6*1000000+C34*'E Balans VL '!N22/100/3.6*1000000</f>
        <v>2056.0213708263755</v>
      </c>
      <c r="G12" s="34"/>
      <c r="H12" s="33"/>
      <c r="I12" s="33"/>
      <c r="J12" s="40">
        <f>C34*'E Balans VL '!D22/100/3.6*1000000+C34*'E Balans VL '!E22/100/3.6*1000000</f>
        <v>0</v>
      </c>
      <c r="K12" s="33"/>
      <c r="L12" s="33"/>
      <c r="M12" s="33"/>
      <c r="N12" s="33">
        <f>C34*'E Balans VL '!Y22/100/3.6*1000000</f>
        <v>9185.4267231373251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9288.7105821942005</v>
      </c>
      <c r="C14" s="33"/>
      <c r="D14" s="37">
        <f>IF( ISERROR(IND_chemie_gas_kWh/1000),0,IND_chemie_gas_kWh/1000)*0.903</f>
        <v>0</v>
      </c>
      <c r="E14" s="33">
        <f>C36*'E Balans VL '!I24/100/3.6*1000000</f>
        <v>1797.1554874240139</v>
      </c>
      <c r="F14" s="33">
        <f>C36*'E Balans VL '!L24/100/3.6*1000000+C36*'E Balans VL '!N24/100/3.6*1000000</f>
        <v>144.88075321014091</v>
      </c>
      <c r="G14" s="34"/>
      <c r="H14" s="33"/>
      <c r="I14" s="33"/>
      <c r="J14" s="40">
        <f>C36*'E Balans VL '!D24/100/3.6*1000000+C36*'E Balans VL '!E24/100/3.6*1000000</f>
        <v>0</v>
      </c>
      <c r="K14" s="33"/>
      <c r="L14" s="33"/>
      <c r="M14" s="33"/>
      <c r="N14" s="33">
        <f>C36*'E Balans VL '!Y24/100/3.6*1000000</f>
        <v>2.0710447211967455</v>
      </c>
      <c r="O14" s="33"/>
      <c r="P14" s="33"/>
      <c r="R14" s="32"/>
    </row>
    <row r="15" spans="1:18">
      <c r="A15" s="6" t="s">
        <v>259</v>
      </c>
      <c r="B15" s="37">
        <f t="shared" si="0"/>
        <v>6.9923256674122003</v>
      </c>
      <c r="C15" s="33"/>
      <c r="D15" s="37">
        <f>IF( ISERROR(IND_rest_gas_kWh/1000),0,IND_rest_gas_kWh/1000)*0.903</f>
        <v>1528.2265138495902</v>
      </c>
      <c r="E15" s="33">
        <f>C37*'E Balans VL '!I15/100/3.6*1000000</f>
        <v>0.37855987395310958</v>
      </c>
      <c r="F15" s="33">
        <f>C37*'E Balans VL '!L15/100/3.6*1000000+C37*'E Balans VL '!N15/100/3.6*1000000</f>
        <v>1.0671269068063096</v>
      </c>
      <c r="G15" s="34"/>
      <c r="H15" s="33"/>
      <c r="I15" s="33"/>
      <c r="J15" s="40">
        <f>C37*'E Balans VL '!D15/100/3.6*1000000+C37*'E Balans VL '!E15/100/3.6*1000000</f>
        <v>3.0681701743155938E-2</v>
      </c>
      <c r="K15" s="33"/>
      <c r="L15" s="33"/>
      <c r="M15" s="33"/>
      <c r="N15" s="33">
        <f>C37*'E Balans VL '!Y15/100/3.6*1000000</f>
        <v>0.19820858698955127</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39803.243044178962</v>
      </c>
      <c r="C18" s="21">
        <f>C5+C16</f>
        <v>0</v>
      </c>
      <c r="D18" s="21">
        <f>MAX((D5+D16),0)</f>
        <v>8267.57361225776</v>
      </c>
      <c r="E18" s="21">
        <f>MAX((E5+E16),0)</f>
        <v>2079.2662798809083</v>
      </c>
      <c r="F18" s="21">
        <f>MAX((F5+F16),0)</f>
        <v>6072.322425287678</v>
      </c>
      <c r="G18" s="21"/>
      <c r="H18" s="21"/>
      <c r="I18" s="21"/>
      <c r="J18" s="21">
        <f>MAX((J5+J16),0)</f>
        <v>4.6786403871881959</v>
      </c>
      <c r="K18" s="21"/>
      <c r="L18" s="21">
        <f>MAX((L5+L16),0)</f>
        <v>0</v>
      </c>
      <c r="M18" s="21"/>
      <c r="N18" s="21">
        <f>MAX((N5+N16),0)</f>
        <v>9506.4663721434335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0.21424553538782506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8527.6671161718459</v>
      </c>
      <c r="C22" s="23">
        <f ca="1">C18*C20</f>
        <v>0</v>
      </c>
      <c r="D22" s="23">
        <f>D18*D20</f>
        <v>1670.0498696760676</v>
      </c>
      <c r="E22" s="23">
        <f>E18*E20</f>
        <v>471.99344553296618</v>
      </c>
      <c r="F22" s="23">
        <f>F18*F20</f>
        <v>1621.3100875518101</v>
      </c>
      <c r="G22" s="23"/>
      <c r="H22" s="23"/>
      <c r="I22" s="23"/>
      <c r="J22" s="23">
        <f>J18*J20</f>
        <v>1.6562386970646212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4663.9681574651404</v>
      </c>
      <c r="C30" s="39">
        <f>IF(ISERROR(B30*3.6/1000000/'E Balans VL '!Z18*100),0,B30*3.6/1000000/'E Balans VL '!Z18*100)</f>
        <v>0.26022785797203885</v>
      </c>
      <c r="D30" s="232" t="s">
        <v>660</v>
      </c>
    </row>
    <row r="31" spans="1:18">
      <c r="A31" s="6" t="s">
        <v>32</v>
      </c>
      <c r="B31" s="37">
        <f>IF( ISERROR(IND_ander_ele_kWh/1000),0,IND_ander_ele_kWh/1000)</f>
        <v>5473.4455850618797</v>
      </c>
      <c r="C31" s="39">
        <f>IF(ISERROR(B31*3.6/1000000/'E Balans VL '!Z19*100),0,B31*3.6/1000000/'E Balans VL '!Z19*100)</f>
        <v>0.22278612499549494</v>
      </c>
      <c r="D31" s="232" t="s">
        <v>660</v>
      </c>
    </row>
    <row r="32" spans="1:18">
      <c r="A32" s="167" t="s">
        <v>40</v>
      </c>
      <c r="B32" s="37">
        <f>IF( ISERROR(IND_voed_ele_kWh/1000),0,IND_voed_ele_kWh/1000)</f>
        <v>1291.59475269481</v>
      </c>
      <c r="C32" s="39">
        <f>IF(ISERROR(B32*3.6/1000000/'E Balans VL '!Z20*100),0,B32*3.6/1000000/'E Balans VL '!Z20*100)</f>
        <v>3.7565828181162372E-2</v>
      </c>
      <c r="D32" s="232" t="s">
        <v>660</v>
      </c>
    </row>
    <row r="33" spans="1:5">
      <c r="A33" s="167" t="s">
        <v>39</v>
      </c>
      <c r="B33" s="37">
        <f>IF( ISERROR(IND_textiel_ele_kWh/1000),0,IND_textiel_ele_kWh/1000)</f>
        <v>34.703466236015601</v>
      </c>
      <c r="C33" s="39">
        <f>IF(ISERROR(B33*3.6/1000000/'E Balans VL '!Z21*100),0,B33*3.6/1000000/'E Balans VL '!Z21*100)</f>
        <v>5.1118457614500274E-3</v>
      </c>
      <c r="D33" s="232" t="s">
        <v>660</v>
      </c>
    </row>
    <row r="34" spans="1:5">
      <c r="A34" s="167" t="s">
        <v>36</v>
      </c>
      <c r="B34" s="37">
        <f>IF( ISERROR(IND_min_ele_kWh/1000),0,IND_min_ele_kWh/1000)</f>
        <v>19043.8281748595</v>
      </c>
      <c r="C34" s="39">
        <f>IF(ISERROR(B34*3.6/1000000/'E Balans VL '!Z22*100),0,B34*3.6/1000000/'E Balans VL '!Z22*100)</f>
        <v>7.6395987670798444</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9288.7105821942005</v>
      </c>
      <c r="C36" s="39">
        <f>IF(ISERROR(B36*3.6/1000000/'E Balans VL '!Z24*100),0,B36*3.6/1000000/'E Balans VL '!Z24*100)</f>
        <v>0.28060824223967734</v>
      </c>
      <c r="D36" s="232" t="s">
        <v>660</v>
      </c>
    </row>
    <row r="37" spans="1:5">
      <c r="A37" s="167" t="s">
        <v>259</v>
      </c>
      <c r="B37" s="37">
        <f>IF( ISERROR(IND_rest_ele_kWh/1000),0,IND_rest_ele_kWh/1000)</f>
        <v>6.9923256674122003</v>
      </c>
      <c r="C37" s="39">
        <f>IF(ISERROR(B37*3.6/1000000/'E Balans VL '!Z15*100),0,B37*3.6/1000000/'E Balans VL '!Z15*100)</f>
        <v>5.6319974546464795E-5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1328.24743055306</v>
      </c>
      <c r="C5" s="17">
        <f>'Eigen informatie GS &amp; warmtenet'!B62</f>
        <v>0</v>
      </c>
      <c r="D5" s="30">
        <f>IF(ISERROR(SUM(LB_lb_gas_kWh,LB_rest_gas_kWh)/1000),0,SUM(LB_lb_gas_kWh,LB_rest_gas_kWh)/1000)*0.903</f>
        <v>16862.491374826885</v>
      </c>
      <c r="E5" s="17">
        <f>B17*'E Balans VL '!I25/3.6*1000000/100</f>
        <v>39.160489380649075</v>
      </c>
      <c r="F5" s="17">
        <f>B17*('E Balans VL '!L25/3.6*1000000+'E Balans VL '!N25/3.6*1000000)/100</f>
        <v>4221.6423790303843</v>
      </c>
      <c r="G5" s="18"/>
      <c r="H5" s="17"/>
      <c r="I5" s="17"/>
      <c r="J5" s="17">
        <f>('E Balans VL '!D25+'E Balans VL '!E25)/3.6*1000000*landbouw!B17/100</f>
        <v>334.97584555481217</v>
      </c>
      <c r="K5" s="17"/>
      <c r="L5" s="17">
        <f>L6*(-1)</f>
        <v>0</v>
      </c>
      <c r="M5" s="17"/>
      <c r="N5" s="17">
        <f>N6*(-1)</f>
        <v>0</v>
      </c>
      <c r="O5" s="17"/>
      <c r="P5" s="17"/>
      <c r="R5" s="32"/>
    </row>
    <row r="6" spans="1:18">
      <c r="A6" s="16" t="s">
        <v>466</v>
      </c>
      <c r="B6" s="17" t="s">
        <v>204</v>
      </c>
      <c r="C6" s="17">
        <f>'lokale energieproductie'!O42+'lokale energieproductie'!O35</f>
        <v>57027.857142857145</v>
      </c>
      <c r="D6" s="302">
        <f>('lokale energieproductie'!P35+'lokale energieproductie'!P42)*(-1)</f>
        <v>-114055.71428571429</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1328.24743055306</v>
      </c>
      <c r="C8" s="21">
        <f>C5+C6</f>
        <v>57027.857142857145</v>
      </c>
      <c r="D8" s="21">
        <f>MAX((D5+D6),0)</f>
        <v>0</v>
      </c>
      <c r="E8" s="21">
        <f>MAX((E5+E6),0)</f>
        <v>39.160489380649075</v>
      </c>
      <c r="F8" s="21">
        <f>MAX((F5+F6),0)</f>
        <v>4221.6423790303843</v>
      </c>
      <c r="G8" s="21"/>
      <c r="H8" s="21"/>
      <c r="I8" s="21"/>
      <c r="J8" s="21">
        <f>MAX((J5+J6),0)</f>
        <v>334.97584555481217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0.21424553538782506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284.57108188634334</v>
      </c>
      <c r="C12" s="23">
        <f ca="1">C8*C10</f>
        <v>13552.502521008406</v>
      </c>
      <c r="D12" s="23">
        <f>D8*D10</f>
        <v>0</v>
      </c>
      <c r="E12" s="23">
        <f>E8*E10</f>
        <v>8.8894310894073403</v>
      </c>
      <c r="F12" s="23">
        <f>F8*F10</f>
        <v>1127.1785152011128</v>
      </c>
      <c r="G12" s="23"/>
      <c r="H12" s="23"/>
      <c r="I12" s="23"/>
      <c r="J12" s="23">
        <f>J8*J10</f>
        <v>118.5814493264035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0.182431318500414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7.6040603348766327</v>
      </c>
      <c r="C26" s="242">
        <f>B26*'GWP N2O_CH4'!B5</f>
        <v>159.68526703240929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2.3569215703559068</v>
      </c>
      <c r="C27" s="242">
        <f>B27*'GWP N2O_CH4'!B5</f>
        <v>49.495352977474042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0.10084041197242631</v>
      </c>
      <c r="C28" s="242">
        <f>B28*'GWP N2O_CH4'!B4</f>
        <v>31.260527711452156</v>
      </c>
      <c r="D28" s="50"/>
    </row>
    <row r="29" spans="1:4">
      <c r="A29" s="41" t="s">
        <v>266</v>
      </c>
      <c r="B29" s="242">
        <f>B34*'ha_N2O bodem landbouw'!B4</f>
        <v>2.3821905080697396</v>
      </c>
      <c r="C29" s="242">
        <f>B29*'GWP N2O_CH4'!B4</f>
        <v>738.47905750161931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5.4290801987703788E-4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1.177639610658101E-3</v>
      </c>
      <c r="C5" s="430" t="s">
        <v>204</v>
      </c>
      <c r="D5" s="415">
        <f>SUM(D6:D11)</f>
        <v>1.804617491137001E-3</v>
      </c>
      <c r="E5" s="415">
        <f>SUM(E6:E11)</f>
        <v>1.1425681061564431E-3</v>
      </c>
      <c r="F5" s="428" t="s">
        <v>204</v>
      </c>
      <c r="G5" s="415">
        <f>SUM(G6:G11)</f>
        <v>0.68258029140619825</v>
      </c>
      <c r="H5" s="415">
        <f>SUM(H6:H11)</f>
        <v>0.1231109821898152</v>
      </c>
      <c r="I5" s="430" t="s">
        <v>204</v>
      </c>
      <c r="J5" s="430" t="s">
        <v>204</v>
      </c>
      <c r="K5" s="430" t="s">
        <v>204</v>
      </c>
      <c r="L5" s="430" t="s">
        <v>204</v>
      </c>
      <c r="M5" s="415">
        <f>SUM(M6:M11)</f>
        <v>4.6988357482609135E-2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2.1183509722465249E-4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3.6968324309128532E-4</v>
      </c>
      <c r="E6" s="844">
        <f>vkm_GW_PW*SUMIFS(TableVerdeelsleutelVkm[LPG],TableVerdeelsleutelVkm[Voertuigtype],"Lichte voertuigen")*SUMIFS(TableECFTransport[EnergieConsumptieFactor (PJ per km)],TableECFTransport[Index],CONCATENATE($A6,"_LPG_LPG"))</f>
        <v>2.0326316932784897E-4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6.2559183821257552E-2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2.4408018254457955E-2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5.2189483566291665E-3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8.7770320049530256E-7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3.6325893192749106E-2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3.9811374589560053E-7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2.0452057762547628E-3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9.5016090299549535E-5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2.125681869542923E-4</v>
      </c>
      <c r="E8" s="418">
        <f>vkm_NGW_PW*SUMIFS(TableVerdeelsleutelVkm[LPG],TableVerdeelsleutelVkm[Voertuigtype],"Lichte voertuigen")*SUMIFS(TableECFTransport[EnergieConsumptieFactor (PJ per km)],TableECFTransport[Index],CONCATENATE($A8,"_LPG_LPG"))</f>
        <v>1.1163006655045186E-4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3.174925429455374E-2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1.381564071528581E-2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2.7479551220498596E-3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4.6644466130334532E-7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2.4860281999775632E-2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2.5537363831652494E-7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1.399672375184883E-3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8.6181532940459305E-4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1.2223660610914233E-3</v>
      </c>
      <c r="E10" s="418">
        <f>vkm_SW_PW*SUMIFS(TableVerdeelsleutelVkm[LPG],TableVerdeelsleutelVkm[Voertuigtype],"Lichte voertuigen")*SUMIFS(TableECFTransport[EnergieConsumptieFactor (PJ per km)],TableECFTransport[Index],CONCATENATE($A10,"_LPG_LPG"))</f>
        <v>8.2767487027814223E-4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0.2287970214476002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8.4883108056246118E-2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1.8782427964685676E-2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7.6289458675074214E-6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0.29828865665026211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3.5616764411016441E-6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1.6794147887804787E-2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327.12211407169474</v>
      </c>
      <c r="C14" s="21"/>
      <c r="D14" s="21">
        <f t="shared" ref="D14:M14" si="0">((D5)*10^9/3600)+D12</f>
        <v>501.28263642694469</v>
      </c>
      <c r="E14" s="21">
        <f t="shared" si="0"/>
        <v>317.38002948790086</v>
      </c>
      <c r="F14" s="21"/>
      <c r="G14" s="21">
        <f t="shared" si="0"/>
        <v>189605.63650172175</v>
      </c>
      <c r="H14" s="21">
        <f t="shared" si="0"/>
        <v>34197.495052726445</v>
      </c>
      <c r="I14" s="21"/>
      <c r="J14" s="21"/>
      <c r="K14" s="21"/>
      <c r="L14" s="21"/>
      <c r="M14" s="21">
        <f t="shared" si="0"/>
        <v>13052.321522946982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0.21424553538782506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70.08445246648742</v>
      </c>
      <c r="C18" s="23"/>
      <c r="D18" s="23">
        <f t="shared" ref="D18:M18" si="1">D14*D16</f>
        <v>101.25909255824284</v>
      </c>
      <c r="E18" s="23">
        <f t="shared" si="1"/>
        <v>72.04526669375349</v>
      </c>
      <c r="F18" s="23"/>
      <c r="G18" s="23">
        <f t="shared" si="1"/>
        <v>50624.704945959711</v>
      </c>
      <c r="H18" s="23">
        <f t="shared" si="1"/>
        <v>8515.1762681288856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4.2506108551684206E-3</v>
      </c>
      <c r="C50" s="313">
        <f t="shared" ref="C50:P50" si="2">SUM(C51:C52)</f>
        <v>0</v>
      </c>
      <c r="D50" s="313">
        <f t="shared" si="2"/>
        <v>0</v>
      </c>
      <c r="E50" s="313">
        <f t="shared" si="2"/>
        <v>0</v>
      </c>
      <c r="F50" s="313">
        <f t="shared" si="2"/>
        <v>0</v>
      </c>
      <c r="G50" s="313">
        <f t="shared" si="2"/>
        <v>3.4888989617442149E-3</v>
      </c>
      <c r="H50" s="313">
        <f t="shared" si="2"/>
        <v>0</v>
      </c>
      <c r="I50" s="313">
        <f t="shared" si="2"/>
        <v>0</v>
      </c>
      <c r="J50" s="313">
        <f t="shared" si="2"/>
        <v>0</v>
      </c>
      <c r="K50" s="313">
        <f t="shared" si="2"/>
        <v>0</v>
      </c>
      <c r="L50" s="313">
        <f t="shared" si="2"/>
        <v>0</v>
      </c>
      <c r="M50" s="313">
        <f t="shared" si="2"/>
        <v>1.9265209486108039E-4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4.8879056110683852E-5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3.4888989617442149E-3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1.9265209486108039E-4</v>
      </c>
      <c r="N51" s="315"/>
      <c r="O51" s="315"/>
      <c r="P51" s="318"/>
    </row>
    <row r="52" spans="1:18">
      <c r="A52" s="4" t="s">
        <v>318</v>
      </c>
      <c r="B52" s="845">
        <f>vkm_tram*SUMIFS(TableECFTransport[EnergieConsumptieFactor (PJ per km)],TableECFTransport[Index],"Tram_gemiddeld_Electric_Electric")</f>
        <v>4.2017317990577369E-3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1180.7252375467835</v>
      </c>
      <c r="C54" s="21">
        <f t="shared" ref="C54:P54" si="3">(C50)*10^9/3600</f>
        <v>0</v>
      </c>
      <c r="D54" s="21">
        <f t="shared" si="3"/>
        <v>0</v>
      </c>
      <c r="E54" s="21">
        <f t="shared" si="3"/>
        <v>0</v>
      </c>
      <c r="F54" s="21">
        <f t="shared" si="3"/>
        <v>0</v>
      </c>
      <c r="G54" s="21">
        <f t="shared" si="3"/>
        <v>969.13860048450408</v>
      </c>
      <c r="H54" s="21">
        <f t="shared" si="3"/>
        <v>0</v>
      </c>
      <c r="I54" s="21">
        <f t="shared" si="3"/>
        <v>0</v>
      </c>
      <c r="J54" s="21">
        <f t="shared" si="3"/>
        <v>0</v>
      </c>
      <c r="K54" s="21">
        <f t="shared" si="3"/>
        <v>0</v>
      </c>
      <c r="L54" s="21">
        <f t="shared" si="3"/>
        <v>0</v>
      </c>
      <c r="M54" s="21">
        <f t="shared" si="3"/>
        <v>53.514470794744547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0.21424553538782506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252.96511066412756</v>
      </c>
      <c r="C58" s="23">
        <f t="shared" ref="C58:P58" ca="1" si="4">C54*C56</f>
        <v>0</v>
      </c>
      <c r="D58" s="23">
        <f t="shared" si="4"/>
        <v>0</v>
      </c>
      <c r="E58" s="23">
        <f t="shared" si="4"/>
        <v>0</v>
      </c>
      <c r="F58" s="23">
        <f t="shared" si="4"/>
        <v>0</v>
      </c>
      <c r="G58" s="23">
        <f t="shared" si="4"/>
        <v>258.76000632936262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6080.0051605035915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39942</v>
      </c>
      <c r="C8" s="540">
        <f>B51</f>
        <v>46990.588235294119</v>
      </c>
      <c r="D8" s="541"/>
      <c r="E8" s="541">
        <f>E51</f>
        <v>0</v>
      </c>
      <c r="F8" s="542"/>
      <c r="G8" s="543"/>
      <c r="H8" s="541">
        <f>I51</f>
        <v>0</v>
      </c>
      <c r="I8" s="541">
        <f>G51+F51</f>
        <v>0</v>
      </c>
      <c r="J8" s="541">
        <f>H51+D51+C51</f>
        <v>0</v>
      </c>
      <c r="K8" s="541"/>
      <c r="L8" s="541"/>
      <c r="M8" s="541"/>
      <c r="N8" s="544"/>
      <c r="O8" s="545">
        <f>C8*$C$12+D8*$D$12+E8*$E$12+F8*$F$12+G8*$G$12+H8*$H$12+I8*$I$12+J8*$J$12</f>
        <v>9492.0988235294135</v>
      </c>
      <c r="P8" s="1210"/>
      <c r="Q8" s="1211"/>
      <c r="S8" s="535"/>
      <c r="T8" s="1198"/>
      <c r="U8" s="1198"/>
    </row>
    <row r="9" spans="1:21" s="526" customFormat="1" ht="17.45" customHeight="1" thickBot="1">
      <c r="A9" s="546" t="s">
        <v>237</v>
      </c>
      <c r="B9" s="547">
        <f>N39+'Eigen informatie GS &amp; warmtenet'!B12</f>
        <v>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46022.005160503591</v>
      </c>
      <c r="C10" s="555">
        <f t="shared" ref="C10:L10" si="0">SUM(C8:C9)</f>
        <v>46990.588235294119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9492.0988235294135</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57060</v>
      </c>
      <c r="C17" s="571">
        <f>B52</f>
        <v>67129.411764705888</v>
      </c>
      <c r="D17" s="572"/>
      <c r="E17" s="572">
        <f>E52</f>
        <v>0</v>
      </c>
      <c r="F17" s="573"/>
      <c r="G17" s="574"/>
      <c r="H17" s="571">
        <f>I52</f>
        <v>0</v>
      </c>
      <c r="I17" s="572">
        <f>G52+F52</f>
        <v>0</v>
      </c>
      <c r="J17" s="572">
        <f>H52+D52+C52</f>
        <v>0</v>
      </c>
      <c r="K17" s="572"/>
      <c r="L17" s="572"/>
      <c r="M17" s="572"/>
      <c r="N17" s="918"/>
      <c r="O17" s="575">
        <f>C17*$C$22+E17*$E$22+H17*$H$22+I17*$I$22+J17*$J$22+D17*$D$22+F17*$F$22+G17*$G$22+K17*$K$22+L17*$L$22</f>
        <v>13560.14117647059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57060</v>
      </c>
      <c r="C20" s="554">
        <f>SUM(C17:C19)</f>
        <v>67129.411764705888</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13560.14117647059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11056</v>
      </c>
      <c r="C28" s="746">
        <v>2070</v>
      </c>
      <c r="D28" s="632"/>
      <c r="E28" s="631"/>
      <c r="F28" s="631"/>
      <c r="G28" s="631" t="s">
        <v>861</v>
      </c>
      <c r="H28" s="631" t="s">
        <v>862</v>
      </c>
      <c r="I28" s="631"/>
      <c r="J28" s="745"/>
      <c r="K28" s="745"/>
      <c r="L28" s="631" t="s">
        <v>863</v>
      </c>
      <c r="M28" s="631">
        <v>4800</v>
      </c>
      <c r="N28" s="631">
        <v>21600</v>
      </c>
      <c r="O28" s="631">
        <v>30857.142857142859</v>
      </c>
      <c r="P28" s="631">
        <v>61714.285714285717</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11056</v>
      </c>
      <c r="C29" s="746">
        <v>2070</v>
      </c>
      <c r="D29" s="632"/>
      <c r="E29" s="631"/>
      <c r="F29" s="631"/>
      <c r="G29" s="631" t="s">
        <v>861</v>
      </c>
      <c r="H29" s="631" t="s">
        <v>862</v>
      </c>
      <c r="I29" s="631"/>
      <c r="J29" s="745"/>
      <c r="K29" s="745"/>
      <c r="L29" s="631" t="s">
        <v>863</v>
      </c>
      <c r="M29" s="631">
        <v>2067</v>
      </c>
      <c r="N29" s="631">
        <v>9301.5</v>
      </c>
      <c r="O29" s="631">
        <v>13287.857142857143</v>
      </c>
      <c r="P29" s="631">
        <v>26575.714285714286</v>
      </c>
      <c r="Q29" s="631">
        <v>0</v>
      </c>
      <c r="R29" s="631">
        <v>0</v>
      </c>
      <c r="S29" s="631">
        <v>0</v>
      </c>
      <c r="T29" s="631">
        <v>0</v>
      </c>
      <c r="U29" s="631">
        <v>0</v>
      </c>
      <c r="V29" s="631">
        <v>0</v>
      </c>
      <c r="W29" s="631">
        <v>0</v>
      </c>
      <c r="X29" s="631"/>
      <c r="Y29" s="631">
        <v>10</v>
      </c>
      <c r="Z29" s="631" t="s">
        <v>105</v>
      </c>
      <c r="AA29" s="633" t="s">
        <v>105</v>
      </c>
    </row>
    <row r="30" spans="1:27" s="585" customFormat="1" ht="63.75" hidden="1">
      <c r="A30" s="584"/>
      <c r="B30" s="746">
        <v>11056</v>
      </c>
      <c r="C30" s="746">
        <v>2070</v>
      </c>
      <c r="D30" s="632"/>
      <c r="E30" s="631"/>
      <c r="F30" s="631"/>
      <c r="G30" s="631" t="s">
        <v>861</v>
      </c>
      <c r="H30" s="631" t="s">
        <v>862</v>
      </c>
      <c r="I30" s="631"/>
      <c r="J30" s="745"/>
      <c r="K30" s="745"/>
      <c r="L30" s="631" t="s">
        <v>863</v>
      </c>
      <c r="M30" s="631">
        <v>5</v>
      </c>
      <c r="N30" s="631">
        <v>22.5</v>
      </c>
      <c r="O30" s="631">
        <v>32.142857142857146</v>
      </c>
      <c r="P30" s="631">
        <v>64.285714285714292</v>
      </c>
      <c r="Q30" s="631">
        <v>0</v>
      </c>
      <c r="R30" s="631">
        <v>0</v>
      </c>
      <c r="S30" s="631">
        <v>0</v>
      </c>
      <c r="T30" s="631">
        <v>0</v>
      </c>
      <c r="U30" s="631">
        <v>0</v>
      </c>
      <c r="V30" s="631">
        <v>0</v>
      </c>
      <c r="W30" s="631">
        <v>0</v>
      </c>
      <c r="X30" s="631"/>
      <c r="Y30" s="631">
        <v>1600</v>
      </c>
      <c r="Z30" s="631" t="s">
        <v>49</v>
      </c>
      <c r="AA30" s="633" t="s">
        <v>149</v>
      </c>
    </row>
    <row r="31" spans="1:27" s="585" customFormat="1" ht="25.5" hidden="1">
      <c r="A31" s="584"/>
      <c r="B31" s="746">
        <v>11056</v>
      </c>
      <c r="C31" s="746">
        <v>2070</v>
      </c>
      <c r="D31" s="632"/>
      <c r="E31" s="631"/>
      <c r="F31" s="631"/>
      <c r="G31" s="631" t="s">
        <v>864</v>
      </c>
      <c r="H31" s="631" t="s">
        <v>862</v>
      </c>
      <c r="I31" s="631"/>
      <c r="J31" s="745"/>
      <c r="K31" s="745"/>
      <c r="L31" s="631" t="s">
        <v>865</v>
      </c>
      <c r="M31" s="631">
        <v>2004</v>
      </c>
      <c r="N31" s="631">
        <v>9018</v>
      </c>
      <c r="O31" s="631">
        <v>12882.857142857143</v>
      </c>
      <c r="P31" s="631">
        <v>25765.714285714286</v>
      </c>
      <c r="Q31" s="631">
        <v>0</v>
      </c>
      <c r="R31" s="631">
        <v>0</v>
      </c>
      <c r="S31" s="631">
        <v>0</v>
      </c>
      <c r="T31" s="631">
        <v>0</v>
      </c>
      <c r="U31" s="631">
        <v>0</v>
      </c>
      <c r="V31" s="631">
        <v>0</v>
      </c>
      <c r="W31" s="631">
        <v>0</v>
      </c>
      <c r="X31" s="631"/>
      <c r="Y31" s="631">
        <v>10</v>
      </c>
      <c r="Z31" s="631" t="s">
        <v>105</v>
      </c>
      <c r="AA31" s="633" t="s">
        <v>105</v>
      </c>
    </row>
    <row r="32" spans="1:27" s="565" customFormat="1" hidden="1">
      <c r="A32" s="587" t="s">
        <v>269</v>
      </c>
      <c r="B32" s="588"/>
      <c r="C32" s="588"/>
      <c r="D32" s="588"/>
      <c r="E32" s="588"/>
      <c r="F32" s="588"/>
      <c r="G32" s="588"/>
      <c r="H32" s="588"/>
      <c r="I32" s="588"/>
      <c r="J32" s="588"/>
      <c r="K32" s="588"/>
      <c r="L32" s="589"/>
      <c r="M32" s="589">
        <f>SUM(M28:M31)</f>
        <v>8876</v>
      </c>
      <c r="N32" s="589">
        <f>SUM(N28:N31)</f>
        <v>39942</v>
      </c>
      <c r="O32" s="589">
        <f>SUM(O28:O31)</f>
        <v>57060</v>
      </c>
      <c r="P32" s="589">
        <f>SUM(P28:P31)</f>
        <v>114120</v>
      </c>
      <c r="Q32" s="589">
        <f>SUM(Q28:Q31)</f>
        <v>0</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5</v>
      </c>
      <c r="N34" s="589">
        <f ca="1">SUMIF($AA$28:AE31,"tertiair",N28:N31)</f>
        <v>22.5</v>
      </c>
      <c r="O34" s="589">
        <f ca="1">SUMIF($AA$28:AF31,"tertiair",O28:O31)</f>
        <v>32.142857142857146</v>
      </c>
      <c r="P34" s="589">
        <f ca="1">SUMIF($AA$28:AG31,"tertiair",P28:P31)</f>
        <v>64.285714285714292</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8871</v>
      </c>
      <c r="N35" s="594">
        <f>SUMIF($AA$28:$AA$31,"landbouw",N28:N31)</f>
        <v>39919.5</v>
      </c>
      <c r="O35" s="594">
        <f>SUMIF($AA$28:$AA$31,"landbouw",O28:O31)</f>
        <v>57027.857142857145</v>
      </c>
      <c r="P35" s="594">
        <f>SUMIF($AA$28:$AA$31,"landbouw",P28:P31)</f>
        <v>114055.71428571429</v>
      </c>
      <c r="Q35" s="594">
        <f>SUMIF($AA$28:$AA$31,"landbouw",Q28:Q31)</f>
        <v>0</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12.75" hidden="1">
      <c r="A38" s="586"/>
      <c r="B38" s="746"/>
      <c r="C38" s="746"/>
      <c r="D38" s="634"/>
      <c r="E38" s="634"/>
      <c r="F38" s="634"/>
      <c r="G38" s="634"/>
      <c r="H38" s="634"/>
      <c r="I38" s="634"/>
      <c r="J38" s="745"/>
      <c r="K38" s="745"/>
      <c r="L38" s="634"/>
      <c r="M38" s="634"/>
      <c r="N38" s="634"/>
      <c r="O38" s="634"/>
      <c r="P38" s="634"/>
      <c r="Q38" s="634"/>
      <c r="R38" s="634"/>
      <c r="S38" s="634"/>
      <c r="T38" s="634"/>
      <c r="U38" s="634"/>
      <c r="V38" s="634"/>
      <c r="W38" s="634"/>
      <c r="X38" s="634"/>
      <c r="Y38" s="634"/>
      <c r="Z38" s="634"/>
      <c r="AA38" s="635"/>
    </row>
    <row r="39" spans="1:28" s="565" customFormat="1" hidden="1">
      <c r="A39" s="587" t="s">
        <v>269</v>
      </c>
      <c r="B39" s="588"/>
      <c r="C39" s="588"/>
      <c r="D39" s="588"/>
      <c r="E39" s="588"/>
      <c r="F39" s="588"/>
      <c r="G39" s="588"/>
      <c r="H39" s="588"/>
      <c r="I39" s="588"/>
      <c r="J39" s="588"/>
      <c r="K39" s="588"/>
      <c r="L39" s="589"/>
      <c r="M39" s="589">
        <f>SUM(M38:M38)</f>
        <v>0</v>
      </c>
      <c r="N39" s="589">
        <f>SUM(N38:N38)</f>
        <v>0</v>
      </c>
      <c r="O39" s="589">
        <f>SUM(O38:O38)</f>
        <v>0</v>
      </c>
      <c r="P39" s="589">
        <f>SUM(P38:P38)</f>
        <v>0</v>
      </c>
      <c r="Q39" s="589">
        <f>SUM(Q38:Q38)</f>
        <v>0</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0</v>
      </c>
      <c r="N41" s="589">
        <f>SUMIF($AA$38:$AA$39,"tertiair",N38:N39)</f>
        <v>0</v>
      </c>
      <c r="O41" s="589">
        <f>SUMIF($AA$38:$AA$39,"tertiair",O38:O39)</f>
        <v>0</v>
      </c>
      <c r="P41" s="589">
        <f>SUMIF($AA$38:$AA$39,"tertiair",P38:P39)</f>
        <v>0</v>
      </c>
      <c r="Q41" s="589">
        <f>SUMIF($AA$38:$AA$39,"tertiair",Q38:Q39)</f>
        <v>0</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0.58823529411764708</v>
      </c>
      <c r="C48" s="614">
        <f>IF(ISERROR(N32/(O32+N32)),0,N32/(N32+O32))</f>
        <v>0.41176470588235292</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46990.588235294119</v>
      </c>
      <c r="C51" s="623">
        <f t="shared" si="2"/>
        <v>0</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67129.411764705888</v>
      </c>
      <c r="C52" s="626">
        <f t="shared" si="3"/>
        <v>0</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26332.676728271334</v>
      </c>
      <c r="D10" s="642">
        <f ca="1">tertiair!C16</f>
        <v>32.142857142857146</v>
      </c>
      <c r="E10" s="642">
        <f ca="1">tertiair!D16</f>
        <v>76165.038840907902</v>
      </c>
      <c r="F10" s="642">
        <f>tertiair!E16</f>
        <v>80.621047846520412</v>
      </c>
      <c r="G10" s="642">
        <f ca="1">tertiair!F16</f>
        <v>5151.9728723698818</v>
      </c>
      <c r="H10" s="642">
        <f>tertiair!G16</f>
        <v>0</v>
      </c>
      <c r="I10" s="642">
        <f>tertiair!H16</f>
        <v>0</v>
      </c>
      <c r="J10" s="642">
        <f>tertiair!I16</f>
        <v>0</v>
      </c>
      <c r="K10" s="642">
        <f>tertiair!J16</f>
        <v>3.3757035405281979E-2</v>
      </c>
      <c r="L10" s="642">
        <f>tertiair!K16</f>
        <v>0</v>
      </c>
      <c r="M10" s="642">
        <f ca="1">tertiair!L16</f>
        <v>0</v>
      </c>
      <c r="N10" s="642">
        <f>tertiair!M16</f>
        <v>0</v>
      </c>
      <c r="O10" s="642">
        <f ca="1">tertiair!N16</f>
        <v>1182.582872362575</v>
      </c>
      <c r="P10" s="642">
        <f>tertiair!O16</f>
        <v>4.8972607658411542</v>
      </c>
      <c r="Q10" s="643">
        <f>tertiair!P16</f>
        <v>105.07827661299004</v>
      </c>
      <c r="R10" s="645">
        <f ca="1">SUM(C10:Q10)</f>
        <v>109055.0445133153</v>
      </c>
      <c r="S10" s="67"/>
    </row>
    <row r="11" spans="1:19" s="441" customFormat="1">
      <c r="A11" s="762" t="s">
        <v>214</v>
      </c>
      <c r="B11" s="767"/>
      <c r="C11" s="642">
        <f>huishoudens!B8</f>
        <v>30741.57177692977</v>
      </c>
      <c r="D11" s="642">
        <f>huishoudens!C8</f>
        <v>0</v>
      </c>
      <c r="E11" s="642">
        <f>huishoudens!D8</f>
        <v>84804.011920880948</v>
      </c>
      <c r="F11" s="642">
        <f>huishoudens!E8</f>
        <v>1296.911833690674</v>
      </c>
      <c r="G11" s="642">
        <f>huishoudens!F8</f>
        <v>21253.378610514472</v>
      </c>
      <c r="H11" s="642">
        <f>huishoudens!G8</f>
        <v>0</v>
      </c>
      <c r="I11" s="642">
        <f>huishoudens!H8</f>
        <v>0</v>
      </c>
      <c r="J11" s="642">
        <f>huishoudens!I8</f>
        <v>0</v>
      </c>
      <c r="K11" s="642">
        <f>huishoudens!J8</f>
        <v>117.30799814161175</v>
      </c>
      <c r="L11" s="642">
        <f>huishoudens!K8</f>
        <v>0</v>
      </c>
      <c r="M11" s="642">
        <f>huishoudens!L8</f>
        <v>0</v>
      </c>
      <c r="N11" s="642">
        <f>huishoudens!M8</f>
        <v>0</v>
      </c>
      <c r="O11" s="642">
        <f>huishoudens!N8</f>
        <v>9392.8126631032901</v>
      </c>
      <c r="P11" s="642">
        <f>huishoudens!O8</f>
        <v>196.41186371931616</v>
      </c>
      <c r="Q11" s="643">
        <f>huishoudens!P8</f>
        <v>179.07730823064537</v>
      </c>
      <c r="R11" s="645">
        <f>SUM(C11:Q11)</f>
        <v>147981.48397521072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39803.243044178962</v>
      </c>
      <c r="D13" s="642">
        <f>industrie!C18</f>
        <v>0</v>
      </c>
      <c r="E13" s="642">
        <f>industrie!D18</f>
        <v>8267.57361225776</v>
      </c>
      <c r="F13" s="642">
        <f>industrie!E18</f>
        <v>2079.2662798809083</v>
      </c>
      <c r="G13" s="642">
        <f>industrie!F18</f>
        <v>6072.322425287678</v>
      </c>
      <c r="H13" s="642">
        <f>industrie!G18</f>
        <v>0</v>
      </c>
      <c r="I13" s="642">
        <f>industrie!H18</f>
        <v>0</v>
      </c>
      <c r="J13" s="642">
        <f>industrie!I18</f>
        <v>0</v>
      </c>
      <c r="K13" s="642">
        <f>industrie!J18</f>
        <v>4.6786403871881959</v>
      </c>
      <c r="L13" s="642">
        <f>industrie!K18</f>
        <v>0</v>
      </c>
      <c r="M13" s="642">
        <f>industrie!L18</f>
        <v>0</v>
      </c>
      <c r="N13" s="642">
        <f>industrie!M18</f>
        <v>0</v>
      </c>
      <c r="O13" s="642">
        <f>industrie!N18</f>
        <v>9506.4663721434335</v>
      </c>
      <c r="P13" s="642">
        <f>industrie!O18</f>
        <v>0</v>
      </c>
      <c r="Q13" s="643">
        <f>industrie!P18</f>
        <v>0</v>
      </c>
      <c r="R13" s="645">
        <f>SUM(C13:Q13)</f>
        <v>65733.550374135928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96877.491549380065</v>
      </c>
      <c r="D16" s="678">
        <f t="shared" ref="D16:R16" ca="1" si="0">SUM(D9:D15)</f>
        <v>32.142857142857146</v>
      </c>
      <c r="E16" s="678">
        <f t="shared" ca="1" si="0"/>
        <v>169236.6243740466</v>
      </c>
      <c r="F16" s="678">
        <f t="shared" si="0"/>
        <v>3456.7991614181028</v>
      </c>
      <c r="G16" s="678">
        <f t="shared" ca="1" si="0"/>
        <v>32477.673908172033</v>
      </c>
      <c r="H16" s="678">
        <f t="shared" si="0"/>
        <v>0</v>
      </c>
      <c r="I16" s="678">
        <f t="shared" si="0"/>
        <v>0</v>
      </c>
      <c r="J16" s="678">
        <f t="shared" si="0"/>
        <v>0</v>
      </c>
      <c r="K16" s="678">
        <f t="shared" si="0"/>
        <v>122.02039556420523</v>
      </c>
      <c r="L16" s="678">
        <f t="shared" si="0"/>
        <v>0</v>
      </c>
      <c r="M16" s="678">
        <f t="shared" ca="1" si="0"/>
        <v>0</v>
      </c>
      <c r="N16" s="678">
        <f t="shared" si="0"/>
        <v>0</v>
      </c>
      <c r="O16" s="678">
        <f t="shared" ca="1" si="0"/>
        <v>20081.861907609298</v>
      </c>
      <c r="P16" s="678">
        <f t="shared" si="0"/>
        <v>201.30912448515733</v>
      </c>
      <c r="Q16" s="678">
        <f t="shared" si="0"/>
        <v>284.15558484363544</v>
      </c>
      <c r="R16" s="678">
        <f t="shared" ca="1" si="0"/>
        <v>322770.07886266196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1180.7252375467835</v>
      </c>
      <c r="D19" s="642">
        <f>transport!C54</f>
        <v>0</v>
      </c>
      <c r="E19" s="642">
        <f>transport!D54</f>
        <v>0</v>
      </c>
      <c r="F19" s="642">
        <f>transport!E54</f>
        <v>0</v>
      </c>
      <c r="G19" s="642">
        <f>transport!F54</f>
        <v>0</v>
      </c>
      <c r="H19" s="642">
        <f>transport!G54</f>
        <v>969.13860048450408</v>
      </c>
      <c r="I19" s="642">
        <f>transport!H54</f>
        <v>0</v>
      </c>
      <c r="J19" s="642">
        <f>transport!I54</f>
        <v>0</v>
      </c>
      <c r="K19" s="642">
        <f>transport!J54</f>
        <v>0</v>
      </c>
      <c r="L19" s="642">
        <f>transport!K54</f>
        <v>0</v>
      </c>
      <c r="M19" s="642">
        <f>transport!L54</f>
        <v>0</v>
      </c>
      <c r="N19" s="642">
        <f>transport!M54</f>
        <v>53.514470794744547</v>
      </c>
      <c r="O19" s="642">
        <f>transport!N54</f>
        <v>0</v>
      </c>
      <c r="P19" s="642">
        <f>transport!O54</f>
        <v>0</v>
      </c>
      <c r="Q19" s="643">
        <f>transport!P54</f>
        <v>0</v>
      </c>
      <c r="R19" s="645">
        <f>SUM(C19:Q19)</f>
        <v>2203.3783088260325</v>
      </c>
      <c r="S19" s="67"/>
    </row>
    <row r="20" spans="1:19" s="441" customFormat="1">
      <c r="A20" s="762" t="s">
        <v>296</v>
      </c>
      <c r="B20" s="767"/>
      <c r="C20" s="642">
        <f>transport!B14</f>
        <v>327.12211407169474</v>
      </c>
      <c r="D20" s="642">
        <f>transport!C14</f>
        <v>0</v>
      </c>
      <c r="E20" s="642">
        <f>transport!D14</f>
        <v>501.28263642694469</v>
      </c>
      <c r="F20" s="642">
        <f>transport!E14</f>
        <v>317.38002948790086</v>
      </c>
      <c r="G20" s="642">
        <f>transport!F14</f>
        <v>0</v>
      </c>
      <c r="H20" s="642">
        <f>transport!G14</f>
        <v>189605.63650172175</v>
      </c>
      <c r="I20" s="642">
        <f>transport!H14</f>
        <v>34197.495052726445</v>
      </c>
      <c r="J20" s="642">
        <f>transport!I14</f>
        <v>0</v>
      </c>
      <c r="K20" s="642">
        <f>transport!J14</f>
        <v>0</v>
      </c>
      <c r="L20" s="642">
        <f>transport!K14</f>
        <v>0</v>
      </c>
      <c r="M20" s="642">
        <f>transport!L14</f>
        <v>0</v>
      </c>
      <c r="N20" s="642">
        <f>transport!M14</f>
        <v>13052.321522946982</v>
      </c>
      <c r="O20" s="642">
        <f>transport!N14</f>
        <v>0</v>
      </c>
      <c r="P20" s="642">
        <f>transport!O14</f>
        <v>0</v>
      </c>
      <c r="Q20" s="643">
        <f>transport!P14</f>
        <v>0</v>
      </c>
      <c r="R20" s="645">
        <f>SUM(C20:Q20)</f>
        <v>238001.23785738173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1507.8473516184783</v>
      </c>
      <c r="D22" s="765">
        <f t="shared" ref="D22:R22" si="1">SUM(D18:D21)</f>
        <v>0</v>
      </c>
      <c r="E22" s="765">
        <f t="shared" si="1"/>
        <v>501.28263642694469</v>
      </c>
      <c r="F22" s="765">
        <f t="shared" si="1"/>
        <v>317.38002948790086</v>
      </c>
      <c r="G22" s="765">
        <f t="shared" si="1"/>
        <v>0</v>
      </c>
      <c r="H22" s="765">
        <f t="shared" si="1"/>
        <v>190574.77510220624</v>
      </c>
      <c r="I22" s="765">
        <f t="shared" si="1"/>
        <v>34197.495052726445</v>
      </c>
      <c r="J22" s="765">
        <f t="shared" si="1"/>
        <v>0</v>
      </c>
      <c r="K22" s="765">
        <f t="shared" si="1"/>
        <v>0</v>
      </c>
      <c r="L22" s="765">
        <f t="shared" si="1"/>
        <v>0</v>
      </c>
      <c r="M22" s="765">
        <f t="shared" si="1"/>
        <v>0</v>
      </c>
      <c r="N22" s="765">
        <f t="shared" si="1"/>
        <v>13105.835993741726</v>
      </c>
      <c r="O22" s="765">
        <f t="shared" si="1"/>
        <v>0</v>
      </c>
      <c r="P22" s="765">
        <f t="shared" si="1"/>
        <v>0</v>
      </c>
      <c r="Q22" s="765">
        <f t="shared" si="1"/>
        <v>0</v>
      </c>
      <c r="R22" s="765">
        <f t="shared" si="1"/>
        <v>240204.61616620776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1328.24743055306</v>
      </c>
      <c r="D24" s="642">
        <f>+landbouw!C8</f>
        <v>57027.857142857145</v>
      </c>
      <c r="E24" s="642">
        <f>+landbouw!D8</f>
        <v>0</v>
      </c>
      <c r="F24" s="642">
        <f>+landbouw!E8</f>
        <v>39.160489380649075</v>
      </c>
      <c r="G24" s="642">
        <f>+landbouw!F8</f>
        <v>4221.6423790303843</v>
      </c>
      <c r="H24" s="642">
        <f>+landbouw!G8</f>
        <v>0</v>
      </c>
      <c r="I24" s="642">
        <f>+landbouw!H8</f>
        <v>0</v>
      </c>
      <c r="J24" s="642">
        <f>+landbouw!I8</f>
        <v>0</v>
      </c>
      <c r="K24" s="642">
        <f>+landbouw!J8</f>
        <v>334.97584555481217</v>
      </c>
      <c r="L24" s="642">
        <f>+landbouw!K8</f>
        <v>0</v>
      </c>
      <c r="M24" s="642">
        <f>+landbouw!L8</f>
        <v>0</v>
      </c>
      <c r="N24" s="642">
        <f>+landbouw!M8</f>
        <v>0</v>
      </c>
      <c r="O24" s="642">
        <f>+landbouw!N8</f>
        <v>0</v>
      </c>
      <c r="P24" s="642">
        <f>+landbouw!O8</f>
        <v>0</v>
      </c>
      <c r="Q24" s="643">
        <f>+landbouw!P8</f>
        <v>0</v>
      </c>
      <c r="R24" s="645">
        <f>SUM(C24:Q24)</f>
        <v>62951.883287376055</v>
      </c>
      <c r="S24" s="67"/>
    </row>
    <row r="25" spans="1:19" s="441" customFormat="1" ht="15" thickBot="1">
      <c r="A25" s="784" t="s">
        <v>672</v>
      </c>
      <c r="B25" s="895"/>
      <c r="C25" s="896">
        <f>IF(Onbekend_ele_kWh="---",0,Onbekend_ele_kWh)/1000+IF(REST_rest_ele_kWh="---",0,REST_rest_ele_kWh)/1000</f>
        <v>777.62295221673003</v>
      </c>
      <c r="D25" s="896"/>
      <c r="E25" s="896">
        <f>IF(onbekend_gas_kWh="---",0,onbekend_gas_kWh)/1000+IF(REST_rest_gas_kWh="---",0,REST_rest_gas_kWh)/1000</f>
        <v>5756.8156102115208</v>
      </c>
      <c r="F25" s="896"/>
      <c r="G25" s="896"/>
      <c r="H25" s="896"/>
      <c r="I25" s="896"/>
      <c r="J25" s="896"/>
      <c r="K25" s="896"/>
      <c r="L25" s="896"/>
      <c r="M25" s="896"/>
      <c r="N25" s="896"/>
      <c r="O25" s="896"/>
      <c r="P25" s="896"/>
      <c r="Q25" s="897"/>
      <c r="R25" s="645">
        <f>SUM(C25:Q25)</f>
        <v>6534.4385624282513</v>
      </c>
      <c r="S25" s="67"/>
    </row>
    <row r="26" spans="1:19" s="441" customFormat="1" ht="15.75" thickBot="1">
      <c r="A26" s="650" t="s">
        <v>673</v>
      </c>
      <c r="B26" s="770"/>
      <c r="C26" s="765">
        <f>SUM(C24:C25)</f>
        <v>2105.87038276979</v>
      </c>
      <c r="D26" s="765">
        <f t="shared" ref="D26:R26" si="2">SUM(D24:D25)</f>
        <v>57027.857142857145</v>
      </c>
      <c r="E26" s="765">
        <f t="shared" si="2"/>
        <v>5756.8156102115208</v>
      </c>
      <c r="F26" s="765">
        <f t="shared" si="2"/>
        <v>39.160489380649075</v>
      </c>
      <c r="G26" s="765">
        <f t="shared" si="2"/>
        <v>4221.6423790303843</v>
      </c>
      <c r="H26" s="765">
        <f t="shared" si="2"/>
        <v>0</v>
      </c>
      <c r="I26" s="765">
        <f t="shared" si="2"/>
        <v>0</v>
      </c>
      <c r="J26" s="765">
        <f t="shared" si="2"/>
        <v>0</v>
      </c>
      <c r="K26" s="765">
        <f t="shared" si="2"/>
        <v>334.97584555481217</v>
      </c>
      <c r="L26" s="765">
        <f t="shared" si="2"/>
        <v>0</v>
      </c>
      <c r="M26" s="765">
        <f t="shared" si="2"/>
        <v>0</v>
      </c>
      <c r="N26" s="765">
        <f t="shared" si="2"/>
        <v>0</v>
      </c>
      <c r="O26" s="765">
        <f t="shared" si="2"/>
        <v>0</v>
      </c>
      <c r="P26" s="765">
        <f t="shared" si="2"/>
        <v>0</v>
      </c>
      <c r="Q26" s="765">
        <f t="shared" si="2"/>
        <v>0</v>
      </c>
      <c r="R26" s="765">
        <f t="shared" si="2"/>
        <v>69486.321849804313</v>
      </c>
      <c r="S26" s="67"/>
    </row>
    <row r="27" spans="1:19" s="441" customFormat="1" ht="17.25" thickTop="1" thickBot="1">
      <c r="A27" s="651" t="s">
        <v>109</v>
      </c>
      <c r="B27" s="757"/>
      <c r="C27" s="652">
        <f ca="1">C22+C16+C26</f>
        <v>100491.20928376833</v>
      </c>
      <c r="D27" s="652">
        <f t="shared" ref="D27:R27" ca="1" si="3">D22+D16+D26</f>
        <v>57060</v>
      </c>
      <c r="E27" s="652">
        <f t="shared" ca="1" si="3"/>
        <v>175494.72262068506</v>
      </c>
      <c r="F27" s="652">
        <f t="shared" si="3"/>
        <v>3813.3396802866528</v>
      </c>
      <c r="G27" s="652">
        <f t="shared" ca="1" si="3"/>
        <v>36699.316287202419</v>
      </c>
      <c r="H27" s="652">
        <f t="shared" si="3"/>
        <v>190574.77510220624</v>
      </c>
      <c r="I27" s="652">
        <f t="shared" si="3"/>
        <v>34197.495052726445</v>
      </c>
      <c r="J27" s="652">
        <f t="shared" si="3"/>
        <v>0</v>
      </c>
      <c r="K27" s="652">
        <f t="shared" si="3"/>
        <v>456.99624111901738</v>
      </c>
      <c r="L27" s="652">
        <f t="shared" si="3"/>
        <v>0</v>
      </c>
      <c r="M27" s="652">
        <f t="shared" ca="1" si="3"/>
        <v>0</v>
      </c>
      <c r="N27" s="652">
        <f t="shared" si="3"/>
        <v>13105.835993741726</v>
      </c>
      <c r="O27" s="652">
        <f t="shared" ca="1" si="3"/>
        <v>20081.861907609298</v>
      </c>
      <c r="P27" s="652">
        <f t="shared" si="3"/>
        <v>201.30912448515733</v>
      </c>
      <c r="Q27" s="652">
        <f t="shared" si="3"/>
        <v>284.15558484363544</v>
      </c>
      <c r="R27" s="652">
        <f t="shared" ca="1" si="3"/>
        <v>632461.01687867404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5641.6584238430141</v>
      </c>
      <c r="D40" s="642">
        <f ca="1">tertiair!C20</f>
        <v>7.6386554621848752</v>
      </c>
      <c r="E40" s="642">
        <f ca="1">tertiair!D20</f>
        <v>15385.337845863398</v>
      </c>
      <c r="F40" s="642">
        <f>tertiair!E20</f>
        <v>18.300977861160135</v>
      </c>
      <c r="G40" s="642">
        <f ca="1">tertiair!F20</f>
        <v>1375.5767569227585</v>
      </c>
      <c r="H40" s="642">
        <f>tertiair!G20</f>
        <v>0</v>
      </c>
      <c r="I40" s="642">
        <f>tertiair!H20</f>
        <v>0</v>
      </c>
      <c r="J40" s="642">
        <f>tertiair!I20</f>
        <v>0</v>
      </c>
      <c r="K40" s="642">
        <f>tertiair!J20</f>
        <v>1.1949990533469819E-2</v>
      </c>
      <c r="L40" s="642">
        <f>tertiair!K20</f>
        <v>0</v>
      </c>
      <c r="M40" s="642">
        <f ca="1">tertiair!L20</f>
        <v>0</v>
      </c>
      <c r="N40" s="642">
        <f>tertiair!M20</f>
        <v>0</v>
      </c>
      <c r="O40" s="642">
        <f ca="1">tertiair!N20</f>
        <v>0</v>
      </c>
      <c r="P40" s="642">
        <f>tertiair!O20</f>
        <v>0</v>
      </c>
      <c r="Q40" s="725">
        <f>tertiair!P20</f>
        <v>0</v>
      </c>
      <c r="R40" s="803">
        <f t="shared" ca="1" si="4"/>
        <v>22428.524609943048</v>
      </c>
    </row>
    <row r="41" spans="1:18">
      <c r="A41" s="775" t="s">
        <v>214</v>
      </c>
      <c r="B41" s="782"/>
      <c r="C41" s="642">
        <f ca="1">huishoudens!B12</f>
        <v>6586.2445040115708</v>
      </c>
      <c r="D41" s="642">
        <f ca="1">huishoudens!C12</f>
        <v>0</v>
      </c>
      <c r="E41" s="642">
        <f>huishoudens!D12</f>
        <v>17130.410408017953</v>
      </c>
      <c r="F41" s="642">
        <f>huishoudens!E12</f>
        <v>294.398986247783</v>
      </c>
      <c r="G41" s="642">
        <f>huishoudens!F12</f>
        <v>5674.6520890073643</v>
      </c>
      <c r="H41" s="642">
        <f>huishoudens!G12</f>
        <v>0</v>
      </c>
      <c r="I41" s="642">
        <f>huishoudens!H12</f>
        <v>0</v>
      </c>
      <c r="J41" s="642">
        <f>huishoudens!I12</f>
        <v>0</v>
      </c>
      <c r="K41" s="642">
        <f>huishoudens!J12</f>
        <v>41.527031342130556</v>
      </c>
      <c r="L41" s="642">
        <f>huishoudens!K12</f>
        <v>0</v>
      </c>
      <c r="M41" s="642">
        <f>huishoudens!L12</f>
        <v>0</v>
      </c>
      <c r="N41" s="642">
        <f>huishoudens!M12</f>
        <v>0</v>
      </c>
      <c r="O41" s="642">
        <f>huishoudens!N12</f>
        <v>0</v>
      </c>
      <c r="P41" s="642">
        <f>huishoudens!O12</f>
        <v>0</v>
      </c>
      <c r="Q41" s="725">
        <f>huishoudens!P12</f>
        <v>0</v>
      </c>
      <c r="R41" s="803">
        <f t="shared" ca="1" si="4"/>
        <v>29727.233018626805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8527.6671161718459</v>
      </c>
      <c r="D43" s="642">
        <f ca="1">industrie!C22</f>
        <v>0</v>
      </c>
      <c r="E43" s="642">
        <f>industrie!D22</f>
        <v>1670.0498696760676</v>
      </c>
      <c r="F43" s="642">
        <f>industrie!E22</f>
        <v>471.99344553296618</v>
      </c>
      <c r="G43" s="642">
        <f>industrie!F22</f>
        <v>1621.3100875518101</v>
      </c>
      <c r="H43" s="642">
        <f>industrie!G22</f>
        <v>0</v>
      </c>
      <c r="I43" s="642">
        <f>industrie!H22</f>
        <v>0</v>
      </c>
      <c r="J43" s="642">
        <f>industrie!I22</f>
        <v>0</v>
      </c>
      <c r="K43" s="642">
        <f>industrie!J22</f>
        <v>1.6562386970646212</v>
      </c>
      <c r="L43" s="642">
        <f>industrie!K22</f>
        <v>0</v>
      </c>
      <c r="M43" s="642">
        <f>industrie!L22</f>
        <v>0</v>
      </c>
      <c r="N43" s="642">
        <f>industrie!M22</f>
        <v>0</v>
      </c>
      <c r="O43" s="642">
        <f>industrie!N22</f>
        <v>0</v>
      </c>
      <c r="P43" s="642">
        <f>industrie!O22</f>
        <v>0</v>
      </c>
      <c r="Q43" s="725">
        <f>industrie!P22</f>
        <v>0</v>
      </c>
      <c r="R43" s="802">
        <f t="shared" ca="1" si="4"/>
        <v>12292.676757629755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20755.570044026434</v>
      </c>
      <c r="D46" s="678">
        <f t="shared" ref="D46:Q46" ca="1" si="5">SUM(D39:D45)</f>
        <v>7.6386554621848752</v>
      </c>
      <c r="E46" s="678">
        <f t="shared" ca="1" si="5"/>
        <v>34185.798123557419</v>
      </c>
      <c r="F46" s="678">
        <f t="shared" si="5"/>
        <v>784.69340964190928</v>
      </c>
      <c r="G46" s="678">
        <f t="shared" ca="1" si="5"/>
        <v>8671.538933481932</v>
      </c>
      <c r="H46" s="678">
        <f t="shared" si="5"/>
        <v>0</v>
      </c>
      <c r="I46" s="678">
        <f t="shared" si="5"/>
        <v>0</v>
      </c>
      <c r="J46" s="678">
        <f t="shared" si="5"/>
        <v>0</v>
      </c>
      <c r="K46" s="678">
        <f t="shared" si="5"/>
        <v>43.195220029728645</v>
      </c>
      <c r="L46" s="678">
        <f t="shared" si="5"/>
        <v>0</v>
      </c>
      <c r="M46" s="678">
        <f t="shared" ca="1" si="5"/>
        <v>0</v>
      </c>
      <c r="N46" s="678">
        <f t="shared" si="5"/>
        <v>0</v>
      </c>
      <c r="O46" s="678">
        <f t="shared" ca="1" si="5"/>
        <v>0</v>
      </c>
      <c r="P46" s="678">
        <f t="shared" si="5"/>
        <v>0</v>
      </c>
      <c r="Q46" s="678">
        <f t="shared" si="5"/>
        <v>0</v>
      </c>
      <c r="R46" s="678">
        <f ca="1">SUM(R39:R45)</f>
        <v>64448.434386199609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252.96511066412756</v>
      </c>
      <c r="D49" s="642">
        <f ca="1">transport!C58</f>
        <v>0</v>
      </c>
      <c r="E49" s="642">
        <f>transport!D58</f>
        <v>0</v>
      </c>
      <c r="F49" s="642">
        <f>transport!E58</f>
        <v>0</v>
      </c>
      <c r="G49" s="642">
        <f>transport!F58</f>
        <v>0</v>
      </c>
      <c r="H49" s="642">
        <f>transport!G58</f>
        <v>258.76000632936262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511.72511699349019</v>
      </c>
    </row>
    <row r="50" spans="1:18">
      <c r="A50" s="778" t="s">
        <v>296</v>
      </c>
      <c r="B50" s="788"/>
      <c r="C50" s="648">
        <f ca="1">transport!B18</f>
        <v>70.08445246648742</v>
      </c>
      <c r="D50" s="648">
        <f>transport!C18</f>
        <v>0</v>
      </c>
      <c r="E50" s="648">
        <f>transport!D18</f>
        <v>101.25909255824284</v>
      </c>
      <c r="F50" s="648">
        <f>transport!E18</f>
        <v>72.04526669375349</v>
      </c>
      <c r="G50" s="648">
        <f>transport!F18</f>
        <v>0</v>
      </c>
      <c r="H50" s="648">
        <f>transport!G18</f>
        <v>50624.704945959711</v>
      </c>
      <c r="I50" s="648">
        <f>transport!H18</f>
        <v>8515.1762681288856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59383.270025807084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323.04956313061496</v>
      </c>
      <c r="D52" s="678">
        <f t="shared" ref="D52:Q52" ca="1" si="6">SUM(D48:D51)</f>
        <v>0</v>
      </c>
      <c r="E52" s="678">
        <f t="shared" si="6"/>
        <v>101.25909255824284</v>
      </c>
      <c r="F52" s="678">
        <f t="shared" si="6"/>
        <v>72.04526669375349</v>
      </c>
      <c r="G52" s="678">
        <f t="shared" si="6"/>
        <v>0</v>
      </c>
      <c r="H52" s="678">
        <f t="shared" si="6"/>
        <v>50883.464952289076</v>
      </c>
      <c r="I52" s="678">
        <f t="shared" si="6"/>
        <v>8515.1762681288856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59894.995142800573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284.57108188634334</v>
      </c>
      <c r="D54" s="648">
        <f ca="1">+landbouw!C12</f>
        <v>13552.502521008406</v>
      </c>
      <c r="E54" s="648">
        <f>+landbouw!D12</f>
        <v>0</v>
      </c>
      <c r="F54" s="648">
        <f>+landbouw!E12</f>
        <v>8.8894310894073403</v>
      </c>
      <c r="G54" s="648">
        <f>+landbouw!F12</f>
        <v>1127.1785152011128</v>
      </c>
      <c r="H54" s="648">
        <f>+landbouw!G12</f>
        <v>0</v>
      </c>
      <c r="I54" s="648">
        <f>+landbouw!H12</f>
        <v>0</v>
      </c>
      <c r="J54" s="648">
        <f>+landbouw!I12</f>
        <v>0</v>
      </c>
      <c r="K54" s="648">
        <f>+landbouw!J12</f>
        <v>118.5814493264035</v>
      </c>
      <c r="L54" s="648">
        <f>+landbouw!K12</f>
        <v>0</v>
      </c>
      <c r="M54" s="648">
        <f>+landbouw!L12</f>
        <v>0</v>
      </c>
      <c r="N54" s="648">
        <f>+landbouw!M12</f>
        <v>0</v>
      </c>
      <c r="O54" s="648">
        <f>+landbouw!N12</f>
        <v>0</v>
      </c>
      <c r="P54" s="648">
        <f>+landbouw!O12</f>
        <v>0</v>
      </c>
      <c r="Q54" s="649">
        <f>+landbouw!P12</f>
        <v>0</v>
      </c>
      <c r="R54" s="677">
        <f ca="1">SUM(C54:Q54)</f>
        <v>15091.722998511672</v>
      </c>
    </row>
    <row r="55" spans="1:18" ht="15" thickBot="1">
      <c r="A55" s="778" t="s">
        <v>672</v>
      </c>
      <c r="B55" s="788"/>
      <c r="C55" s="648">
        <f ca="1">C25*'EF ele_warmte'!B12</f>
        <v>166.60224572753444</v>
      </c>
      <c r="D55" s="648"/>
      <c r="E55" s="648">
        <f>E25*EF_CO2_aardgas</f>
        <v>1162.8767532627273</v>
      </c>
      <c r="F55" s="648"/>
      <c r="G55" s="648"/>
      <c r="H55" s="648"/>
      <c r="I55" s="648"/>
      <c r="J55" s="648"/>
      <c r="K55" s="648"/>
      <c r="L55" s="648"/>
      <c r="M55" s="648"/>
      <c r="N55" s="648"/>
      <c r="O55" s="648"/>
      <c r="P55" s="648"/>
      <c r="Q55" s="649"/>
      <c r="R55" s="677">
        <f ca="1">SUM(C55:Q55)</f>
        <v>1329.4789989902617</v>
      </c>
    </row>
    <row r="56" spans="1:18" ht="15.75" thickBot="1">
      <c r="A56" s="776" t="s">
        <v>673</v>
      </c>
      <c r="B56" s="789"/>
      <c r="C56" s="678">
        <f ca="1">SUM(C54:C55)</f>
        <v>451.17332761387775</v>
      </c>
      <c r="D56" s="678">
        <f t="shared" ref="D56:Q56" ca="1" si="7">SUM(D54:D55)</f>
        <v>13552.502521008406</v>
      </c>
      <c r="E56" s="678">
        <f t="shared" si="7"/>
        <v>1162.8767532627273</v>
      </c>
      <c r="F56" s="678">
        <f t="shared" si="7"/>
        <v>8.8894310894073403</v>
      </c>
      <c r="G56" s="678">
        <f t="shared" si="7"/>
        <v>1127.1785152011128</v>
      </c>
      <c r="H56" s="678">
        <f t="shared" si="7"/>
        <v>0</v>
      </c>
      <c r="I56" s="678">
        <f t="shared" si="7"/>
        <v>0</v>
      </c>
      <c r="J56" s="678">
        <f t="shared" si="7"/>
        <v>0</v>
      </c>
      <c r="K56" s="678">
        <f t="shared" si="7"/>
        <v>118.5814493264035</v>
      </c>
      <c r="L56" s="678">
        <f t="shared" si="7"/>
        <v>0</v>
      </c>
      <c r="M56" s="678">
        <f t="shared" si="7"/>
        <v>0</v>
      </c>
      <c r="N56" s="678">
        <f t="shared" si="7"/>
        <v>0</v>
      </c>
      <c r="O56" s="678">
        <f t="shared" si="7"/>
        <v>0</v>
      </c>
      <c r="P56" s="678">
        <f t="shared" si="7"/>
        <v>0</v>
      </c>
      <c r="Q56" s="679">
        <f t="shared" si="7"/>
        <v>0</v>
      </c>
      <c r="R56" s="680">
        <f ca="1">SUM(R54:R55)</f>
        <v>16421.201997501932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21529.792934770925</v>
      </c>
      <c r="D61" s="686">
        <f t="shared" ref="D61:Q61" ca="1" si="8">D46+D52+D56</f>
        <v>13560.14117647059</v>
      </c>
      <c r="E61" s="686">
        <f t="shared" ca="1" si="8"/>
        <v>35449.933969378384</v>
      </c>
      <c r="F61" s="686">
        <f t="shared" si="8"/>
        <v>865.6281074250702</v>
      </c>
      <c r="G61" s="686">
        <f t="shared" ca="1" si="8"/>
        <v>9798.7174486830445</v>
      </c>
      <c r="H61" s="686">
        <f t="shared" si="8"/>
        <v>50883.464952289076</v>
      </c>
      <c r="I61" s="686">
        <f t="shared" si="8"/>
        <v>8515.1762681288856</v>
      </c>
      <c r="J61" s="686">
        <f t="shared" si="8"/>
        <v>0</v>
      </c>
      <c r="K61" s="686">
        <f t="shared" si="8"/>
        <v>161.77666935613215</v>
      </c>
      <c r="L61" s="686">
        <f t="shared" si="8"/>
        <v>0</v>
      </c>
      <c r="M61" s="686">
        <f t="shared" ca="1" si="8"/>
        <v>0</v>
      </c>
      <c r="N61" s="686">
        <f t="shared" si="8"/>
        <v>0</v>
      </c>
      <c r="O61" s="686">
        <f t="shared" ca="1" si="8"/>
        <v>0</v>
      </c>
      <c r="P61" s="686">
        <f t="shared" si="8"/>
        <v>0</v>
      </c>
      <c r="Q61" s="686">
        <f t="shared" si="8"/>
        <v>0</v>
      </c>
      <c r="R61" s="686">
        <f ca="1">R46+R52+R56</f>
        <v>140764.63152650211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0.21424553538782509</v>
      </c>
      <c r="D63" s="732">
        <f t="shared" ca="1" si="9"/>
        <v>0.23764705882352943</v>
      </c>
      <c r="E63" s="921">
        <f t="shared" ca="1" si="9"/>
        <v>0.20200000000000001</v>
      </c>
      <c r="F63" s="732">
        <f t="shared" si="9"/>
        <v>0.22700000000000001</v>
      </c>
      <c r="G63" s="732">
        <f t="shared" ca="1" si="9"/>
        <v>0.26699999999999996</v>
      </c>
      <c r="H63" s="732">
        <f t="shared" si="9"/>
        <v>0.26700000000000007</v>
      </c>
      <c r="I63" s="732">
        <f t="shared" si="9"/>
        <v>0.24900000000000003</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6080.0051605035915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39942</v>
      </c>
      <c r="D76" s="904">
        <f>'lokale energieproductie'!C8</f>
        <v>46990.588235294119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9492.0988235294135</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6080.0051605035915</v>
      </c>
      <c r="C78" s="704">
        <f>SUM(C72:C77)</f>
        <v>39942</v>
      </c>
      <c r="D78" s="705">
        <f t="shared" ref="D78:H78" si="10">SUM(D76:D77)</f>
        <v>46990.588235294119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9492.0988235294135</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57060</v>
      </c>
      <c r="D87" s="728">
        <f>'lokale energieproductie'!C17</f>
        <v>67129.411764705888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13560.14117647059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57060</v>
      </c>
      <c r="D90" s="704">
        <f t="shared" ref="D90:H90" si="12">SUM(D87:D89)</f>
        <v>67129.411764705888</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13560.14117647059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30741.57177692977</v>
      </c>
      <c r="C4" s="445">
        <f>huishoudens!C8</f>
        <v>0</v>
      </c>
      <c r="D4" s="445">
        <f>huishoudens!D8</f>
        <v>84804.011920880948</v>
      </c>
      <c r="E4" s="445">
        <f>huishoudens!E8</f>
        <v>1296.911833690674</v>
      </c>
      <c r="F4" s="445">
        <f>huishoudens!F8</f>
        <v>21253.378610514472</v>
      </c>
      <c r="G4" s="445">
        <f>huishoudens!G8</f>
        <v>0</v>
      </c>
      <c r="H4" s="445">
        <f>huishoudens!H8</f>
        <v>0</v>
      </c>
      <c r="I4" s="445">
        <f>huishoudens!I8</f>
        <v>0</v>
      </c>
      <c r="J4" s="445">
        <f>huishoudens!J8</f>
        <v>117.30799814161175</v>
      </c>
      <c r="K4" s="445">
        <f>huishoudens!K8</f>
        <v>0</v>
      </c>
      <c r="L4" s="445">
        <f>huishoudens!L8</f>
        <v>0</v>
      </c>
      <c r="M4" s="445">
        <f>huishoudens!M8</f>
        <v>0</v>
      </c>
      <c r="N4" s="445">
        <f>huishoudens!N8</f>
        <v>9392.8126631032901</v>
      </c>
      <c r="O4" s="445">
        <f>huishoudens!O8</f>
        <v>196.41186371931616</v>
      </c>
      <c r="P4" s="446">
        <f>huishoudens!P8</f>
        <v>179.07730823064537</v>
      </c>
      <c r="Q4" s="447">
        <f>SUM(B4:P4)</f>
        <v>147981.48397521072</v>
      </c>
    </row>
    <row r="5" spans="1:17">
      <c r="A5" s="444" t="s">
        <v>149</v>
      </c>
      <c r="B5" s="445">
        <f ca="1">tertiair!B16</f>
        <v>25043.794525450645</v>
      </c>
      <c r="C5" s="445">
        <f ca="1">tertiair!C16</f>
        <v>32.142857142857146</v>
      </c>
      <c r="D5" s="445">
        <f ca="1">tertiair!D16</f>
        <v>76165.038840907902</v>
      </c>
      <c r="E5" s="445">
        <f>tertiair!E16</f>
        <v>80.621047846520412</v>
      </c>
      <c r="F5" s="445">
        <f ca="1">tertiair!F16</f>
        <v>5151.9728723698818</v>
      </c>
      <c r="G5" s="445">
        <f>tertiair!G16</f>
        <v>0</v>
      </c>
      <c r="H5" s="445">
        <f>tertiair!H16</f>
        <v>0</v>
      </c>
      <c r="I5" s="445">
        <f>tertiair!I16</f>
        <v>0</v>
      </c>
      <c r="J5" s="445">
        <f>tertiair!J16</f>
        <v>3.3757035405281979E-2</v>
      </c>
      <c r="K5" s="445">
        <f>tertiair!K16</f>
        <v>0</v>
      </c>
      <c r="L5" s="445">
        <f ca="1">tertiair!L16</f>
        <v>0</v>
      </c>
      <c r="M5" s="445">
        <f>tertiair!M16</f>
        <v>0</v>
      </c>
      <c r="N5" s="445">
        <f ca="1">tertiair!N16</f>
        <v>1182.582872362575</v>
      </c>
      <c r="O5" s="445">
        <f>tertiair!O16</f>
        <v>4.8972607658411542</v>
      </c>
      <c r="P5" s="446">
        <f>tertiair!P16</f>
        <v>105.07827661299004</v>
      </c>
      <c r="Q5" s="444">
        <f t="shared" ref="Q5:Q14" ca="1" si="0">SUM(B5:P5)</f>
        <v>107766.1623104946</v>
      </c>
    </row>
    <row r="6" spans="1:17">
      <c r="A6" s="444" t="s">
        <v>187</v>
      </c>
      <c r="B6" s="445">
        <f>'openbare verlichting'!B8</f>
        <v>1288.8822028206901</v>
      </c>
      <c r="C6" s="445"/>
      <c r="D6" s="445"/>
      <c r="E6" s="445"/>
      <c r="F6" s="445"/>
      <c r="G6" s="445"/>
      <c r="H6" s="445"/>
      <c r="I6" s="445"/>
      <c r="J6" s="445"/>
      <c r="K6" s="445"/>
      <c r="L6" s="445"/>
      <c r="M6" s="445"/>
      <c r="N6" s="445"/>
      <c r="O6" s="445"/>
      <c r="P6" s="446"/>
      <c r="Q6" s="444">
        <f t="shared" si="0"/>
        <v>1288.8822028206901</v>
      </c>
    </row>
    <row r="7" spans="1:17">
      <c r="A7" s="444" t="s">
        <v>105</v>
      </c>
      <c r="B7" s="445">
        <f>landbouw!B8</f>
        <v>1328.24743055306</v>
      </c>
      <c r="C7" s="445">
        <f>landbouw!C8</f>
        <v>57027.857142857145</v>
      </c>
      <c r="D7" s="445">
        <f>landbouw!D8</f>
        <v>0</v>
      </c>
      <c r="E7" s="445">
        <f>landbouw!E8</f>
        <v>39.160489380649075</v>
      </c>
      <c r="F7" s="445">
        <f>landbouw!F8</f>
        <v>4221.6423790303843</v>
      </c>
      <c r="G7" s="445">
        <f>landbouw!G8</f>
        <v>0</v>
      </c>
      <c r="H7" s="445">
        <f>landbouw!H8</f>
        <v>0</v>
      </c>
      <c r="I7" s="445">
        <f>landbouw!I8</f>
        <v>0</v>
      </c>
      <c r="J7" s="445">
        <f>landbouw!J8</f>
        <v>334.97584555481217</v>
      </c>
      <c r="K7" s="445">
        <f>landbouw!K8</f>
        <v>0</v>
      </c>
      <c r="L7" s="445">
        <f>landbouw!L8</f>
        <v>0</v>
      </c>
      <c r="M7" s="445">
        <f>landbouw!M8</f>
        <v>0</v>
      </c>
      <c r="N7" s="445">
        <f>landbouw!N8</f>
        <v>0</v>
      </c>
      <c r="O7" s="445">
        <f>landbouw!O8</f>
        <v>0</v>
      </c>
      <c r="P7" s="446">
        <f>landbouw!P8</f>
        <v>0</v>
      </c>
      <c r="Q7" s="444">
        <f t="shared" si="0"/>
        <v>62951.883287376055</v>
      </c>
    </row>
    <row r="8" spans="1:17">
      <c r="A8" s="444" t="s">
        <v>587</v>
      </c>
      <c r="B8" s="445">
        <f>industrie!B18</f>
        <v>39803.243044178962</v>
      </c>
      <c r="C8" s="445">
        <f>industrie!C18</f>
        <v>0</v>
      </c>
      <c r="D8" s="445">
        <f>industrie!D18</f>
        <v>8267.57361225776</v>
      </c>
      <c r="E8" s="445">
        <f>industrie!E18</f>
        <v>2079.2662798809083</v>
      </c>
      <c r="F8" s="445">
        <f>industrie!F18</f>
        <v>6072.322425287678</v>
      </c>
      <c r="G8" s="445">
        <f>industrie!G18</f>
        <v>0</v>
      </c>
      <c r="H8" s="445">
        <f>industrie!H18</f>
        <v>0</v>
      </c>
      <c r="I8" s="445">
        <f>industrie!I18</f>
        <v>0</v>
      </c>
      <c r="J8" s="445">
        <f>industrie!J18</f>
        <v>4.6786403871881959</v>
      </c>
      <c r="K8" s="445">
        <f>industrie!K18</f>
        <v>0</v>
      </c>
      <c r="L8" s="445">
        <f>industrie!L18</f>
        <v>0</v>
      </c>
      <c r="M8" s="445">
        <f>industrie!M18</f>
        <v>0</v>
      </c>
      <c r="N8" s="445">
        <f>industrie!N18</f>
        <v>9506.4663721434335</v>
      </c>
      <c r="O8" s="445">
        <f>industrie!O18</f>
        <v>0</v>
      </c>
      <c r="P8" s="446">
        <f>industrie!P18</f>
        <v>0</v>
      </c>
      <c r="Q8" s="444">
        <f t="shared" si="0"/>
        <v>65733.550374135928</v>
      </c>
    </row>
    <row r="9" spans="1:17" s="450" customFormat="1">
      <c r="A9" s="448" t="s">
        <v>536</v>
      </c>
      <c r="B9" s="449">
        <f>transport!B14</f>
        <v>327.12211407169474</v>
      </c>
      <c r="C9" s="449">
        <f>transport!C14</f>
        <v>0</v>
      </c>
      <c r="D9" s="449">
        <f>transport!D14</f>
        <v>501.28263642694469</v>
      </c>
      <c r="E9" s="449">
        <f>transport!E14</f>
        <v>317.38002948790086</v>
      </c>
      <c r="F9" s="449">
        <f>transport!F14</f>
        <v>0</v>
      </c>
      <c r="G9" s="449">
        <f>transport!G14</f>
        <v>189605.63650172175</v>
      </c>
      <c r="H9" s="449">
        <f>transport!H14</f>
        <v>34197.495052726445</v>
      </c>
      <c r="I9" s="449">
        <f>transport!I14</f>
        <v>0</v>
      </c>
      <c r="J9" s="449">
        <f>transport!J14</f>
        <v>0</v>
      </c>
      <c r="K9" s="449">
        <f>transport!K14</f>
        <v>0</v>
      </c>
      <c r="L9" s="449">
        <f>transport!L14</f>
        <v>0</v>
      </c>
      <c r="M9" s="449">
        <f>transport!M14</f>
        <v>13052.321522946982</v>
      </c>
      <c r="N9" s="449">
        <f>transport!N14</f>
        <v>0</v>
      </c>
      <c r="O9" s="449">
        <f>transport!O14</f>
        <v>0</v>
      </c>
      <c r="P9" s="449">
        <f>transport!P14</f>
        <v>0</v>
      </c>
      <c r="Q9" s="448">
        <f>SUM(B9:P9)</f>
        <v>238001.23785738173</v>
      </c>
    </row>
    <row r="10" spans="1:17">
      <c r="A10" s="444" t="s">
        <v>526</v>
      </c>
      <c r="B10" s="445">
        <f>transport!B54</f>
        <v>1180.7252375467835</v>
      </c>
      <c r="C10" s="445">
        <f>transport!C54</f>
        <v>0</v>
      </c>
      <c r="D10" s="445">
        <f>transport!D54</f>
        <v>0</v>
      </c>
      <c r="E10" s="445">
        <f>transport!E54</f>
        <v>0</v>
      </c>
      <c r="F10" s="445">
        <f>transport!F54</f>
        <v>0</v>
      </c>
      <c r="G10" s="445">
        <f>transport!G54</f>
        <v>969.13860048450408</v>
      </c>
      <c r="H10" s="445">
        <f>transport!H54</f>
        <v>0</v>
      </c>
      <c r="I10" s="445">
        <f>transport!I54</f>
        <v>0</v>
      </c>
      <c r="J10" s="445">
        <f>transport!J54</f>
        <v>0</v>
      </c>
      <c r="K10" s="445">
        <f>transport!K54</f>
        <v>0</v>
      </c>
      <c r="L10" s="445">
        <f>transport!L54</f>
        <v>0</v>
      </c>
      <c r="M10" s="445">
        <f>transport!M54</f>
        <v>53.514470794744547</v>
      </c>
      <c r="N10" s="445">
        <f>transport!N54</f>
        <v>0</v>
      </c>
      <c r="O10" s="445">
        <f>transport!O54</f>
        <v>0</v>
      </c>
      <c r="P10" s="446">
        <f>transport!P54</f>
        <v>0</v>
      </c>
      <c r="Q10" s="444">
        <f t="shared" si="0"/>
        <v>2203.3783088260325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777.62295221673003</v>
      </c>
      <c r="C14" s="452"/>
      <c r="D14" s="452">
        <f>'SEAP template'!E25</f>
        <v>5756.8156102115208</v>
      </c>
      <c r="E14" s="452"/>
      <c r="F14" s="452"/>
      <c r="G14" s="452"/>
      <c r="H14" s="452"/>
      <c r="I14" s="452"/>
      <c r="J14" s="452"/>
      <c r="K14" s="452"/>
      <c r="L14" s="452"/>
      <c r="M14" s="452"/>
      <c r="N14" s="452"/>
      <c r="O14" s="452"/>
      <c r="P14" s="453"/>
      <c r="Q14" s="444">
        <f t="shared" si="0"/>
        <v>6534.4385624282513</v>
      </c>
    </row>
    <row r="15" spans="1:17" s="456" customFormat="1">
      <c r="A15" s="454" t="s">
        <v>530</v>
      </c>
      <c r="B15" s="455">
        <f ca="1">SUM(B4:B14)</f>
        <v>100491.20928376833</v>
      </c>
      <c r="C15" s="455">
        <f t="shared" ref="C15:Q15" ca="1" si="1">SUM(C4:C14)</f>
        <v>57060</v>
      </c>
      <c r="D15" s="455">
        <f t="shared" ca="1" si="1"/>
        <v>175494.72262068506</v>
      </c>
      <c r="E15" s="455">
        <f t="shared" si="1"/>
        <v>3813.3396802866528</v>
      </c>
      <c r="F15" s="455">
        <f t="shared" ca="1" si="1"/>
        <v>36699.316287202419</v>
      </c>
      <c r="G15" s="455">
        <f t="shared" si="1"/>
        <v>190574.77510220624</v>
      </c>
      <c r="H15" s="455">
        <f t="shared" si="1"/>
        <v>34197.495052726445</v>
      </c>
      <c r="I15" s="455">
        <f t="shared" si="1"/>
        <v>0</v>
      </c>
      <c r="J15" s="455">
        <f t="shared" si="1"/>
        <v>456.99624111901738</v>
      </c>
      <c r="K15" s="455">
        <f t="shared" si="1"/>
        <v>0</v>
      </c>
      <c r="L15" s="455">
        <f t="shared" ca="1" si="1"/>
        <v>0</v>
      </c>
      <c r="M15" s="455">
        <f t="shared" si="1"/>
        <v>13105.835993741726</v>
      </c>
      <c r="N15" s="455">
        <f t="shared" ca="1" si="1"/>
        <v>20081.861907609298</v>
      </c>
      <c r="O15" s="455">
        <f t="shared" si="1"/>
        <v>201.30912448515733</v>
      </c>
      <c r="P15" s="455">
        <f t="shared" si="1"/>
        <v>284.15558484363544</v>
      </c>
      <c r="Q15" s="455">
        <f t="shared" ca="1" si="1"/>
        <v>632461.01687867392</v>
      </c>
    </row>
    <row r="17" spans="1:17">
      <c r="A17" s="457" t="s">
        <v>531</v>
      </c>
      <c r="B17" s="737">
        <f ca="1">huishoudens!B10</f>
        <v>0.21424553538782506</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6586.2445040115708</v>
      </c>
      <c r="C22" s="445">
        <f t="shared" ref="C22:C32" ca="1" si="3">C4*$C$17</f>
        <v>0</v>
      </c>
      <c r="D22" s="445">
        <f t="shared" ref="D22:D32" si="4">D4*$D$17</f>
        <v>17130.410408017953</v>
      </c>
      <c r="E22" s="445">
        <f t="shared" ref="E22:E32" si="5">E4*$E$17</f>
        <v>294.398986247783</v>
      </c>
      <c r="F22" s="445">
        <f t="shared" ref="F22:F32" si="6">F4*$F$17</f>
        <v>5674.6520890073643</v>
      </c>
      <c r="G22" s="445">
        <f t="shared" ref="G22:G32" si="7">G4*$G$17</f>
        <v>0</v>
      </c>
      <c r="H22" s="445">
        <f t="shared" ref="H22:H32" si="8">H4*$H$17</f>
        <v>0</v>
      </c>
      <c r="I22" s="445">
        <f t="shared" ref="I22:I32" si="9">I4*$I$17</f>
        <v>0</v>
      </c>
      <c r="J22" s="445">
        <f t="shared" ref="J22:J32" si="10">J4*$J$17</f>
        <v>41.527031342130556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29727.233018626805</v>
      </c>
    </row>
    <row r="23" spans="1:17">
      <c r="A23" s="444" t="s">
        <v>149</v>
      </c>
      <c r="B23" s="445">
        <f t="shared" ca="1" si="2"/>
        <v>5365.5211662478559</v>
      </c>
      <c r="C23" s="445">
        <f t="shared" ca="1" si="3"/>
        <v>7.6386554621848752</v>
      </c>
      <c r="D23" s="445">
        <f t="shared" ca="1" si="4"/>
        <v>15385.337845863398</v>
      </c>
      <c r="E23" s="445">
        <f t="shared" si="5"/>
        <v>18.300977861160135</v>
      </c>
      <c r="F23" s="445">
        <f t="shared" ca="1" si="6"/>
        <v>1375.5767569227585</v>
      </c>
      <c r="G23" s="445">
        <f t="shared" si="7"/>
        <v>0</v>
      </c>
      <c r="H23" s="445">
        <f t="shared" si="8"/>
        <v>0</v>
      </c>
      <c r="I23" s="445">
        <f t="shared" si="9"/>
        <v>0</v>
      </c>
      <c r="J23" s="445">
        <f t="shared" si="10"/>
        <v>1.1949990533469819E-2</v>
      </c>
      <c r="K23" s="445">
        <f t="shared" si="11"/>
        <v>0</v>
      </c>
      <c r="L23" s="445">
        <f t="shared" ca="1" si="12"/>
        <v>0</v>
      </c>
      <c r="M23" s="445">
        <f t="shared" si="13"/>
        <v>0</v>
      </c>
      <c r="N23" s="445">
        <f t="shared" ca="1" si="14"/>
        <v>0</v>
      </c>
      <c r="O23" s="445">
        <f t="shared" si="15"/>
        <v>0</v>
      </c>
      <c r="P23" s="446">
        <f t="shared" si="16"/>
        <v>0</v>
      </c>
      <c r="Q23" s="444">
        <f t="shared" ref="Q23:Q31" ca="1" si="17">SUM(B23:P23)</f>
        <v>22152.387352347891</v>
      </c>
    </row>
    <row r="24" spans="1:17">
      <c r="A24" s="444" t="s">
        <v>187</v>
      </c>
      <c r="B24" s="445">
        <f t="shared" ca="1" si="2"/>
        <v>276.13725759515808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276.13725759515808</v>
      </c>
    </row>
    <row r="25" spans="1:17">
      <c r="A25" s="444" t="s">
        <v>105</v>
      </c>
      <c r="B25" s="445">
        <f t="shared" ca="1" si="2"/>
        <v>284.57108188634334</v>
      </c>
      <c r="C25" s="445">
        <f t="shared" ca="1" si="3"/>
        <v>13552.502521008406</v>
      </c>
      <c r="D25" s="445">
        <f t="shared" si="4"/>
        <v>0</v>
      </c>
      <c r="E25" s="445">
        <f t="shared" si="5"/>
        <v>8.8894310894073403</v>
      </c>
      <c r="F25" s="445">
        <f t="shared" si="6"/>
        <v>1127.1785152011128</v>
      </c>
      <c r="G25" s="445">
        <f t="shared" si="7"/>
        <v>0</v>
      </c>
      <c r="H25" s="445">
        <f t="shared" si="8"/>
        <v>0</v>
      </c>
      <c r="I25" s="445">
        <f t="shared" si="9"/>
        <v>0</v>
      </c>
      <c r="J25" s="445">
        <f t="shared" si="10"/>
        <v>118.5814493264035</v>
      </c>
      <c r="K25" s="445">
        <f t="shared" si="11"/>
        <v>0</v>
      </c>
      <c r="L25" s="445">
        <f t="shared" si="12"/>
        <v>0</v>
      </c>
      <c r="M25" s="445">
        <f t="shared" si="13"/>
        <v>0</v>
      </c>
      <c r="N25" s="445">
        <f t="shared" si="14"/>
        <v>0</v>
      </c>
      <c r="O25" s="445">
        <f t="shared" si="15"/>
        <v>0</v>
      </c>
      <c r="P25" s="446">
        <f t="shared" si="16"/>
        <v>0</v>
      </c>
      <c r="Q25" s="444">
        <f t="shared" ca="1" si="17"/>
        <v>15091.722998511672</v>
      </c>
    </row>
    <row r="26" spans="1:17">
      <c r="A26" s="444" t="s">
        <v>587</v>
      </c>
      <c r="B26" s="445">
        <f t="shared" ca="1" si="2"/>
        <v>8527.6671161718459</v>
      </c>
      <c r="C26" s="445">
        <f t="shared" ca="1" si="3"/>
        <v>0</v>
      </c>
      <c r="D26" s="445">
        <f t="shared" si="4"/>
        <v>1670.0498696760676</v>
      </c>
      <c r="E26" s="445">
        <f t="shared" si="5"/>
        <v>471.99344553296618</v>
      </c>
      <c r="F26" s="445">
        <f t="shared" si="6"/>
        <v>1621.3100875518101</v>
      </c>
      <c r="G26" s="445">
        <f t="shared" si="7"/>
        <v>0</v>
      </c>
      <c r="H26" s="445">
        <f t="shared" si="8"/>
        <v>0</v>
      </c>
      <c r="I26" s="445">
        <f t="shared" si="9"/>
        <v>0</v>
      </c>
      <c r="J26" s="445">
        <f t="shared" si="10"/>
        <v>1.6562386970646212</v>
      </c>
      <c r="K26" s="445">
        <f t="shared" si="11"/>
        <v>0</v>
      </c>
      <c r="L26" s="445">
        <f t="shared" si="12"/>
        <v>0</v>
      </c>
      <c r="M26" s="445">
        <f t="shared" si="13"/>
        <v>0</v>
      </c>
      <c r="N26" s="445">
        <f t="shared" si="14"/>
        <v>0</v>
      </c>
      <c r="O26" s="445">
        <f t="shared" si="15"/>
        <v>0</v>
      </c>
      <c r="P26" s="446">
        <f t="shared" si="16"/>
        <v>0</v>
      </c>
      <c r="Q26" s="444">
        <f t="shared" ca="1" si="17"/>
        <v>12292.676757629755</v>
      </c>
    </row>
    <row r="27" spans="1:17" s="450" customFormat="1">
      <c r="A27" s="448" t="s">
        <v>536</v>
      </c>
      <c r="B27" s="731">
        <f t="shared" ca="1" si="2"/>
        <v>70.08445246648742</v>
      </c>
      <c r="C27" s="449">
        <f t="shared" ca="1" si="3"/>
        <v>0</v>
      </c>
      <c r="D27" s="449">
        <f t="shared" si="4"/>
        <v>101.25909255824284</v>
      </c>
      <c r="E27" s="449">
        <f t="shared" si="5"/>
        <v>72.04526669375349</v>
      </c>
      <c r="F27" s="449">
        <f t="shared" si="6"/>
        <v>0</v>
      </c>
      <c r="G27" s="449">
        <f t="shared" si="7"/>
        <v>50624.704945959711</v>
      </c>
      <c r="H27" s="449">
        <f t="shared" si="8"/>
        <v>8515.1762681288856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59383.270025807084</v>
      </c>
    </row>
    <row r="28" spans="1:17" ht="16.5" customHeight="1">
      <c r="A28" s="444" t="s">
        <v>526</v>
      </c>
      <c r="B28" s="445">
        <f t="shared" ca="1" si="2"/>
        <v>252.96511066412756</v>
      </c>
      <c r="C28" s="445">
        <f t="shared" ca="1" si="3"/>
        <v>0</v>
      </c>
      <c r="D28" s="445">
        <f t="shared" si="4"/>
        <v>0</v>
      </c>
      <c r="E28" s="445">
        <f t="shared" si="5"/>
        <v>0</v>
      </c>
      <c r="F28" s="445">
        <f t="shared" si="6"/>
        <v>0</v>
      </c>
      <c r="G28" s="445">
        <f t="shared" si="7"/>
        <v>258.76000632936262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511.72511699349019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166.60224572753444</v>
      </c>
      <c r="C32" s="445">
        <f t="shared" ca="1" si="3"/>
        <v>0</v>
      </c>
      <c r="D32" s="445">
        <f t="shared" si="4"/>
        <v>1162.8767532627273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1329.4789989902617</v>
      </c>
    </row>
    <row r="33" spans="1:17" s="456" customFormat="1">
      <c r="A33" s="454" t="s">
        <v>530</v>
      </c>
      <c r="B33" s="455">
        <f ca="1">SUM(B22:B32)</f>
        <v>21529.792934770921</v>
      </c>
      <c r="C33" s="455">
        <f t="shared" ref="C33:Q33" ca="1" si="19">SUM(C22:C32)</f>
        <v>13560.14117647059</v>
      </c>
      <c r="D33" s="455">
        <f t="shared" ca="1" si="19"/>
        <v>35449.933969378384</v>
      </c>
      <c r="E33" s="455">
        <f t="shared" si="19"/>
        <v>865.62810742507031</v>
      </c>
      <c r="F33" s="455">
        <f t="shared" ca="1" si="19"/>
        <v>9798.7174486830445</v>
      </c>
      <c r="G33" s="455">
        <f t="shared" si="19"/>
        <v>50883.464952289076</v>
      </c>
      <c r="H33" s="455">
        <f t="shared" si="19"/>
        <v>8515.1762681288856</v>
      </c>
      <c r="I33" s="455">
        <f t="shared" si="19"/>
        <v>0</v>
      </c>
      <c r="J33" s="455">
        <f t="shared" si="19"/>
        <v>161.77666935613215</v>
      </c>
      <c r="K33" s="455">
        <f t="shared" si="19"/>
        <v>0</v>
      </c>
      <c r="L33" s="455">
        <f t="shared" ca="1" si="19"/>
        <v>0</v>
      </c>
      <c r="M33" s="455">
        <f t="shared" si="19"/>
        <v>0</v>
      </c>
      <c r="N33" s="455">
        <f t="shared" ca="1" si="19"/>
        <v>0</v>
      </c>
      <c r="O33" s="455">
        <f t="shared" si="19"/>
        <v>0</v>
      </c>
      <c r="P33" s="455">
        <f t="shared" si="19"/>
        <v>0</v>
      </c>
      <c r="Q33" s="455">
        <f t="shared" ca="1" si="19"/>
        <v>140764.63152650214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6080.0051605035915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39942</v>
      </c>
      <c r="D8" s="972">
        <f>'SEAP template'!D76</f>
        <v>46990.588235294119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9492.0988235294135</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6080.0051605035915</v>
      </c>
      <c r="C10" s="974">
        <f>SUM(C4:C9)</f>
        <v>39942</v>
      </c>
      <c r="D10" s="974">
        <f t="shared" ref="D10:H10" si="0">SUM(D8:D9)</f>
        <v>46990.588235294119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9492.0988235294135</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0.21424553538782506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57060</v>
      </c>
      <c r="D17" s="973">
        <f>'SEAP template'!D87</f>
        <v>67129.411764705888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13560.14117647059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57060</v>
      </c>
      <c r="D20" s="974">
        <f t="shared" ref="D20:H20" si="2">SUM(D17:D19)</f>
        <v>67129.411764705888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13560.14117647059</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0.21424553538782506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2022-07-26T09:39:13Z</dcterms:modified>
</cp:coreProperties>
</file>