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F408E938-7EEB-4C5D-98C2-07D1618615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<sst xmlns="http://schemas.openxmlformats.org/spreadsheetml/2006/main" count="2382" uniqueCount="864">
  <si>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</si>
  <si>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</si>
  <si>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</si>
  <si>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</si>
  <si>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</si>
  <si>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</si>
  <si>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</si>
  <si>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</si>
  <si>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</si>
  <si>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</si>
  <si>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</si>
  <si>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</si>
  <si>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</si>
  <si>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</si>
  <si>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</si>
  <si>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</si>
  <si>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</si>
  <si>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</si>
  <si>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</si>
  <si>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</si>
  <si>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</si>
  <si>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</si>
  <si>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</si>
  <si>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</si>
  <si>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</si>
  <si>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</si>
  <si>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</si>
  <si>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</si>
  <si>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</si>
  <si>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</si>
  <si>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</si>
  <si>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</si>
  <si>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</si>
  <si>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</si>
  <si>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</si>
  <si>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</si>
  <si>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</si>
  <si>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</si>
  <si>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</si>
  <si>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</si>
  <si>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</si>
  <si>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</si>
  <si>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</si>
  <si>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</si>
  <si>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</si>
  <si>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</si>
  <si>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</si>
  <si>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</si>
  <si>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</si>
  <si>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</si>
  <si>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</si>
  <si>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</si>
  <si>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</si>
  <si>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</si>
  <si>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</si>
  <si>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</si>
  <si>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</si>
  <si>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</si>
  <si>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</si>
  <si>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</si>
  <si>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</si>
  <si>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</si>
  <si>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</si>
  <si>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</si>
  <si>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</si>
  <si>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</si>
  <si>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</si>
  <si>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</si>
  <si>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</si>
  <si>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</si>
  <si>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</si>
  <si>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</si>
  <si>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</si>
  <si>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</si>
  <si>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</si>
  <si>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</si>
  <si>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</si>
  <si>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</si>
  <si>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</si>
  <si>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</si>
  <si>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</si>
  <si>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</si>
  <si>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</si>
  <si>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</si>
  <si>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</si>
  <si>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</si>
  <si>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</si>
  <si>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</si>
  <si>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</si>
  <si>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</si>
  <si>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</si>
  <si>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</si>
  <si>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</si>
  <si>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</si>
  <si>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</si>
  <si>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</si>
  <si>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</si>
  <si>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</si>
  <si>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</si>
  <si>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</si>
  <si>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</si>
  <si>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</si>
  <si>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</si>
  <si>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</si>
  <si>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</si>
  <si>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</si>
  <si>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</si>
  <si>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</si>
  <si>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</si>
  <si>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</si>
  <si>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</si>
  <si>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</si>
  <si>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</si>
  <si>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</si>
  <si>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</si>
  <si>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</si>
  <si>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</si>
  <si>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</si>
  <si>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</si>
  <si>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</si>
  <si>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</si>
  <si>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</si>
  <si>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</si>
  <si>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</si>
  <si>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</si>
  <si>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</si>
  <si>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</si>
  <si>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</si>
  <si>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</si>
  <si>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</si>
  <si>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</si>
  <si>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</si>
  <si>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</si>
  <si>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</si>
  <si>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</si>
  <si>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</si>
  <si>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</si>
  <si>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</si>
  <si>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</si>
  <si>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</si>
  <si>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</si>
  <si>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</si>
  <si>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</si>
  <si>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</si>
  <si>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</si>
  <si>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</si>
  <si>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</si>
  <si>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</si>
  <si>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</si>
  <si>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</si>
  <si>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</si>
  <si>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</si>
  <si>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</si>
  <si>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</si>
  <si>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</si>
  <si>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</si>
  <si>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</si>
  <si>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</si>
  <si>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</si>
  <si>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</si>
  <si>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</si>
  <si>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</si>
  <si>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</si>
  <si>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</si>
  <si>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</si>
  <si>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</si>
  <si>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</si>
  <si>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</si>
  <si>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</si>
  <si>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</si>
  <si>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</si>
  <si>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</si>
  <si>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</si>
  <si>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</si>
  <si>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</si>
  <si>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</si>
  <si>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</si>
  <si>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</si>
  <si>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</si>
  <si>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</si>
  <si>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</si>
  <si>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</si>
  <si>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</si>
  <si>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</si>
  <si>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</si>
  <si>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</si>
  <si>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</si>
  <si>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</si>
  <si>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</si>
  <si>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</si>
  <si>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</si>
  <si>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</si>
  <si>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</si>
  <si>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</si>
  <si>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</si>
  <si>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</si>
  <si>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</si>
  <si>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</si>
  <si>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</si>
  <si>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</si>
  <si>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</si>
  <si>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</si>
  <si>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</si>
  <si>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</si>
  <si>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</si>
  <si>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</si>
  <si>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</si>
  <si>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</si>
  <si>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</si>
  <si>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</si>
  <si>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</si>
  <si>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</si>
  <si>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</si>
  <si>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</si>
  <si>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</si>
  <si>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</si>
  <si>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</si>
  <si>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</si>
  <si>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</si>
  <si>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</si>
  <si>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</si>
  <si>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</si>
  <si>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</si>
  <si>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</si>
  <si>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</si>
  <si>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</si>
  <si>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</si>
  <si>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</si>
  <si>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</si>
  <si>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</si>
  <si>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</si>
  <si>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</si>
  <si>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</si>
  <si>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</si>
  <si>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</si>
  <si>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</si>
  <si>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</si>
  <si>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</si>
  <si>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</si>
  <si>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</si>
  <si>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</si>
  <si>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</si>
  <si>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</si>
  <si>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</si>
  <si>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</si>
  <si>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</si>
  <si>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</si>
  <si>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</si>
  <si>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</si>
  <si>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</si>
  <si>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</si>
  <si>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</si>
  <si>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</si>
  <si>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</si>
  <si>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</si>
  <si>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</si>
  <si>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</si>
  <si>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</si>
  <si>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</si>
  <si>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</si>
  <si>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</si>
  <si>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</si>
  <si>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</si>
  <si>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</si>
  <si>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</si>
  <si>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</si>
  <si>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</si>
  <si>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</si>
  <si>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</si>
  <si>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</si>
  <si>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</si>
  <si>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</si>
  <si>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</si>
  <si>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</si>
  <si>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</si>
  <si>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</si>
  <si>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</si>
  <si>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</si>
  <si>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</si>
  <si>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</si>
  <si>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</si>
  <si>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</si>
  <si>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</si>
  <si>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</si>
  <si>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</si>
  <si>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</si>
  <si>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</si>
  <si>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</si>
  <si>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</si>
  <si>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</si>
  <si>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</si>
  <si>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</si>
  <si>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</si>
  <si>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</si>
  <si>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</si>
  <si>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</si>
  <si>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</si>
  <si>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</si>
  <si>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</si>
  <si>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</si>
  <si>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</si>
  <si>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</si>
  <si>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</si>
  <si>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</si>
  <si>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</si>
  <si>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</si>
  <si>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</si>
  <si>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</si>
  <si>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</si>
  <si>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</si>
  <si>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</si>
  <si>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</si>
  <si>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</si>
  <si>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</si>
  <si>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</si>
  <si>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</si>
  <si>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</si>
  <si>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</si>
  <si>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</si>
  <si>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</si>
  <si>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</si>
  <si>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</si>
  <si>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</si>
  <si>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</si>
  <si>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</si>
  <si>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</si>
  <si>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</si>
  <si>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</si>
  <si>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</si>
  <si>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</si>
  <si>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</si>
  <si>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</si>
  <si>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</si>
  <si>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</si>
  <si>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</si>
  <si>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</si>
  <si>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</si>
  <si>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</si>
  <si>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</si>
  <si>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</si>
  <si>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</si>
  <si>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</si>
  <si>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</si>
  <si>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</si>
  <si>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</si>
  <si>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</si>
  <si>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</si>
  <si>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</si>
  <si>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</si>
  <si>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</si>
  <si>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</si>
  <si>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</si>
  <si>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</si>
  <si>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</si>
  <si>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</si>
  <si>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</si>
  <si>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</si>
  <si>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</si>
  <si>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</si>
  <si>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</si>
  <si>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</si>
  <si>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</si>
  <si>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</si>
  <si>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</si>
  <si>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</si>
  <si>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</si>
  <si>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</si>
  <si>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</si>
  <si>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</si>
  <si>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</si>
  <si>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</si>
  <si>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</si>
  <si>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</si>
  <si>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</si>
  <si>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</si>
  <si>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</si>
  <si>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</si>
  <si>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</si>
  <si>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</si>
  <si>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</si>
  <si>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</si>
  <si>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</si>
  <si>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</si>
  <si>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</si>
  <si>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</si>
  <si>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</si>
  <si>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</si>
  <si>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</si>
  <si>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</si>
  <si>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</si>
  <si>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</si>
  <si>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</si>
  <si>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</si>
  <si>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</si>
  <si>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</si>
  <si>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</si>
  <si>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</si>
  <si>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</si>
  <si>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</si>
  <si>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</si>
  <si>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</si>
  <si>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</si>
  <si>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</si>
  <si>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</si>
  <si>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</si>
  <si>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</si>
  <si>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</si>
  <si>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</si>
  <si>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</si>
  <si>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</si>
  <si>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</si>
  <si>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</si>
  <si>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</si>
  <si>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</si>
  <si>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</si>
  <si>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</si>
  <si>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</si>
  <si>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</si>
  <si>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</si>
  <si>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</si>
  <si>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</si>
  <si>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</si>
  <si>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</si>
  <si>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</si>
  <si>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</si>
  <si>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</si>
  <si>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</si>
  <si>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</si>
  <si>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</si>
  <si>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</si>
  <si>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</si>
  <si>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</si>
  <si>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</si>
  <si>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</si>
  <si>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</si>
  <si>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</si>
  <si>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</si>
  <si>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</si>
  <si>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</si>
  <si>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</si>
  <si>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</si>
  <si>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</si>
  <si>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</si>
  <si>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</si>
  <si>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</si>
  <si>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</si>
  <si>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</si>
  <si>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</si>
  <si>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</si>
  <si>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</si>
  <si>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</si>
  <si>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</si>
  <si>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</si>
  <si>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</si>
  <si>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</si>
  <si>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</si>
  <si>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</si>
  <si>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</si>
  <si>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</si>
  <si>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</si>
  <si>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</si>
  <si>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</si>
  <si>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</si>
  <si>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</si>
  <si>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</si>
  <si>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</si>
  <si>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</si>
  <si>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</si>
  <si>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</si>
  <si>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</si>
  <si>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</si>
  <si>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</si>
  <si>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</si>
  <si>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</si>
  <si>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</si>
  <si>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</si>
  <si>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</si>
  <si>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</si>
  <si>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</si>
  <si>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</si>
  <si>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</si>
  <si>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</si>
  <si>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</si>
  <si>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</si>
  <si>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</si>
  <si>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</si>
  <si>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</si>
  <si>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</si>
  <si>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</si>
  <si>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</si>
  <si>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</si>
  <si>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</si>
  <si>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</si>
  <si>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</si>
  <si>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</si>
  <si>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</si>
  <si>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</si>
  <si>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</si>
  <si>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</si>
  <si>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</si>
  <si>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</si>
  <si>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</si>
  <si>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</si>
  <si>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</si>
  <si>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</si>
  <si>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</si>
  <si>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</si>
  <si>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</si>
  <si>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</si>
  <si>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</si>
  <si>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</si>
  <si>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</si>
  <si>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</si>
  <si>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</si>
  <si>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</si>
  <si>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</si>
  <si>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</si>
  <si>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</si>
  <si>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</si>
  <si>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</si>
  <si>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</si>
  <si>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</si>
  <si>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</si>
  <si>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</si>
  <si>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</si>
  <si>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</si>
  <si>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</si>
  <si>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</si>
  <si>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</si>
  <si>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</si>
  <si>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</si>
  <si>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</si>
  <si>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</si>
  <si>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</si>
  <si>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</si>
  <si>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</si>
  <si>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</si>
  <si>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</si>
  <si>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</si>
  <si>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</si>
  <si>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</si>
  <si>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</si>
  <si>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</si>
  <si>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</si>
  <si>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</si>
  <si>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</si>
  <si>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</si>
  <si>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</si>
  <si>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</si>
  <si>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</si>
  <si>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</si>
  <si>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</si>
  <si>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</si>
  <si>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</si>
  <si>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</si>
  <si>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</si>
  <si>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</si>
  <si>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</si>
  <si>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</si>
  <si>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</si>
  <si>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</si>
  <si>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</si>
  <si>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</si>
  <si>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</si>
  <si>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</si>
  <si>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</si>
  <si>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</si>
  <si>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</si>
  <si>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</si>
  <si>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</si>
  <si>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</si>
  <si>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</si>
  <si>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</si>
  <si>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</si>
  <si>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</si>
  <si>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</si>
  <si>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</si>
  <si>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</si>
  <si>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</si>
  <si>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</si>
  <si>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</si>
  <si>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</si>
  <si>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</si>
  <si>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</si>
  <si>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</si>
  <si>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</si>
  <si>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</si>
  <si>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</si>
  <si>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</si>
  <si>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</si>
  <si>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</si>
  <si>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</si>
  <si>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</si>
  <si>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</si>
  <si>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</si>
  <si>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</si>
  <si>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</si>
  <si>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</si>
  <si>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</si>
  <si>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</si>
  <si>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</si>
  <si>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</si>
  <si>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</si>
  <si>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</si>
  <si>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</si>
  <si>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</si>
  <si>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</si>
  <si>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</si>
  <si>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</si>
  <si>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</si>
  <si>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</si>
  <si>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</si>
  <si>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</si>
  <si>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</si>
  <si>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</si>
  <si>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</si>
  <si>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</si>
  <si>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</si>
  <si>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</si>
  <si>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</si>
  <si>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</si>
  <si>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</si>
  <si>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</si>
  <si>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</si>
  <si>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</si>
  <si>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</si>
  <si>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</si>
  <si>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</si>
  <si>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</si>
  <si>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</si>
  <si>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</si>
  <si>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</si>
  <si>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</si>
  <si>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</si>
  <si>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</si>
  <si>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</si>
  <si>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</si>
  <si>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</si>
  <si>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</si>
  <si>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</si>
  <si>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</si>
  <si>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</si>
  <si>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</si>
  <si>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</si>
  <si>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</si>
  <si>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</si>
  <si>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</si>
  <si>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</si>
  <si>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</si>
  <si>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</si>
  <si>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</si>
  <si>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</si>
  <si>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</si>
  <si>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</si>
  <si>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</si>
  <si>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</si>
  <si>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</si>
  <si>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</si>
  <si>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</si>
  <si>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</si>
  <si>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</si>
  <si>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</si>
  <si>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</si>
  <si>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</si>
  <si>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</si>
  <si>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</si>
  <si>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</si>
  <si>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</si>
  <si>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</si>
  <si>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</si>
  <si>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</si>
  <si>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</si>
  <si>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</si>
  <si>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</si>
  <si>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</si>
  <si>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</si>
  <si>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</si>
  <si>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</si>
  <si>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</si>
  <si>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</si>
  <si>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</si>
  <si>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</si>
  <si>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</si>
  <si>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</si>
  <si>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</si>
  <si>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</si>
  <si>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</si>
  <si>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</si>
  <si>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</si>
  <si>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</si>
  <si>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</si>
  <si>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</si>
  <si>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</si>
  <si>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</si>
  <si>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</si>
  <si>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</si>
  <si>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</si>
  <si>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</si>
  <si>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</si>
  <si>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</si>
  <si>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</si>
  <si>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</si>
  <si>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</si>
  <si>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</si>
  <si>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</si>
  <si>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</si>
  <si>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</si>
  <si>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</si>
  <si>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</si>
  <si>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</si>
  <si>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</si>
  <si>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</si>
  <si>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</si>
  <si>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</si>
  <si>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</si>
  <si>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</si>
  <si>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</si>
  <si>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</si>
  <si>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</si>
  <si>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</si>
  <si>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</si>
  <si>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</si>
  <si>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</si>
  <si>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</si>
  <si>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</si>
  <si>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</si>
  <si>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</si>
  <si>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</si>
  <si>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</si>
  <si>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</si>
  <si>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</si>
  <si>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</si>
  <si>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</si>
  <si>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</si>
  <si>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</si>
  <si>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</si>
  <si>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</si>
  <si>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</si>
  <si>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</si>
  <si>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</si>
  <si>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</si>
  <si>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</si>
  <si>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</si>
  <si>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</si>
  <si>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</si>
  <si>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</si>
  <si>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</si>
  <si>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</si>
  <si>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</si>
  <si>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</si>
  <si>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</si>
  <si>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</si>
  <si>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</si>
  <si>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</si>
  <si>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</si>
  <si>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</si>
  <si>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</si>
  <si>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</si>
  <si>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</si>
  <si>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</si>
  <si>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</si>
  <si>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</si>
  <si>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</si>
  <si>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</si>
  <si>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</si>
  <si>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</si>
  <si>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</si>
  <si>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</si>
  <si>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</si>
  <si>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</si>
  <si>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</si>
  <si>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</si>
  <si>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</si>
  <si>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</si>
  <si>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</si>
  <si>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</si>
  <si>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</si>
  <si>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</si>
  <si>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</si>
  <si>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</si>
  <si>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</si>
  <si>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</si>
  <si>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</si>
  <si>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</si>
  <si>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</si>
  <si>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</si>
  <si>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</si>
  <si>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</si>
  <si>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</si>
  <si>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</si>
  <si>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</si>
  <si>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</si>
  <si>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</si>
  <si>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</si>
  <si>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</si>
  <si>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</si>
  <si>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</si>
  <si>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</si>
  <si>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</si>
  <si>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</si>
  <si>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</si>
  <si>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</si>
  <si>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</si>
  <si>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</si>
  <si>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</si>
  <si>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</si>
  <si>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</si>
  <si>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</si>
  <si>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</si>
  <si>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</si>
  <si>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</si>
  <si>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</si>
  <si>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</si>
  <si>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</si>
  <si>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</si>
  <si>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</si>
  <si>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</si>
  <si>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</si>
  <si>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</si>
  <si>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</si>
  <si>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</si>
  <si>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</si>
  <si>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</si>
  <si>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</si>
  <si>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</si>
  <si>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</si>
  <si>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</si>
  <si>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</si>
  <si>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</si>
  <si>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</si>
  <si>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</si>
  <si>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</si>
  <si>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</si>
  <si>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</si>
  <si>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</si>
  <si>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</si>
  <si>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</si>
  <si>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</si>
  <si>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</si>
  <si>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</si>
  <si>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</si>
  <si>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</si>
  <si>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</si>
  <si>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</si>
  <si>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</si>
  <si>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</si>
  <si>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</si>
  <si>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</si>
  <si>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</si>
  <si>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</si>
  <si>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</si>
  <si>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</si>
  <si>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</si>
  <si>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</si>
  <si>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</si>
  <si>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</si>
  <si>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</si>
  <si>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11021</t>
  </si>
  <si>
    <t>HOVE</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</si>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</sst>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79FCB259-619F-41D3-9E1E-4D4A29F855E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71408.099185146013</c:v>
                </c:pt>
                <c:pt idx="1">
                  <c:v>20542.296763943574</c:v>
                </c:pt>
                <c:pt idx="2">
                  <c:v>604.13599999999997</c:v>
                </c:pt>
                <c:pt idx="3">
                  <c:v>1856.5852752960727</c:v>
                </c:pt>
                <c:pt idx="4">
                  <c:v>2319.9785533906334</c:v>
                </c:pt>
                <c:pt idx="5">
                  <c:v>13036.047663874988</c:v>
                </c:pt>
                <c:pt idx="6">
                  <c:v>874.04876299907392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71408.099185146013</c:v>
                </c:pt>
                <c:pt idx="1">
                  <c:v>20542.296763943574</c:v>
                </c:pt>
                <c:pt idx="2">
                  <c:v>604.13599999999997</c:v>
                </c:pt>
                <c:pt idx="3">
                  <c:v>1856.5852752960727</c:v>
                </c:pt>
                <c:pt idx="4">
                  <c:v>2319.9785533906334</c:v>
                </c:pt>
                <c:pt idx="5">
                  <c:v>13036.047663874988</c:v>
                </c:pt>
                <c:pt idx="6">
                  <c:v>874.04876299907392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14042.334912323395</c:v>
                </c:pt>
                <c:pt idx="1">
                  <c:v>4198.6993053375209</c:v>
                </c:pt>
                <c:pt idx="2">
                  <c:v>123.09164225482299</c:v>
                </c:pt>
                <c:pt idx="3">
                  <c:v>459.32602912914092</c:v>
                </c:pt>
                <c:pt idx="4">
                  <c:v>473.65724168830025</c:v>
                </c:pt>
                <c:pt idx="5">
                  <c:v>3223.0553391435237</c:v>
                </c:pt>
                <c:pt idx="6">
                  <c:v>220.59455713769648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14042.334912323395</c:v>
                </c:pt>
                <c:pt idx="1">
                  <c:v>4198.6993053375209</c:v>
                </c:pt>
                <c:pt idx="2">
                  <c:v>123.09164225482299</c:v>
                </c:pt>
                <c:pt idx="3">
                  <c:v>459.32602912914092</c:v>
                </c:pt>
                <c:pt idx="4">
                  <c:v>473.65724168830025</c:v>
                </c:pt>
                <c:pt idx="5">
                  <c:v>3223.0553391435237</c:v>
                </c:pt>
                <c:pt idx="6">
                  <c:v>220.59455713769648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11021</v>
      </c>
      <c r="B6" s="382"/>
      <c r="C6" s="383"/>
    </row>
    <row r="7" spans="1:7" s="380" customFormat="1" ht="15.75" customHeight="1">
      <c r="A7" s="384" t="str">
        <f>txtMunicipality</f>
        <v>HOVE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0.20374823260792768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0.20374823260792768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3256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134.87</v>
      </c>
      <c r="C14" s="324"/>
      <c r="D14" s="324"/>
      <c r="E14" s="324"/>
      <c r="F14" s="324"/>
    </row>
    <row r="15" spans="1:6">
      <c r="A15" s="1264" t="s">
        <v>177</v>
      </c>
      <c r="B15" s="1265">
        <v>11</v>
      </c>
      <c r="C15" s="324"/>
      <c r="D15" s="324"/>
      <c r="E15" s="324"/>
      <c r="F15" s="324"/>
    </row>
    <row r="16" spans="1:6">
      <c r="A16" s="1264" t="s">
        <v>6</v>
      </c>
      <c r="B16" s="1265">
        <v>604</v>
      </c>
      <c r="C16" s="324"/>
      <c r="D16" s="324"/>
      <c r="E16" s="324"/>
      <c r="F16" s="324"/>
    </row>
    <row r="17" spans="1:6">
      <c r="A17" s="1264" t="s">
        <v>7</v>
      </c>
      <c r="B17" s="1265">
        <v>8</v>
      </c>
      <c r="C17" s="324"/>
      <c r="D17" s="324"/>
      <c r="E17" s="324"/>
      <c r="F17" s="324"/>
    </row>
    <row r="18" spans="1:6">
      <c r="A18" s="1264" t="s">
        <v>8</v>
      </c>
      <c r="B18" s="1265">
        <v>256</v>
      </c>
      <c r="C18" s="324"/>
      <c r="D18" s="324"/>
      <c r="E18" s="324"/>
      <c r="F18" s="324"/>
    </row>
    <row r="19" spans="1:6">
      <c r="A19" s="1264" t="s">
        <v>9</v>
      </c>
      <c r="B19" s="1265">
        <v>240</v>
      </c>
      <c r="C19" s="324"/>
      <c r="D19" s="324"/>
      <c r="E19" s="324"/>
      <c r="F19" s="324"/>
    </row>
    <row r="20" spans="1:6">
      <c r="A20" s="1264" t="s">
        <v>10</v>
      </c>
      <c r="B20" s="1265">
        <v>114</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83</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0</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3368.2785461059998</v>
      </c>
    </row>
    <row r="39" spans="1:6">
      <c r="A39" s="1264" t="s">
        <v>29</v>
      </c>
      <c r="B39" s="1264" t="s">
        <v>30</v>
      </c>
      <c r="C39" s="1265">
        <v>2669</v>
      </c>
      <c r="D39" s="1265">
        <v>48941302.7228586</v>
      </c>
      <c r="E39" s="1265">
        <v>3185</v>
      </c>
      <c r="F39" s="1265">
        <v>12035047.5643954</v>
      </c>
    </row>
    <row r="40" spans="1:6">
      <c r="A40" s="1264" t="s">
        <v>29</v>
      </c>
      <c r="B40" s="1264" t="s">
        <v>28</v>
      </c>
      <c r="C40" s="1265">
        <v>0</v>
      </c>
      <c r="D40" s="1265">
        <v>0</v>
      </c>
      <c r="E40" s="1265">
        <v>0</v>
      </c>
      <c r="F40" s="1265">
        <v>0</v>
      </c>
    </row>
    <row r="41" spans="1:6">
      <c r="A41" s="1264" t="s">
        <v>31</v>
      </c>
      <c r="B41" s="1264" t="s">
        <v>32</v>
      </c>
      <c r="C41" s="1265">
        <v>17</v>
      </c>
      <c r="D41" s="1265">
        <v>410837.21140358603</v>
      </c>
      <c r="E41" s="1265">
        <v>35</v>
      </c>
      <c r="F41" s="1265">
        <v>204199.04615761401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4</v>
      </c>
      <c r="F44" s="1265">
        <v>27103.636817062699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3</v>
      </c>
      <c r="D48" s="1265">
        <v>79606.016191153802</v>
      </c>
      <c r="E48" s="1265">
        <v>2</v>
      </c>
      <c r="F48" s="1265">
        <v>37703.436415962002</v>
      </c>
    </row>
    <row r="49" spans="1:6">
      <c r="A49" s="1264" t="s">
        <v>31</v>
      </c>
      <c r="B49" s="1264" t="s">
        <v>39</v>
      </c>
      <c r="C49" s="1265">
        <v>0</v>
      </c>
      <c r="D49" s="1265">
        <v>0</v>
      </c>
      <c r="E49" s="1265">
        <v>0</v>
      </c>
      <c r="F49" s="1265">
        <v>0</v>
      </c>
    </row>
    <row r="50" spans="1:6">
      <c r="A50" s="1264" t="s">
        <v>31</v>
      </c>
      <c r="B50" s="1264" t="s">
        <v>40</v>
      </c>
      <c r="C50" s="1265">
        <v>6</v>
      </c>
      <c r="D50" s="1265">
        <v>948579.935277201</v>
      </c>
      <c r="E50" s="1265">
        <v>7</v>
      </c>
      <c r="F50" s="1265">
        <v>564633.72220357403</v>
      </c>
    </row>
    <row r="51" spans="1:6">
      <c r="A51" s="1264" t="s">
        <v>41</v>
      </c>
      <c r="B51" s="1264" t="s">
        <v>42</v>
      </c>
      <c r="C51" s="1265">
        <v>3</v>
      </c>
      <c r="D51" s="1265">
        <v>52692.338268284999</v>
      </c>
      <c r="E51" s="1265">
        <v>8</v>
      </c>
      <c r="F51" s="1265">
        <v>391622.06042466301</v>
      </c>
    </row>
    <row r="52" spans="1:6">
      <c r="A52" s="1264" t="s">
        <v>41</v>
      </c>
      <c r="B52" s="1264" t="s">
        <v>28</v>
      </c>
      <c r="C52" s="1265">
        <v>0</v>
      </c>
      <c r="D52" s="1265">
        <v>0</v>
      </c>
      <c r="E52" s="1265">
        <v>0</v>
      </c>
      <c r="F52" s="1265">
        <v>0</v>
      </c>
    </row>
    <row r="53" spans="1:6">
      <c r="A53" s="1264" t="s">
        <v>43</v>
      </c>
      <c r="B53" s="1264" t="s">
        <v>44</v>
      </c>
      <c r="C53" s="1265">
        <v>68</v>
      </c>
      <c r="D53" s="1265">
        <v>1205956.6883483301</v>
      </c>
      <c r="E53" s="1265">
        <v>111</v>
      </c>
      <c r="F53" s="1265">
        <v>413469.21941046597</v>
      </c>
    </row>
    <row r="54" spans="1:6">
      <c r="A54" s="1264" t="s">
        <v>45</v>
      </c>
      <c r="B54" s="1264" t="s">
        <v>46</v>
      </c>
      <c r="C54" s="1265">
        <v>0</v>
      </c>
      <c r="D54" s="1265">
        <v>0</v>
      </c>
      <c r="E54" s="1265">
        <v>1</v>
      </c>
      <c r="F54" s="1265">
        <v>604136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21</v>
      </c>
      <c r="D57" s="1265">
        <v>506941.26591334899</v>
      </c>
      <c r="E57" s="1265">
        <v>25</v>
      </c>
      <c r="F57" s="1265">
        <v>1234385.44409807</v>
      </c>
    </row>
    <row r="58" spans="1:6">
      <c r="A58" s="1264" t="s">
        <v>48</v>
      </c>
      <c r="B58" s="1264" t="s">
        <v>50</v>
      </c>
      <c r="C58" s="1265">
        <v>41</v>
      </c>
      <c r="D58" s="1265">
        <v>3053597.8179025701</v>
      </c>
      <c r="E58" s="1265">
        <v>50</v>
      </c>
      <c r="F58" s="1265">
        <v>890172.55231623596</v>
      </c>
    </row>
    <row r="59" spans="1:6">
      <c r="A59" s="1264" t="s">
        <v>48</v>
      </c>
      <c r="B59" s="1264" t="s">
        <v>51</v>
      </c>
      <c r="C59" s="1265">
        <v>64</v>
      </c>
      <c r="D59" s="1265">
        <v>1819076.4643697001</v>
      </c>
      <c r="E59" s="1265">
        <v>82</v>
      </c>
      <c r="F59" s="1265">
        <v>1482953.94370364</v>
      </c>
    </row>
    <row r="60" spans="1:6">
      <c r="A60" s="1264" t="s">
        <v>48</v>
      </c>
      <c r="B60" s="1264" t="s">
        <v>52</v>
      </c>
      <c r="C60" s="1265">
        <v>16</v>
      </c>
      <c r="D60" s="1265">
        <v>954992.82095382595</v>
      </c>
      <c r="E60" s="1265">
        <v>17</v>
      </c>
      <c r="F60" s="1265">
        <v>644882.60005376698</v>
      </c>
    </row>
    <row r="61" spans="1:6">
      <c r="A61" s="1264" t="s">
        <v>48</v>
      </c>
      <c r="B61" s="1264" t="s">
        <v>53</v>
      </c>
      <c r="C61" s="1265">
        <v>161</v>
      </c>
      <c r="D61" s="1265">
        <v>5545269.5432285704</v>
      </c>
      <c r="E61" s="1265">
        <v>260</v>
      </c>
      <c r="F61" s="1265">
        <v>2698862.20551136</v>
      </c>
    </row>
    <row r="62" spans="1:6">
      <c r="A62" s="1264" t="s">
        <v>48</v>
      </c>
      <c r="B62" s="1264" t="s">
        <v>54</v>
      </c>
      <c r="C62" s="1265">
        <v>5</v>
      </c>
      <c r="D62" s="1265">
        <v>490024.97231802897</v>
      </c>
      <c r="E62" s="1265">
        <v>7</v>
      </c>
      <c r="F62" s="1265">
        <v>276888.38017285703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80933.362372762305</v>
      </c>
      <c r="E65" s="1265">
        <v>4</v>
      </c>
      <c r="F65" s="1265">
        <v>20675.250624437202</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13959550</v>
      </c>
      <c r="E73" s="443"/>
      <c r="F73" s="324"/>
    </row>
    <row r="74" spans="1:6">
      <c r="A74" s="1264" t="s">
        <v>63</v>
      </c>
      <c r="B74" s="1264" t="s">
        <v>608</v>
      </c>
      <c r="C74" s="1277" t="s">
        <v>610</v>
      </c>
      <c r="D74" s="1265">
        <v>428636.87966182653</v>
      </c>
      <c r="E74" s="443"/>
      <c r="F74" s="324"/>
    </row>
    <row r="75" spans="1:6">
      <c r="A75" s="1264" t="s">
        <v>64</v>
      </c>
      <c r="B75" s="1264" t="s">
        <v>607</v>
      </c>
      <c r="C75" s="1277" t="s">
        <v>611</v>
      </c>
      <c r="D75" s="1265">
        <v>3521713</v>
      </c>
      <c r="E75" s="443"/>
      <c r="F75" s="324"/>
    </row>
    <row r="76" spans="1:6">
      <c r="A76" s="1264" t="s">
        <v>64</v>
      </c>
      <c r="B76" s="1264" t="s">
        <v>608</v>
      </c>
      <c r="C76" s="1277" t="s">
        <v>612</v>
      </c>
      <c r="D76" s="1265">
        <v>5427.6</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242070.24067634699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1733.1233162735359</v>
      </c>
      <c r="C91" s="324"/>
      <c r="D91" s="324"/>
      <c r="E91" s="324"/>
      <c r="F91" s="324"/>
    </row>
    <row r="92" spans="1:6">
      <c r="A92" s="1259" t="s">
        <v>68</v>
      </c>
      <c r="B92" s="1260">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2061</v>
      </c>
      <c r="C97" s="324"/>
      <c r="D97" s="324"/>
      <c r="E97" s="324"/>
      <c r="F97" s="324"/>
    </row>
    <row r="98" spans="1:6">
      <c r="A98" s="1264" t="s">
        <v>71</v>
      </c>
      <c r="B98" s="1265">
        <v>1</v>
      </c>
      <c r="C98" s="324"/>
      <c r="D98" s="324"/>
      <c r="E98" s="324"/>
      <c r="F98" s="324"/>
    </row>
    <row r="99" spans="1:6">
      <c r="A99" s="1264" t="s">
        <v>72</v>
      </c>
      <c r="B99" s="1265">
        <v>4</v>
      </c>
      <c r="C99" s="324"/>
      <c r="D99" s="324"/>
      <c r="E99" s="324"/>
      <c r="F99" s="324"/>
    </row>
    <row r="100" spans="1:6">
      <c r="A100" s="1264" t="s">
        <v>73</v>
      </c>
      <c r="B100" s="1265">
        <v>226</v>
      </c>
      <c r="C100" s="324"/>
      <c r="D100" s="324"/>
      <c r="E100" s="324"/>
      <c r="F100" s="324"/>
    </row>
    <row r="101" spans="1:6">
      <c r="A101" s="1264" t="s">
        <v>74</v>
      </c>
      <c r="B101" s="1265">
        <v>12</v>
      </c>
      <c r="C101" s="324"/>
      <c r="D101" s="324"/>
      <c r="E101" s="324"/>
      <c r="F101" s="324"/>
    </row>
    <row r="102" spans="1:6">
      <c r="A102" s="1264" t="s">
        <v>75</v>
      </c>
      <c r="B102" s="1265">
        <v>31</v>
      </c>
      <c r="C102" s="324"/>
      <c r="D102" s="324"/>
      <c r="E102" s="324"/>
      <c r="F102" s="324"/>
    </row>
    <row r="103" spans="1:6">
      <c r="A103" s="1264" t="s">
        <v>76</v>
      </c>
      <c r="B103" s="1265">
        <v>25</v>
      </c>
      <c r="C103" s="324"/>
      <c r="D103" s="324"/>
      <c r="E103" s="324"/>
      <c r="F103" s="324"/>
    </row>
    <row r="104" spans="1:6">
      <c r="A104" s="1264" t="s">
        <v>77</v>
      </c>
      <c r="B104" s="1265">
        <v>568</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73</v>
      </c>
      <c r="C123" s="1265">
        <v>7</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64</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23320.135482543425</v>
      </c>
      <c r="C3" s="43" t="s">
        <v>163</v>
      </c>
      <c r="D3" s="43"/>
      <c r="E3" s="153"/>
      <c r="F3" s="43"/>
      <c r="G3" s="43"/>
      <c r="H3" s="43"/>
      <c r="I3" s="43"/>
      <c r="J3" s="43"/>
      <c r="K3" s="96"/>
    </row>
    <row r="4" spans="1:11">
      <c r="A4" s="350" t="s">
        <v>164</v>
      </c>
      <c r="B4" s="49">
        <f>IF(ISERROR('SEAP template'!B78+'SEAP template'!C78),0,'SEAP template'!B78+'SEAP template'!C78)</f>
        <v>1820.4233162735359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0.20374823260792768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124.71428571428569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604.13599999999997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604.13599999999997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0.20374823260792768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123.09164225482299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12035.0475643954</v>
      </c>
      <c r="C5" s="17">
        <f>IF(ISERROR('Eigen informatie GS &amp; warmtenet'!B59),0,'Eigen informatie GS &amp; warmtenet'!B59)</f>
        <v>0</v>
      </c>
      <c r="D5" s="30">
        <f>(SUM(HH_hh_gas_kWh,HH_rest_gas_kWh)/1000)*0.903</f>
        <v>44193.996358741315</v>
      </c>
      <c r="E5" s="17">
        <f>B32*B41</f>
        <v>498.41227972877562</v>
      </c>
      <c r="F5" s="17">
        <f>B36*B45</f>
        <v>8167.8219058735449</v>
      </c>
      <c r="G5" s="18"/>
      <c r="H5" s="17"/>
      <c r="I5" s="17"/>
      <c r="J5" s="17">
        <f>B35*B44+C35*C44</f>
        <v>45.082283363700718</v>
      </c>
      <c r="K5" s="17"/>
      <c r="L5" s="17"/>
      <c r="M5" s="17"/>
      <c r="N5" s="17">
        <f>B34*B43+C34*C43</f>
        <v>3719.4358206553875</v>
      </c>
      <c r="O5" s="17">
        <f>B52*B53*B54</f>
        <v>140.86103357647926</v>
      </c>
      <c r="P5" s="17">
        <f>B60*B61*B62/1000-B60*B61*B62/1000/B63</f>
        <v>874.31862253785675</v>
      </c>
    </row>
    <row r="6" spans="1:16">
      <c r="A6" s="16" t="s">
        <v>573</v>
      </c>
      <c r="B6" s="739">
        <f>kWh_PV_kleiner_dan_10kW</f>
        <v>1733.1233162735359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13768.170880668935</v>
      </c>
      <c r="C8" s="21">
        <f>C5</f>
        <v>0</v>
      </c>
      <c r="D8" s="21">
        <f>D5</f>
        <v>44193.996358741315</v>
      </c>
      <c r="E8" s="21">
        <f>E5</f>
        <v>498.41227972877562</v>
      </c>
      <c r="F8" s="21">
        <f>F5</f>
        <v>8167.8219058735449</v>
      </c>
      <c r="G8" s="21"/>
      <c r="H8" s="21"/>
      <c r="I8" s="21"/>
      <c r="J8" s="21">
        <f>J5</f>
        <v>45.082283363700718</v>
      </c>
      <c r="K8" s="21"/>
      <c r="L8" s="21">
        <f>L5</f>
        <v>0</v>
      </c>
      <c r="M8" s="21">
        <f>M5</f>
        <v>0</v>
      </c>
      <c r="N8" s="21">
        <f>N5</f>
        <v>3719.4358206553875</v>
      </c>
      <c r="O8" s="21">
        <f>O5</f>
        <v>140.86103357647926</v>
      </c>
      <c r="P8" s="21">
        <f>P5</f>
        <v>874.31862253785675</v>
      </c>
    </row>
    <row r="9" spans="1:16">
      <c r="B9" s="19"/>
      <c r="C9" s="19"/>
      <c r="D9" s="253"/>
      <c r="E9" s="19"/>
      <c r="F9" s="19"/>
      <c r="G9" s="19"/>
      <c r="H9" s="19"/>
      <c r="I9" s="19"/>
      <c r="J9" s="19"/>
      <c r="K9" s="19"/>
      <c r="L9" s="19"/>
      <c r="M9" s="19"/>
      <c r="N9" s="19"/>
      <c r="O9" s="19"/>
      <c r="P9" s="19"/>
    </row>
    <row r="10" spans="1:16">
      <c r="A10" s="24" t="s">
        <v>207</v>
      </c>
      <c r="B10" s="25">
        <f ca="1">'EF ele_warmte'!B12</f>
        <v>0.20374823260792768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2805.2404831802305</v>
      </c>
      <c r="C12" s="23">
        <f ca="1">C10*C8</f>
        <v>0</v>
      </c>
      <c r="D12" s="23">
        <f>D8*D10</f>
        <v>8927.1872644657469</v>
      </c>
      <c r="E12" s="23">
        <f>E10*E8</f>
        <v>113.13958749843206</v>
      </c>
      <c r="F12" s="23">
        <f>F10*F8</f>
        <v>2180.8084488682366</v>
      </c>
      <c r="G12" s="23"/>
      <c r="H12" s="23"/>
      <c r="I12" s="23"/>
      <c r="J12" s="23">
        <f>J10*J8</f>
        <v>15.959128310750053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3256</v>
      </c>
      <c r="C26" s="36"/>
      <c r="D26" s="224"/>
    </row>
    <row r="27" spans="1:5" s="15" customFormat="1">
      <c r="A27" s="226" t="s">
        <v>784</v>
      </c>
      <c r="B27" s="37">
        <f>SUM(HH_hh_gas_aantal,HH_rest_gas_aantal)</f>
        <v>2669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2535.5500000000002</v>
      </c>
      <c r="C31" s="34" t="s">
        <v>104</v>
      </c>
      <c r="D31" s="170"/>
    </row>
    <row r="32" spans="1:5">
      <c r="A32" s="167" t="s">
        <v>72</v>
      </c>
      <c r="B32" s="33">
        <f>IF((B21*($B$26-($B$27-0.05*$B$27)-$B$60))&lt;0,0,B21*($B$26-($B$27-0.05*$B$27)-$B$60))</f>
        <v>9.8326421452782053</v>
      </c>
      <c r="C32" s="34" t="s">
        <v>104</v>
      </c>
      <c r="D32" s="170"/>
    </row>
    <row r="33" spans="1:6">
      <c r="A33" s="167" t="s">
        <v>73</v>
      </c>
      <c r="B33" s="33">
        <f>IF((B22*($B$26-($B$27-0.05*$B$27)-$B$60))&lt;0,0,B22*($B$26-($B$27-0.05*$B$27)-$B$60))</f>
        <v>159.66263467780752</v>
      </c>
      <c r="C33" s="34" t="s">
        <v>104</v>
      </c>
      <c r="D33" s="170"/>
    </row>
    <row r="34" spans="1:6">
      <c r="A34" s="167" t="s">
        <v>74</v>
      </c>
      <c r="B34" s="33">
        <f>IF((B24*($B$26-($B$27-0.05*$B$27)-$B$60))&lt;0,0,B24*($B$26-($B$27-0.05*$B$27)-$B$60))</f>
        <v>69.813967327827044</v>
      </c>
      <c r="C34" s="33">
        <f>B26*C24</f>
        <v>547.00777798178763</v>
      </c>
      <c r="D34" s="229"/>
    </row>
    <row r="35" spans="1:6">
      <c r="A35" s="167" t="s">
        <v>76</v>
      </c>
      <c r="B35" s="33">
        <f>IF((B19*($B$26-($B$27-0.05*$B$27)-$B$60))&lt;0,0,B19*($B$26-($B$27-0.05*$B$27)-$B$60))</f>
        <v>4.2742260988919307</v>
      </c>
      <c r="C35" s="33">
        <f>B35/2</f>
        <v>2.1371130494459654</v>
      </c>
      <c r="D35" s="229"/>
    </row>
    <row r="36" spans="1:6">
      <c r="A36" s="167" t="s">
        <v>77</v>
      </c>
      <c r="B36" s="33">
        <f>IF((B18*($B$26-($B$27-0.05*$B$27)-$B$60))&lt;0,0,B18*($B$26-($B$27-0.05*$B$27)-$B$60))</f>
        <v>393.86652975019496</v>
      </c>
      <c r="C36" s="34" t="s">
        <v>104</v>
      </c>
      <c r="D36" s="170"/>
    </row>
    <row r="37" spans="1:6">
      <c r="A37" s="167" t="s">
        <v>78</v>
      </c>
      <c r="B37" s="33">
        <f>B60</f>
        <v>83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71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7228.1451258559309</v>
      </c>
      <c r="C5" s="17">
        <f>IF(ISERROR('Eigen informatie GS &amp; warmtenet'!B60),0,'Eigen informatie GS &amp; warmtenet'!B60)</f>
        <v>0</v>
      </c>
      <c r="D5" s="30">
        <f>SUM(D6:D12)</f>
        <v>11170.022304871498</v>
      </c>
      <c r="E5" s="17">
        <f>SUM(E6:E12)</f>
        <v>23.613913438124229</v>
      </c>
      <c r="F5" s="17">
        <f>SUM(F6:F12)</f>
        <v>1705.5233002309178</v>
      </c>
      <c r="G5" s="18"/>
      <c r="H5" s="17"/>
      <c r="I5" s="17"/>
      <c r="J5" s="17">
        <f>SUM(J6:J12)</f>
        <v>1.219056858874676E-2</v>
      </c>
      <c r="K5" s="17"/>
      <c r="L5" s="17"/>
      <c r="M5" s="17"/>
      <c r="N5" s="17">
        <f>SUM(N6:N12)</f>
        <v>428.78981106981774</v>
      </c>
      <c r="O5" s="17">
        <f>B38*B39*B40</f>
        <v>4.8972607658411542</v>
      </c>
      <c r="P5" s="17">
        <f>B46*B47*B48/1000-B46*B47*B48/1000/B49</f>
        <v>0</v>
      </c>
      <c r="R5" s="32"/>
    </row>
    <row r="6" spans="1:18">
      <c r="A6" s="32" t="s">
        <v>53</v>
      </c>
      <c r="B6" s="37">
        <f>B26</f>
        <v>2698.8622055113601</v>
      </c>
      <c r="C6" s="33"/>
      <c r="D6" s="37">
        <f>IF(ISERROR(TER_kantoor_gas_kWh/1000),0,TER_kantoor_gas_kWh/1000)*0.903</f>
        <v>5007.378397535399</v>
      </c>
      <c r="E6" s="33">
        <f>$C$26*'E Balans VL '!I12/100/3.6*1000000</f>
        <v>0.65638238969826501</v>
      </c>
      <c r="F6" s="33">
        <f>$C$26*('E Balans VL '!L12+'E Balans VL '!N12)/100/3.6*1000000</f>
        <v>258.43314574401796</v>
      </c>
      <c r="G6" s="34"/>
      <c r="H6" s="33"/>
      <c r="I6" s="33"/>
      <c r="J6" s="33">
        <f>$C$26*('E Balans VL '!D12+'E Balans VL '!E12)/100/3.6*1000000</f>
        <v>0</v>
      </c>
      <c r="K6" s="33"/>
      <c r="L6" s="33"/>
      <c r="M6" s="33"/>
      <c r="N6" s="33">
        <f>$C$26*'E Balans VL '!Y12/100/3.6*1000000</f>
        <v>1.3701422115554356</v>
      </c>
      <c r="O6" s="33"/>
      <c r="P6" s="33"/>
      <c r="R6" s="32"/>
    </row>
    <row r="7" spans="1:18">
      <c r="A7" s="32" t="s">
        <v>52</v>
      </c>
      <c r="B7" s="37">
        <f t="shared" ref="B7:B12" si="0">B27</f>
        <v>644.88260005376696</v>
      </c>
      <c r="C7" s="33"/>
      <c r="D7" s="37">
        <f>IF(ISERROR(TER_horeca_gas_kWh/1000),0,TER_horeca_gas_kWh/1000)*0.903</f>
        <v>862.35851732130482</v>
      </c>
      <c r="E7" s="33">
        <f>$C$27*'E Balans VL '!I9/100/3.6*1000000</f>
        <v>0</v>
      </c>
      <c r="F7" s="33">
        <f>$C$27*('E Balans VL '!L9+'E Balans VL '!N9)/100/3.6*1000000</f>
        <v>52.892683398474766</v>
      </c>
      <c r="G7" s="34"/>
      <c r="H7" s="33"/>
      <c r="I7" s="33"/>
      <c r="J7" s="33">
        <f>$C$27*('E Balans VL '!D9+'E Balans VL '!E9)/100/3.6*1000000</f>
        <v>0</v>
      </c>
      <c r="K7" s="33"/>
      <c r="L7" s="33"/>
      <c r="M7" s="33"/>
      <c r="N7" s="33">
        <f>$C$27*'E Balans VL '!Y9/100/3.6*1000000</f>
        <v>4.2354611360279835</v>
      </c>
      <c r="O7" s="33"/>
      <c r="P7" s="33"/>
      <c r="R7" s="32"/>
    </row>
    <row r="8" spans="1:18">
      <c r="A8" s="6" t="s">
        <v>51</v>
      </c>
      <c r="B8" s="37">
        <f t="shared" si="0"/>
        <v>1482.9539437036401</v>
      </c>
      <c r="C8" s="33"/>
      <c r="D8" s="37">
        <f>IF(ISERROR(TER_handel_gas_kWh/1000),0,TER_handel_gas_kWh/1000)*0.903</f>
        <v>1642.6260473258392</v>
      </c>
      <c r="E8" s="33">
        <f>$C$28*'E Balans VL '!I13/100/3.6*1000000</f>
        <v>5.2423190158451831</v>
      </c>
      <c r="F8" s="33">
        <f>$C$28*('E Balans VL '!L13+'E Balans VL '!N13)/100/3.6*1000000</f>
        <v>136.54833553948237</v>
      </c>
      <c r="G8" s="34"/>
      <c r="H8" s="33"/>
      <c r="I8" s="33"/>
      <c r="J8" s="33">
        <f>$C$28*('E Balans VL '!D13+'E Balans VL '!E13)/100/3.6*1000000</f>
        <v>0</v>
      </c>
      <c r="K8" s="33"/>
      <c r="L8" s="33"/>
      <c r="M8" s="33"/>
      <c r="N8" s="33">
        <f>$C$28*'E Balans VL '!Y13/100/3.6*1000000</f>
        <v>0.53706207485286017</v>
      </c>
      <c r="O8" s="33"/>
      <c r="P8" s="33"/>
      <c r="R8" s="32"/>
    </row>
    <row r="9" spans="1:18">
      <c r="A9" s="32" t="s">
        <v>50</v>
      </c>
      <c r="B9" s="37">
        <f t="shared" si="0"/>
        <v>890.17255231623597</v>
      </c>
      <c r="C9" s="33"/>
      <c r="D9" s="37">
        <f>IF(ISERROR(TER_gezond_gas_kWh/1000),0,TER_gezond_gas_kWh/1000)*0.903</f>
        <v>2757.398829566021</v>
      </c>
      <c r="E9" s="33">
        <f>$C$29*'E Balans VL '!I10/100/3.6*1000000</f>
        <v>0</v>
      </c>
      <c r="F9" s="33">
        <f>$C$29*('E Balans VL '!L10+'E Balans VL '!N10)/100/3.6*1000000</f>
        <v>109.35406379757352</v>
      </c>
      <c r="G9" s="34"/>
      <c r="H9" s="33"/>
      <c r="I9" s="33"/>
      <c r="J9" s="33">
        <f>$C$29*('E Balans VL '!D10+'E Balans VL '!E10)/100/3.6*1000000</f>
        <v>0</v>
      </c>
      <c r="K9" s="33"/>
      <c r="L9" s="33"/>
      <c r="M9" s="33"/>
      <c r="N9" s="33">
        <f>$C$29*'E Balans VL '!Y10/100/3.6*1000000</f>
        <v>6.5644022522848831</v>
      </c>
      <c r="O9" s="33"/>
      <c r="P9" s="33"/>
      <c r="R9" s="32"/>
    </row>
    <row r="10" spans="1:18">
      <c r="A10" s="32" t="s">
        <v>49</v>
      </c>
      <c r="B10" s="37">
        <f t="shared" si="0"/>
        <v>1234.3854440980701</v>
      </c>
      <c r="C10" s="33"/>
      <c r="D10" s="37">
        <f>IF(ISERROR(TER_ander_gas_kWh/1000),0,TER_ander_gas_kWh/1000)*0.903</f>
        <v>457.7679631197542</v>
      </c>
      <c r="E10" s="33">
        <f>$C$30*'E Balans VL '!I14/100/3.6*1000000</f>
        <v>17.71521203258078</v>
      </c>
      <c r="F10" s="33">
        <f>$C$30*('E Balans VL '!L14+'E Balans VL '!N14)/100/3.6*1000000</f>
        <v>1115.9235228080349</v>
      </c>
      <c r="G10" s="34"/>
      <c r="H10" s="33"/>
      <c r="I10" s="33"/>
      <c r="J10" s="33">
        <f>$C$30*('E Balans VL '!D14+'E Balans VL '!E14)/100/3.6*1000000</f>
        <v>1.219056858874676E-2</v>
      </c>
      <c r="K10" s="33"/>
      <c r="L10" s="33"/>
      <c r="M10" s="33"/>
      <c r="N10" s="33">
        <f>$C$30*'E Balans VL '!Y14/100/3.6*1000000</f>
        <v>415.30305751195959</v>
      </c>
      <c r="O10" s="33"/>
      <c r="P10" s="33"/>
      <c r="R10" s="32"/>
    </row>
    <row r="11" spans="1:18">
      <c r="A11" s="32" t="s">
        <v>54</v>
      </c>
      <c r="B11" s="37">
        <f t="shared" si="0"/>
        <v>276.88838017285701</v>
      </c>
      <c r="C11" s="33"/>
      <c r="D11" s="37">
        <f>IF(ISERROR(TER_onderwijs_gas_kWh/1000),0,TER_onderwijs_gas_kWh/1000)*0.903</f>
        <v>442.49255000318016</v>
      </c>
      <c r="E11" s="33">
        <f>$C$31*'E Balans VL '!I11/100/3.6*1000000</f>
        <v>0</v>
      </c>
      <c r="F11" s="33">
        <f>$C$31*('E Balans VL '!L11+'E Balans VL '!N11)/100/3.6*1000000</f>
        <v>32.371548943334382</v>
      </c>
      <c r="G11" s="34"/>
      <c r="H11" s="33"/>
      <c r="I11" s="33"/>
      <c r="J11" s="33">
        <f>$C$31*('E Balans VL '!D11+'E Balans VL '!E11)/100/3.6*1000000</f>
        <v>0</v>
      </c>
      <c r="K11" s="33"/>
      <c r="L11" s="33"/>
      <c r="M11" s="33"/>
      <c r="N11" s="33">
        <f>$C$31*'E Balans VL '!Y11/100/3.6*1000000</f>
        <v>0.77968588313701659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43.649999999999991</v>
      </c>
      <c r="C13" s="242">
        <f ca="1">'lokale energieproductie'!O39+'lokale energieproductie'!O32</f>
        <v>62.357142857142847</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-124.71428571428569</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7271.7951258559306</v>
      </c>
      <c r="C16" s="21">
        <f t="shared" ca="1" si="1"/>
        <v>62.357142857142847</v>
      </c>
      <c r="D16" s="21">
        <f t="shared" ca="1" si="1"/>
        <v>11170.022304871498</v>
      </c>
      <c r="E16" s="21">
        <f t="shared" si="1"/>
        <v>23.613913438124229</v>
      </c>
      <c r="F16" s="21">
        <f t="shared" ca="1" si="1"/>
        <v>1705.5233002309178</v>
      </c>
      <c r="G16" s="21">
        <f t="shared" si="1"/>
        <v>0</v>
      </c>
      <c r="H16" s="21">
        <f t="shared" si="1"/>
        <v>0</v>
      </c>
      <c r="I16" s="21">
        <f t="shared" si="1"/>
        <v>0</v>
      </c>
      <c r="J16" s="21">
        <f t="shared" si="1"/>
        <v>1.219056858874676E-2</v>
      </c>
      <c r="K16" s="21">
        <f t="shared" si="1"/>
        <v>0</v>
      </c>
      <c r="L16" s="21">
        <f t="shared" ca="1" si="1"/>
        <v>0</v>
      </c>
      <c r="M16" s="21">
        <f t="shared" si="1"/>
        <v>0</v>
      </c>
      <c r="N16" s="21">
        <f t="shared" ca="1" si="1"/>
        <v>304.07552535553202</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0.20374823260792768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1481.615404780089</v>
      </c>
      <c r="C20" s="23">
        <f t="shared" ref="C20:P20" ca="1" si="2">C16*C18</f>
        <v>0</v>
      </c>
      <c r="D20" s="23">
        <f t="shared" ca="1" si="2"/>
        <v>2256.3445055840425</v>
      </c>
      <c r="E20" s="23">
        <f t="shared" si="2"/>
        <v>5.3603583504542005</v>
      </c>
      <c r="F20" s="23">
        <f t="shared" ca="1" si="2"/>
        <v>455.37472116165509</v>
      </c>
      <c r="G20" s="23">
        <f t="shared" si="2"/>
        <v>0</v>
      </c>
      <c r="H20" s="23">
        <f t="shared" si="2"/>
        <v>0</v>
      </c>
      <c r="I20" s="23">
        <f t="shared" si="2"/>
        <v>0</v>
      </c>
      <c r="J20" s="23">
        <f t="shared" si="2"/>
        <v>4.3154612804163529E-3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2698.8622055113601</v>
      </c>
      <c r="C26" s="39">
        <f>IF(ISERROR(B26*3.6/1000000/'E Balans VL '!Z12*100),0,B26*3.6/1000000/'E Balans VL '!Z12*100)</f>
        <v>7.6073963607669035E-2</v>
      </c>
      <c r="D26" s="232" t="s">
        <v>660</v>
      </c>
      <c r="F26" s="6"/>
    </row>
    <row r="27" spans="1:18">
      <c r="A27" s="227" t="s">
        <v>52</v>
      </c>
      <c r="B27" s="33">
        <f>IF(ISERROR(TER_horeca_ele_kWh/1000),0,TER_horeca_ele_kWh/1000)</f>
        <v>644.88260005376696</v>
      </c>
      <c r="C27" s="39">
        <f>IF(ISERROR(B27*3.6/1000000/'E Balans VL '!Z9*100),0,B27*3.6/1000000/'E Balans VL '!Z9*100)</f>
        <v>4.7810122619393707E-2</v>
      </c>
      <c r="D27" s="232" t="s">
        <v>660</v>
      </c>
      <c r="F27" s="6"/>
    </row>
    <row r="28" spans="1:18">
      <c r="A28" s="167" t="s">
        <v>51</v>
      </c>
      <c r="B28" s="33">
        <f>IF(ISERROR(TER_handel_ele_kWh/1000),0,TER_handel_ele_kWh/1000)</f>
        <v>1482.9539437036401</v>
      </c>
      <c r="C28" s="39">
        <f>IF(ISERROR(B28*3.6/1000000/'E Balans VL '!Z13*100),0,B28*3.6/1000000/'E Balans VL '!Z13*100)</f>
        <v>4.4425774298719301E-2</v>
      </c>
      <c r="D28" s="232" t="s">
        <v>660</v>
      </c>
      <c r="F28" s="6"/>
    </row>
    <row r="29" spans="1:18">
      <c r="A29" s="227" t="s">
        <v>50</v>
      </c>
      <c r="B29" s="33">
        <f>IF(ISERROR(TER_gezond_ele_kWh/1000),0,TER_gezond_ele_kWh/1000)</f>
        <v>890.17255231623597</v>
      </c>
      <c r="C29" s="39">
        <f>IF(ISERROR(B29*3.6/1000000/'E Balans VL '!Z10*100),0,B29*3.6/1000000/'E Balans VL '!Z10*100)</f>
        <v>8.8020610874480557E-2</v>
      </c>
      <c r="D29" s="232" t="s">
        <v>660</v>
      </c>
      <c r="F29" s="6"/>
    </row>
    <row r="30" spans="1:18">
      <c r="A30" s="227" t="s">
        <v>49</v>
      </c>
      <c r="B30" s="33">
        <f>IF(ISERROR(TER_ander_ele_kWh/1000),0,TER_ander_ele_kWh/1000)</f>
        <v>1234.3854440980701</v>
      </c>
      <c r="C30" s="39">
        <f>IF(ISERROR(B30*3.6/1000000/'E Balans VL '!Z14*100),0,B30*3.6/1000000/'E Balans VL '!Z14*100)</f>
        <v>4.9927243366880925E-2</v>
      </c>
      <c r="D30" s="232" t="s">
        <v>660</v>
      </c>
      <c r="F30" s="6"/>
    </row>
    <row r="31" spans="1:18">
      <c r="A31" s="227" t="s">
        <v>54</v>
      </c>
      <c r="B31" s="33">
        <f>IF(ISERROR(TER_onderwijs_ele_kWh/1000),0,TER_onderwijs_ele_kWh/1000)</f>
        <v>276.88838017285701</v>
      </c>
      <c r="C31" s="39">
        <f>IF(ISERROR(B31*3.6/1000000/'E Balans VL '!Z11*100),0,B31*3.6/1000000/'E Balans VL '!Z11*100)</f>
        <v>7.6073347646013964E-2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833.63984159421273</v>
      </c>
      <c r="C5" s="17">
        <f>IF(ISERROR('Eigen informatie GS &amp; warmtenet'!B61),0,'Eigen informatie GS &amp; warmtenet'!B61)</f>
        <v>0</v>
      </c>
      <c r="D5" s="30">
        <f>SUM(D6:D15)</f>
        <v>1299.4379160733624</v>
      </c>
      <c r="E5" s="17">
        <f>SUM(E6:E15)</f>
        <v>4.07556194270229</v>
      </c>
      <c r="F5" s="17">
        <f>SUM(F6:F15)</f>
        <v>151.02943240689288</v>
      </c>
      <c r="G5" s="18"/>
      <c r="H5" s="17"/>
      <c r="I5" s="17"/>
      <c r="J5" s="17">
        <f>SUM(J6:J15)</f>
        <v>0.19244991941683368</v>
      </c>
      <c r="K5" s="17"/>
      <c r="L5" s="17"/>
      <c r="M5" s="17"/>
      <c r="N5" s="17">
        <f>SUM(N6:N15)</f>
        <v>31.603351454046152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27.1036368170627</v>
      </c>
      <c r="C8" s="33"/>
      <c r="D8" s="37">
        <f>IF( ISERROR(IND_metaal_Gas_kWH/1000),0,IND_metaal_Gas_kWH/1000)*0.903</f>
        <v>0</v>
      </c>
      <c r="E8" s="33">
        <f>C30*'E Balans VL '!I18/100/3.6*1000000</f>
        <v>0.14813314786747206</v>
      </c>
      <c r="F8" s="33">
        <f>C30*'E Balans VL '!L18/100/3.6*1000000+C30*'E Balans VL '!N18/100/3.6*1000000</f>
        <v>1.8552035775453724</v>
      </c>
      <c r="G8" s="34"/>
      <c r="H8" s="33"/>
      <c r="I8" s="33"/>
      <c r="J8" s="40">
        <f>C30*'E Balans VL '!D18/100/3.6*1000000+C30*'E Balans VL '!E18/100/3.6*1000000</f>
        <v>2.7010601251506533E-2</v>
      </c>
      <c r="K8" s="33"/>
      <c r="L8" s="33"/>
      <c r="M8" s="33"/>
      <c r="N8" s="33">
        <f>C30*'E Balans VL '!Y18/100/3.6*1000000</f>
        <v>0.40087583977375485</v>
      </c>
      <c r="O8" s="33"/>
      <c r="P8" s="33"/>
      <c r="R8" s="32"/>
    </row>
    <row r="9" spans="1:18">
      <c r="A9" s="6" t="s">
        <v>32</v>
      </c>
      <c r="B9" s="37">
        <f t="shared" si="0"/>
        <v>204.19904615761402</v>
      </c>
      <c r="C9" s="33"/>
      <c r="D9" s="37">
        <f>IF( ISERROR(IND_andere_gas_kWh/1000),0,IND_andere_gas_kWh/1000)*0.903</f>
        <v>370.9860018974382</v>
      </c>
      <c r="E9" s="33">
        <f>C31*'E Balans VL '!I19/100/3.6*1000000</f>
        <v>0.76845500978222481</v>
      </c>
      <c r="F9" s="33">
        <f>C31*'E Balans VL '!L19/100/3.6*1000000+C31*'E Balans VL '!N19/100/3.6*1000000</f>
        <v>131.42802815345857</v>
      </c>
      <c r="G9" s="34"/>
      <c r="H9" s="33"/>
      <c r="I9" s="33"/>
      <c r="J9" s="40">
        <f>C31*'E Balans VL '!D19/100/3.6*1000000+C31*'E Balans VL '!E19/100/3.6*1000000</f>
        <v>0</v>
      </c>
      <c r="K9" s="33"/>
      <c r="L9" s="33"/>
      <c r="M9" s="33"/>
      <c r="N9" s="33">
        <f>C31*'E Balans VL '!Y19/100/3.6*1000000</f>
        <v>7.3768271801359528</v>
      </c>
      <c r="O9" s="33"/>
      <c r="P9" s="33"/>
      <c r="R9" s="32"/>
    </row>
    <row r="10" spans="1:18">
      <c r="A10" s="6" t="s">
        <v>40</v>
      </c>
      <c r="B10" s="37">
        <f t="shared" si="0"/>
        <v>564.63372220357405</v>
      </c>
      <c r="C10" s="33"/>
      <c r="D10" s="37">
        <f>IF( ISERROR(IND_voed_gas_kWh/1000),0,IND_voed_gas_kWh/1000)*0.903</f>
        <v>856.56768155531256</v>
      </c>
      <c r="E10" s="33">
        <f>C32*'E Balans VL '!I20/100/3.6*1000000</f>
        <v>1.1177347444076278</v>
      </c>
      <c r="F10" s="33">
        <f>C32*'E Balans VL '!L20/100/3.6*1000000+C32*'E Balans VL '!N20/100/3.6*1000000</f>
        <v>11.992127797669529</v>
      </c>
      <c r="G10" s="34"/>
      <c r="H10" s="33"/>
      <c r="I10" s="33"/>
      <c r="J10" s="40">
        <f>C32*'E Balans VL '!D20/100/3.6*1000000+C32*'E Balans VL '!E20/100/3.6*1000000</f>
        <v>0</v>
      </c>
      <c r="K10" s="33"/>
      <c r="L10" s="33"/>
      <c r="M10" s="33"/>
      <c r="N10" s="33">
        <f>C32*'E Balans VL '!Y20/100/3.6*1000000</f>
        <v>22.756884590443224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37.703436415962003</v>
      </c>
      <c r="C15" s="33"/>
      <c r="D15" s="37">
        <f>IF( ISERROR(IND_rest_gas_kWh/1000),0,IND_rest_gas_kWh/1000)*0.903</f>
        <v>71.884232620611883</v>
      </c>
      <c r="E15" s="33">
        <f>C37*'E Balans VL '!I15/100/3.6*1000000</f>
        <v>2.0412390406449661</v>
      </c>
      <c r="F15" s="33">
        <f>C37*'E Balans VL '!L15/100/3.6*1000000+C37*'E Balans VL '!N15/100/3.6*1000000</f>
        <v>5.7540728782194002</v>
      </c>
      <c r="G15" s="34"/>
      <c r="H15" s="33"/>
      <c r="I15" s="33"/>
      <c r="J15" s="40">
        <f>C37*'E Balans VL '!D15/100/3.6*1000000+C37*'E Balans VL '!E15/100/3.6*1000000</f>
        <v>0.16543931816532714</v>
      </c>
      <c r="K15" s="33"/>
      <c r="L15" s="33"/>
      <c r="M15" s="33"/>
      <c r="N15" s="33">
        <f>C37*'E Balans VL '!Y15/100/3.6*1000000</f>
        <v>1.0687638436932194</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833.63984159421273</v>
      </c>
      <c r="C18" s="21">
        <f>C5+C16</f>
        <v>0</v>
      </c>
      <c r="D18" s="21">
        <f>MAX((D5+D16),0)</f>
        <v>1299.4379160733624</v>
      </c>
      <c r="E18" s="21">
        <f>MAX((E5+E16),0)</f>
        <v>4.07556194270229</v>
      </c>
      <c r="F18" s="21">
        <f>MAX((F5+F16),0)</f>
        <v>151.02943240689288</v>
      </c>
      <c r="G18" s="21"/>
      <c r="H18" s="21"/>
      <c r="I18" s="21"/>
      <c r="J18" s="21">
        <f>MAX((J5+J16),0)</f>
        <v>0.19244991941683368</v>
      </c>
      <c r="K18" s="21"/>
      <c r="L18" s="21">
        <f>MAX((L5+L16),0)</f>
        <v>0</v>
      </c>
      <c r="M18" s="21"/>
      <c r="N18" s="21">
        <f>MAX((N5+N16),0)</f>
        <v>31.603351454046152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0.20374823260792768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169.85264435637364</v>
      </c>
      <c r="C22" s="23">
        <f ca="1">C18*C20</f>
        <v>0</v>
      </c>
      <c r="D22" s="23">
        <f>D18*D20</f>
        <v>262.48645904681922</v>
      </c>
      <c r="E22" s="23">
        <f>E18*E20</f>
        <v>0.92515256099341991</v>
      </c>
      <c r="F22" s="23">
        <f>F18*F20</f>
        <v>40.324858452640399</v>
      </c>
      <c r="G22" s="23"/>
      <c r="H22" s="23"/>
      <c r="I22" s="23"/>
      <c r="J22" s="23">
        <f>J18*J20</f>
        <v>6.8127271473559112E-2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27.1036368170627</v>
      </c>
      <c r="C30" s="39">
        <f>IF(ISERROR(B30*3.6/1000000/'E Balans VL '!Z18*100),0,B30*3.6/1000000/'E Balans VL '!Z18*100)</f>
        <v>1.5122576128370644E-3</v>
      </c>
      <c r="D30" s="232" t="s">
        <v>660</v>
      </c>
    </row>
    <row r="31" spans="1:18">
      <c r="A31" s="6" t="s">
        <v>32</v>
      </c>
      <c r="B31" s="37">
        <f>IF( ISERROR(IND_ander_ele_kWh/1000),0,IND_ander_ele_kWh/1000)</f>
        <v>204.19904615761402</v>
      </c>
      <c r="C31" s="39">
        <f>IF(ISERROR(B31*3.6/1000000/'E Balans VL '!Z19*100),0,B31*3.6/1000000/'E Balans VL '!Z19*100)</f>
        <v>8.3115312857753986E-3</v>
      </c>
      <c r="D31" s="232" t="s">
        <v>660</v>
      </c>
    </row>
    <row r="32" spans="1:18">
      <c r="A32" s="167" t="s">
        <v>40</v>
      </c>
      <c r="B32" s="37">
        <f>IF( ISERROR(IND_voed_ele_kWh/1000),0,IND_voed_ele_kWh/1000)</f>
        <v>564.63372220357405</v>
      </c>
      <c r="C32" s="39">
        <f>IF(ISERROR(B32*3.6/1000000/'E Balans VL '!Z20*100),0,B32*3.6/1000000/'E Balans VL '!Z20*100)</f>
        <v>1.6422282104611143E-2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37.703436415962003</v>
      </c>
      <c r="C37" s="39">
        <f>IF(ISERROR(B37*3.6/1000000/'E Balans VL '!Z15*100),0,B37*3.6/1000000/'E Balans VL '!Z15*100)</f>
        <v>3.0368387862104637E-4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391.622060424663</v>
      </c>
      <c r="C5" s="17">
        <f>'Eigen informatie GS &amp; warmtenet'!B62</f>
        <v>0</v>
      </c>
      <c r="D5" s="30">
        <f>IF(ISERROR(SUM(LB_lb_gas_kWh,LB_rest_gas_kWh)/1000),0,SUM(LB_lb_gas_kWh,LB_rest_gas_kWh)/1000)*0.903</f>
        <v>47.581181456261355</v>
      </c>
      <c r="E5" s="17">
        <f>B17*'E Balans VL '!I25/3.6*1000000/100</f>
        <v>11.546125507731812</v>
      </c>
      <c r="F5" s="17">
        <f>B17*('E Balans VL '!L25/3.6*1000000+'E Balans VL '!N25/3.6*1000000)/100</f>
        <v>1244.714086262944</v>
      </c>
      <c r="G5" s="18"/>
      <c r="H5" s="17"/>
      <c r="I5" s="17"/>
      <c r="J5" s="17">
        <f>('E Balans VL '!D25+'E Balans VL '!E25)/3.6*1000000*landbouw!B17/100</f>
        <v>98.764678787329885</v>
      </c>
      <c r="K5" s="17"/>
      <c r="L5" s="17">
        <f>L6*(-1)</f>
        <v>0</v>
      </c>
      <c r="M5" s="17"/>
      <c r="N5" s="17">
        <f>N6*(-1)</f>
        <v>124.71428571428569</v>
      </c>
      <c r="O5" s="17"/>
      <c r="P5" s="17"/>
      <c r="R5" s="32"/>
    </row>
    <row r="6" spans="1:18">
      <c r="A6" s="16" t="s">
        <v>466</v>
      </c>
      <c r="B6" s="17" t="s">
        <v>204</v>
      </c>
      <c r="C6" s="17">
        <f>'lokale energieproductie'!O40+'lokale energieproductie'!O33</f>
        <v>62.357142857142847</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391.622060424663</v>
      </c>
      <c r="C8" s="21">
        <f>C5+C6</f>
        <v>62.357142857142847</v>
      </c>
      <c r="D8" s="21">
        <f>MAX((D5+D6),0)</f>
        <v>47.581181456261355</v>
      </c>
      <c r="E8" s="21">
        <f>MAX((E5+E6),0)</f>
        <v>11.546125507731812</v>
      </c>
      <c r="F8" s="21">
        <f>MAX((F5+F6),0)</f>
        <v>1244.714086262944</v>
      </c>
      <c r="G8" s="21"/>
      <c r="H8" s="21"/>
      <c r="I8" s="21"/>
      <c r="J8" s="21">
        <f>MAX((J5+J6),0)</f>
        <v>98.764678787329885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0.20374823260792768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79.79230266180015</v>
      </c>
      <c r="C12" s="23">
        <f ca="1">C8*C10</f>
        <v>0</v>
      </c>
      <c r="D12" s="23">
        <f>D8*D10</f>
        <v>9.6113986541647947</v>
      </c>
      <c r="E12" s="23">
        <f>E8*E10</f>
        <v>2.6209704902551216</v>
      </c>
      <c r="F12" s="23">
        <f>F8*F10</f>
        <v>332.33866103220606</v>
      </c>
      <c r="G12" s="23"/>
      <c r="H12" s="23"/>
      <c r="I12" s="23"/>
      <c r="J12" s="23">
        <f>J8*J10</f>
        <v>34.962696290714774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5.3788268054372916E-2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105.31439228655512</v>
      </c>
      <c r="C26" s="242">
        <f>B26*'GWP N2O_CH4'!B5</f>
        <v>2211.6022380176573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21.79105322375684</v>
      </c>
      <c r="C27" s="242">
        <f>B27*'GWP N2O_CH4'!B5</f>
        <v>457.61211769889366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1.1350078445281244</v>
      </c>
      <c r="C28" s="242">
        <f>B28*'GWP N2O_CH4'!B4</f>
        <v>351.85243180371856</v>
      </c>
      <c r="D28" s="50"/>
    </row>
    <row r="29" spans="1:4">
      <c r="A29" s="41" t="s">
        <v>266</v>
      </c>
      <c r="B29" s="242">
        <f>B34*'ha_N2O bodem landbouw'!B4</f>
        <v>0.8755342103318231</v>
      </c>
      <c r="C29" s="242">
        <f>B29*'GWP N2O_CH4'!B4</f>
        <v>271.41560520286515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1.9953674689561835E-4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9.3059546327819794E-5</v>
      </c>
      <c r="C5" s="430" t="s">
        <v>204</v>
      </c>
      <c r="D5" s="415">
        <f>SUM(D6:D11)</f>
        <v>1.7368348801718124E-4</v>
      </c>
      <c r="E5" s="415">
        <f>SUM(E6:E11)</f>
        <v>9.4210870780281697E-5</v>
      </c>
      <c r="F5" s="428" t="s">
        <v>204</v>
      </c>
      <c r="G5" s="415">
        <f>SUM(G6:G11)</f>
        <v>3.2530190819513922E-2</v>
      </c>
      <c r="H5" s="415">
        <f>SUM(H6:H11)</f>
        <v>1.141368522798508E-2</v>
      </c>
      <c r="I5" s="430" t="s">
        <v>204</v>
      </c>
      <c r="J5" s="430" t="s">
        <v>204</v>
      </c>
      <c r="K5" s="430" t="s">
        <v>204</v>
      </c>
      <c r="L5" s="430" t="s">
        <v>204</v>
      </c>
      <c r="M5" s="415">
        <f>SUM(M6:M11)</f>
        <v>2.6249416373256749E-3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6.9675521369291245E-5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1.2159398060728033E-4</v>
      </c>
      <c r="E6" s="844">
        <f>vkm_GW_PW*SUMIFS(TableVerdeelsleutelVkm[LPG],TableVerdeelsleutelVkm[Voertuigtype],"Lichte voertuigen")*SUMIFS(TableECFTransport[EnergieConsumptieFactor (PJ per km)],TableECFTransport[Index],CONCATENATE($A6,"_LPG_LPG"))</f>
        <v>6.685609459263975E-5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2.0576589084106624E-2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8.0281380175023353E-3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1.7165849876232164E-3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9.9221717132081599E-8</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4.1065333895412299E-3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4.5005566186104044E-8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2.3120438537074185E-4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2.3283546849757148E-5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5.208950740990093E-5</v>
      </c>
      <c r="E8" s="418">
        <f>vkm_NGW_PW*SUMIFS(TableVerdeelsleutelVkm[LPG],TableVerdeelsleutelVkm[Voertuigtype],"Lichte voertuigen")*SUMIFS(TableECFTransport[EnergieConsumptieFactor (PJ per km)],TableECFTransport[Index],CONCATENATE($A8,"_LPG_LPG"))</f>
        <v>2.7354776187641947E-5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7.7801059534397636E-3</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3.3855015170551018E-3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6.7338217794024905E-4</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1.2563916393077618E-9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6.6962392426308897E-5</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6.8786145645651783E-10</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3.7700863914673161E-6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25.849873979949944</v>
      </c>
      <c r="C14" s="21"/>
      <c r="D14" s="21">
        <f t="shared" ref="D14:M14" si="0">((D5)*10^9/3600)+D12</f>
        <v>48.245413338105905</v>
      </c>
      <c r="E14" s="21">
        <f t="shared" si="0"/>
        <v>26.169686327856027</v>
      </c>
      <c r="F14" s="21"/>
      <c r="G14" s="21">
        <f t="shared" si="0"/>
        <v>9036.164116531645</v>
      </c>
      <c r="H14" s="21">
        <f t="shared" si="0"/>
        <v>3170.4681188847444</v>
      </c>
      <c r="I14" s="21"/>
      <c r="J14" s="21"/>
      <c r="K14" s="21"/>
      <c r="L14" s="21"/>
      <c r="M14" s="21">
        <f t="shared" si="0"/>
        <v>729.15045481268749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0.20374823260792768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5.2668661365524585</v>
      </c>
      <c r="C18" s="23"/>
      <c r="D18" s="23">
        <f t="shared" ref="D18:M18" si="1">D14*D16</f>
        <v>9.7455734942973926</v>
      </c>
      <c r="E18" s="23">
        <f t="shared" si="1"/>
        <v>5.9405187964233184</v>
      </c>
      <c r="F18" s="23"/>
      <c r="G18" s="23">
        <f t="shared" si="1"/>
        <v>2412.6558191139493</v>
      </c>
      <c r="H18" s="23">
        <f t="shared" si="1"/>
        <v>789.44656160230136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4.1228930193361281E-5</v>
      </c>
      <c r="C50" s="313">
        <f t="shared" ref="C50:P50" si="2">SUM(C51:C52)</f>
        <v>0</v>
      </c>
      <c r="D50" s="313">
        <f t="shared" si="2"/>
        <v>0</v>
      </c>
      <c r="E50" s="313">
        <f t="shared" si="2"/>
        <v>0</v>
      </c>
      <c r="F50" s="313">
        <f t="shared" si="2"/>
        <v>0</v>
      </c>
      <c r="G50" s="313">
        <f t="shared" si="2"/>
        <v>2.9428467566909901E-3</v>
      </c>
      <c r="H50" s="313">
        <f t="shared" si="2"/>
        <v>0</v>
      </c>
      <c r="I50" s="313">
        <f t="shared" si="2"/>
        <v>0</v>
      </c>
      <c r="J50" s="313">
        <f t="shared" si="2"/>
        <v>0</v>
      </c>
      <c r="K50" s="313">
        <f t="shared" si="2"/>
        <v>0</v>
      </c>
      <c r="L50" s="313">
        <f t="shared" si="2"/>
        <v>0</v>
      </c>
      <c r="M50" s="313">
        <f t="shared" si="2"/>
        <v>1.6249985991231475E-4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4.1228930193361281E-5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2.9428467566909901E-3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1.6249985991231475E-4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11.452480609267022</v>
      </c>
      <c r="C54" s="21">
        <f t="shared" ref="C54:P54" si="3">(C50)*10^9/3600</f>
        <v>0</v>
      </c>
      <c r="D54" s="21">
        <f t="shared" si="3"/>
        <v>0</v>
      </c>
      <c r="E54" s="21">
        <f t="shared" si="3"/>
        <v>0</v>
      </c>
      <c r="F54" s="21">
        <f t="shared" si="3"/>
        <v>0</v>
      </c>
      <c r="G54" s="21">
        <f t="shared" si="3"/>
        <v>817.45743241416392</v>
      </c>
      <c r="H54" s="21">
        <f t="shared" si="3"/>
        <v>0</v>
      </c>
      <c r="I54" s="21">
        <f t="shared" si="3"/>
        <v>0</v>
      </c>
      <c r="J54" s="21">
        <f t="shared" si="3"/>
        <v>0</v>
      </c>
      <c r="K54" s="21">
        <f t="shared" si="3"/>
        <v>0</v>
      </c>
      <c r="L54" s="21">
        <f t="shared" si="3"/>
        <v>0</v>
      </c>
      <c r="M54" s="21">
        <f t="shared" si="3"/>
        <v>45.138849975642984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0.20374823260792768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2.3334226831147187</v>
      </c>
      <c r="C58" s="23">
        <f t="shared" ref="C58:P58" ca="1" si="4">C54*C56</f>
        <v>0</v>
      </c>
      <c r="D58" s="23">
        <f t="shared" si="4"/>
        <v>0</v>
      </c>
      <c r="E58" s="23">
        <f t="shared" si="4"/>
        <v>0</v>
      </c>
      <c r="F58" s="23">
        <f t="shared" si="4"/>
        <v>0</v>
      </c>
      <c r="G58" s="23">
        <f t="shared" si="4"/>
        <v>218.26113445458176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1733.1233162735359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87.299999999999983</v>
      </c>
      <c r="C8" s="540">
        <f>B49</f>
        <v>0</v>
      </c>
      <c r="D8" s="541"/>
      <c r="E8" s="541">
        <f>E49</f>
        <v>0</v>
      </c>
      <c r="F8" s="542"/>
      <c r="G8" s="543"/>
      <c r="H8" s="541">
        <f>I49</f>
        <v>0</v>
      </c>
      <c r="I8" s="541">
        <f>G49+F49</f>
        <v>0</v>
      </c>
      <c r="J8" s="541">
        <f>H49+D49+C49</f>
        <v>102.70588235294116</v>
      </c>
      <c r="K8" s="541"/>
      <c r="L8" s="541"/>
      <c r="M8" s="541"/>
      <c r="N8" s="544"/>
      <c r="O8" s="545">
        <f>C8*$C$12+D8*$D$12+E8*$E$12+F8*$F$12+G8*$G$12+H8*$H$12+I8*$I$12+J8*$J$12</f>
        <v>0</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1820.4233162735359</v>
      </c>
      <c r="C10" s="555">
        <f t="shared" ref="C10:L10" si="0">SUM(C8:C9)</f>
        <v>0</v>
      </c>
      <c r="D10" s="555">
        <f t="shared" si="0"/>
        <v>0</v>
      </c>
      <c r="E10" s="555">
        <f t="shared" si="0"/>
        <v>0</v>
      </c>
      <c r="F10" s="555">
        <f t="shared" si="0"/>
        <v>0</v>
      </c>
      <c r="G10" s="555">
        <f t="shared" si="0"/>
        <v>0</v>
      </c>
      <c r="H10" s="555">
        <f t="shared" si="0"/>
        <v>0</v>
      </c>
      <c r="I10" s="555">
        <f t="shared" si="0"/>
        <v>0</v>
      </c>
      <c r="J10" s="555">
        <f t="shared" si="0"/>
        <v>102.70588235294116</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124.71428571428569</v>
      </c>
      <c r="C17" s="571">
        <f>B50</f>
        <v>0</v>
      </c>
      <c r="D17" s="572"/>
      <c r="E17" s="572">
        <f>E50</f>
        <v>0</v>
      </c>
      <c r="F17" s="573"/>
      <c r="G17" s="574"/>
      <c r="H17" s="571">
        <f>I50</f>
        <v>0</v>
      </c>
      <c r="I17" s="572">
        <f>G50+F50</f>
        <v>0</v>
      </c>
      <c r="J17" s="572">
        <f>H50+D50+C50</f>
        <v>146.72268907563023</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124.71428571428569</v>
      </c>
      <c r="C20" s="554">
        <f>SUM(C17:C19)</f>
        <v>0</v>
      </c>
      <c r="D20" s="554">
        <f t="shared" ref="D20:L20" si="1">SUM(D17:D19)</f>
        <v>0</v>
      </c>
      <c r="E20" s="554">
        <f t="shared" si="1"/>
        <v>0</v>
      </c>
      <c r="F20" s="554">
        <f t="shared" si="1"/>
        <v>0</v>
      </c>
      <c r="G20" s="554">
        <f t="shared" si="1"/>
        <v>0</v>
      </c>
      <c r="H20" s="554">
        <f t="shared" si="1"/>
        <v>0</v>
      </c>
      <c r="I20" s="554">
        <f t="shared" si="1"/>
        <v>0</v>
      </c>
      <c r="J20" s="554">
        <f t="shared" si="1"/>
        <v>146.72268907563023</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11021</v>
      </c>
      <c r="C28" s="746">
        <v>2540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1600</v>
      </c>
      <c r="Z28" s="631" t="s">
        <v>49</v>
      </c>
      <c r="AA28" s="633" t="s">
        <v>149</v>
      </c>
    </row>
    <row r="29" spans="1:27" s="585" customFormat="1" ht="25.5" hidden="1">
      <c r="A29" s="584"/>
      <c r="B29" s="746">
        <v>11021</v>
      </c>
      <c r="C29" s="746">
        <v>2540</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10</v>
      </c>
      <c r="Z29" s="631" t="s">
        <v>105</v>
      </c>
      <c r="AA29" s="633" t="s">
        <v>105</v>
      </c>
    </row>
    <row r="30" spans="1:27" s="565" customFormat="1" hidden="1">
      <c r="A30" s="587" t="s">
        <v>269</v>
      </c>
      <c r="B30" s="588"/>
      <c r="C30" s="588"/>
      <c r="D30" s="588"/>
      <c r="E30" s="588"/>
      <c r="F30" s="588"/>
      <c r="G30" s="588"/>
      <c r="H30" s="588"/>
      <c r="I30" s="588"/>
      <c r="J30" s="588"/>
      <c r="K30" s="588"/>
      <c r="L30" s="589"/>
      <c r="M30" s="589">
        <f>SUM(M28:M29)</f>
        <v>19.399999999999999</v>
      </c>
      <c r="N30" s="589">
        <f>SUM(N28:N29)</f>
        <v>87.299999999999983</v>
      </c>
      <c r="O30" s="589">
        <f>SUM(O28:O29)</f>
        <v>124.71428571428569</v>
      </c>
      <c r="P30" s="589">
        <f>SUM(P28:P29)</f>
        <v>0</v>
      </c>
      <c r="Q30" s="589">
        <f>SUM(Q28:Q29)</f>
        <v>249.42857142857139</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9.6999999999999993</v>
      </c>
      <c r="N32" s="589">
        <f ca="1">SUMIF($AA$28:AE29,"tertiair",N28:N29)</f>
        <v>43.649999999999991</v>
      </c>
      <c r="O32" s="589">
        <f ca="1">SUMIF($AA$28:AF29,"tertiair",O28:O29)</f>
        <v>62.357142857142847</v>
      </c>
      <c r="P32" s="589">
        <f ca="1">SUMIF($AA$28:AG29,"tertiair",P28:P29)</f>
        <v>0</v>
      </c>
      <c r="Q32" s="589">
        <f ca="1">SUMIF($AA$28:AH29,"tertiair",Q28:Q29)</f>
        <v>124.71428571428569</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9.6999999999999993</v>
      </c>
      <c r="N33" s="594">
        <f>SUMIF($AA$28:$AA$29,"landbouw",N28:N29)</f>
        <v>43.649999999999991</v>
      </c>
      <c r="O33" s="594">
        <f>SUMIF($AA$28:$AA$29,"landbouw",O28:O29)</f>
        <v>62.357142857142847</v>
      </c>
      <c r="P33" s="594">
        <f>SUMIF($AA$28:$AA$29,"landbouw",P28:P29)</f>
        <v>0</v>
      </c>
      <c r="Q33" s="594">
        <f>SUMIF($AA$28:$AA$29,"landbouw",Q28:Q29)</f>
        <v>124.71428571428569</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0</v>
      </c>
      <c r="C49" s="623">
        <f t="shared" si="2"/>
        <v>102.70588235294116</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0</v>
      </c>
      <c r="C50" s="626">
        <f t="shared" si="3"/>
        <v>146.72268907563023</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7875.9311258559301</v>
      </c>
      <c r="D10" s="642">
        <f ca="1">tertiair!C16</f>
        <v>62.357142857142847</v>
      </c>
      <c r="E10" s="642">
        <f ca="1">tertiair!D16</f>
        <v>11170.022304871498</v>
      </c>
      <c r="F10" s="642">
        <f>tertiair!E16</f>
        <v>23.613913438124229</v>
      </c>
      <c r="G10" s="642">
        <f ca="1">tertiair!F16</f>
        <v>1705.5233002309178</v>
      </c>
      <c r="H10" s="642">
        <f>tertiair!G16</f>
        <v>0</v>
      </c>
      <c r="I10" s="642">
        <f>tertiair!H16</f>
        <v>0</v>
      </c>
      <c r="J10" s="642">
        <f>tertiair!I16</f>
        <v>0</v>
      </c>
      <c r="K10" s="642">
        <f>tertiair!J16</f>
        <v>1.219056858874676E-2</v>
      </c>
      <c r="L10" s="642">
        <f>tertiair!K16</f>
        <v>0</v>
      </c>
      <c r="M10" s="642">
        <f ca="1">tertiair!L16</f>
        <v>0</v>
      </c>
      <c r="N10" s="642">
        <f>tertiair!M16</f>
        <v>0</v>
      </c>
      <c r="O10" s="642">
        <f ca="1">tertiair!N16</f>
        <v>304.07552535553202</v>
      </c>
      <c r="P10" s="642">
        <f>tertiair!O16</f>
        <v>4.8972607658411542</v>
      </c>
      <c r="Q10" s="643">
        <f>tertiair!P16</f>
        <v>0</v>
      </c>
      <c r="R10" s="645">
        <f ca="1">SUM(C10:Q10)</f>
        <v>21146.432763943572</v>
      </c>
      <c r="S10" s="67"/>
    </row>
    <row r="11" spans="1:19" s="441" customFormat="1">
      <c r="A11" s="762" t="s">
        <v>214</v>
      </c>
      <c r="B11" s="767"/>
      <c r="C11" s="642">
        <f>huishoudens!B8</f>
        <v>13768.170880668935</v>
      </c>
      <c r="D11" s="642">
        <f>huishoudens!C8</f>
        <v>0</v>
      </c>
      <c r="E11" s="642">
        <f>huishoudens!D8</f>
        <v>44193.996358741315</v>
      </c>
      <c r="F11" s="642">
        <f>huishoudens!E8</f>
        <v>498.41227972877562</v>
      </c>
      <c r="G11" s="642">
        <f>huishoudens!F8</f>
        <v>8167.8219058735449</v>
      </c>
      <c r="H11" s="642">
        <f>huishoudens!G8</f>
        <v>0</v>
      </c>
      <c r="I11" s="642">
        <f>huishoudens!H8</f>
        <v>0</v>
      </c>
      <c r="J11" s="642">
        <f>huishoudens!I8</f>
        <v>0</v>
      </c>
      <c r="K11" s="642">
        <f>huishoudens!J8</f>
        <v>45.082283363700718</v>
      </c>
      <c r="L11" s="642">
        <f>huishoudens!K8</f>
        <v>0</v>
      </c>
      <c r="M11" s="642">
        <f>huishoudens!L8</f>
        <v>0</v>
      </c>
      <c r="N11" s="642">
        <f>huishoudens!M8</f>
        <v>0</v>
      </c>
      <c r="O11" s="642">
        <f>huishoudens!N8</f>
        <v>3719.4358206553875</v>
      </c>
      <c r="P11" s="642">
        <f>huishoudens!O8</f>
        <v>140.86103357647926</v>
      </c>
      <c r="Q11" s="643">
        <f>huishoudens!P8</f>
        <v>874.31862253785675</v>
      </c>
      <c r="R11" s="645">
        <f>SUM(C11:Q11)</f>
        <v>71408.099185146013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833.63984159421273</v>
      </c>
      <c r="D13" s="642">
        <f>industrie!C18</f>
        <v>0</v>
      </c>
      <c r="E13" s="642">
        <f>industrie!D18</f>
        <v>1299.4379160733624</v>
      </c>
      <c r="F13" s="642">
        <f>industrie!E18</f>
        <v>4.07556194270229</v>
      </c>
      <c r="G13" s="642">
        <f>industrie!F18</f>
        <v>151.02943240689288</v>
      </c>
      <c r="H13" s="642">
        <f>industrie!G18</f>
        <v>0</v>
      </c>
      <c r="I13" s="642">
        <f>industrie!H18</f>
        <v>0</v>
      </c>
      <c r="J13" s="642">
        <f>industrie!I18</f>
        <v>0</v>
      </c>
      <c r="K13" s="642">
        <f>industrie!J18</f>
        <v>0.19244991941683368</v>
      </c>
      <c r="L13" s="642">
        <f>industrie!K18</f>
        <v>0</v>
      </c>
      <c r="M13" s="642">
        <f>industrie!L18</f>
        <v>0</v>
      </c>
      <c r="N13" s="642">
        <f>industrie!M18</f>
        <v>0</v>
      </c>
      <c r="O13" s="642">
        <f>industrie!N18</f>
        <v>31.603351454046152</v>
      </c>
      <c r="P13" s="642">
        <f>industrie!O18</f>
        <v>0</v>
      </c>
      <c r="Q13" s="643">
        <f>industrie!P18</f>
        <v>0</v>
      </c>
      <c r="R13" s="645">
        <f>SUM(C13:Q13)</f>
        <v>2319.9785533906334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22477.74184811908</v>
      </c>
      <c r="D16" s="678">
        <f t="shared" ref="D16:R16" ca="1" si="0">SUM(D9:D15)</f>
        <v>62.357142857142847</v>
      </c>
      <c r="E16" s="678">
        <f t="shared" ca="1" si="0"/>
        <v>56663.456579686172</v>
      </c>
      <c r="F16" s="678">
        <f t="shared" si="0"/>
        <v>526.1017551096021</v>
      </c>
      <c r="G16" s="678">
        <f t="shared" ca="1" si="0"/>
        <v>10024.374638511355</v>
      </c>
      <c r="H16" s="678">
        <f t="shared" si="0"/>
        <v>0</v>
      </c>
      <c r="I16" s="678">
        <f t="shared" si="0"/>
        <v>0</v>
      </c>
      <c r="J16" s="678">
        <f t="shared" si="0"/>
        <v>0</v>
      </c>
      <c r="K16" s="678">
        <f t="shared" si="0"/>
        <v>45.286923851706298</v>
      </c>
      <c r="L16" s="678">
        <f t="shared" si="0"/>
        <v>0</v>
      </c>
      <c r="M16" s="678">
        <f t="shared" ca="1" si="0"/>
        <v>0</v>
      </c>
      <c r="N16" s="678">
        <f t="shared" si="0"/>
        <v>0</v>
      </c>
      <c r="O16" s="678">
        <f t="shared" ca="1" si="0"/>
        <v>4055.114697464966</v>
      </c>
      <c r="P16" s="678">
        <f t="shared" si="0"/>
        <v>145.75829434232043</v>
      </c>
      <c r="Q16" s="678">
        <f t="shared" si="0"/>
        <v>874.31862253785675</v>
      </c>
      <c r="R16" s="678">
        <f t="shared" ca="1" si="0"/>
        <v>94874.510502480218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11.452480609267022</v>
      </c>
      <c r="D19" s="642">
        <f>transport!C54</f>
        <v>0</v>
      </c>
      <c r="E19" s="642">
        <f>transport!D54</f>
        <v>0</v>
      </c>
      <c r="F19" s="642">
        <f>transport!E54</f>
        <v>0</v>
      </c>
      <c r="G19" s="642">
        <f>transport!F54</f>
        <v>0</v>
      </c>
      <c r="H19" s="642">
        <f>transport!G54</f>
        <v>817.45743241416392</v>
      </c>
      <c r="I19" s="642">
        <f>transport!H54</f>
        <v>0</v>
      </c>
      <c r="J19" s="642">
        <f>transport!I54</f>
        <v>0</v>
      </c>
      <c r="K19" s="642">
        <f>transport!J54</f>
        <v>0</v>
      </c>
      <c r="L19" s="642">
        <f>transport!K54</f>
        <v>0</v>
      </c>
      <c r="M19" s="642">
        <f>transport!L54</f>
        <v>0</v>
      </c>
      <c r="N19" s="642">
        <f>transport!M54</f>
        <v>45.138849975642984</v>
      </c>
      <c r="O19" s="642">
        <f>transport!N54</f>
        <v>0</v>
      </c>
      <c r="P19" s="642">
        <f>transport!O54</f>
        <v>0</v>
      </c>
      <c r="Q19" s="643">
        <f>transport!P54</f>
        <v>0</v>
      </c>
      <c r="R19" s="645">
        <f>SUM(C19:Q19)</f>
        <v>874.04876299907392</v>
      </c>
      <c r="S19" s="67"/>
    </row>
    <row r="20" spans="1:19" s="441" customFormat="1">
      <c r="A20" s="762" t="s">
        <v>296</v>
      </c>
      <c r="B20" s="767"/>
      <c r="C20" s="642">
        <f>transport!B14</f>
        <v>25.849873979949944</v>
      </c>
      <c r="D20" s="642">
        <f>transport!C14</f>
        <v>0</v>
      </c>
      <c r="E20" s="642">
        <f>transport!D14</f>
        <v>48.245413338105905</v>
      </c>
      <c r="F20" s="642">
        <f>transport!E14</f>
        <v>26.169686327856027</v>
      </c>
      <c r="G20" s="642">
        <f>transport!F14</f>
        <v>0</v>
      </c>
      <c r="H20" s="642">
        <f>transport!G14</f>
        <v>9036.164116531645</v>
      </c>
      <c r="I20" s="642">
        <f>transport!H14</f>
        <v>3170.4681188847444</v>
      </c>
      <c r="J20" s="642">
        <f>transport!I14</f>
        <v>0</v>
      </c>
      <c r="K20" s="642">
        <f>transport!J14</f>
        <v>0</v>
      </c>
      <c r="L20" s="642">
        <f>transport!K14</f>
        <v>0</v>
      </c>
      <c r="M20" s="642">
        <f>transport!L14</f>
        <v>0</v>
      </c>
      <c r="N20" s="642">
        <f>transport!M14</f>
        <v>729.15045481268749</v>
      </c>
      <c r="O20" s="642">
        <f>transport!N14</f>
        <v>0</v>
      </c>
      <c r="P20" s="642">
        <f>transport!O14</f>
        <v>0</v>
      </c>
      <c r="Q20" s="643">
        <f>transport!P14</f>
        <v>0</v>
      </c>
      <c r="R20" s="645">
        <f>SUM(C20:Q20)</f>
        <v>13036.047663874988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37.302354589216968</v>
      </c>
      <c r="D22" s="765">
        <f t="shared" ref="D22:R22" si="1">SUM(D18:D21)</f>
        <v>0</v>
      </c>
      <c r="E22" s="765">
        <f t="shared" si="1"/>
        <v>48.245413338105905</v>
      </c>
      <c r="F22" s="765">
        <f t="shared" si="1"/>
        <v>26.169686327856027</v>
      </c>
      <c r="G22" s="765">
        <f t="shared" si="1"/>
        <v>0</v>
      </c>
      <c r="H22" s="765">
        <f t="shared" si="1"/>
        <v>9853.6215489458082</v>
      </c>
      <c r="I22" s="765">
        <f t="shared" si="1"/>
        <v>3170.4681188847444</v>
      </c>
      <c r="J22" s="765">
        <f t="shared" si="1"/>
        <v>0</v>
      </c>
      <c r="K22" s="765">
        <f t="shared" si="1"/>
        <v>0</v>
      </c>
      <c r="L22" s="765">
        <f t="shared" si="1"/>
        <v>0</v>
      </c>
      <c r="M22" s="765">
        <f t="shared" si="1"/>
        <v>0</v>
      </c>
      <c r="N22" s="765">
        <f t="shared" si="1"/>
        <v>774.28930478833047</v>
      </c>
      <c r="O22" s="765">
        <f t="shared" si="1"/>
        <v>0</v>
      </c>
      <c r="P22" s="765">
        <f t="shared" si="1"/>
        <v>0</v>
      </c>
      <c r="Q22" s="765">
        <f t="shared" si="1"/>
        <v>0</v>
      </c>
      <c r="R22" s="765">
        <f t="shared" si="1"/>
        <v>13910.096426874061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391.622060424663</v>
      </c>
      <c r="D24" s="642">
        <f>+landbouw!C8</f>
        <v>62.357142857142847</v>
      </c>
      <c r="E24" s="642">
        <f>+landbouw!D8</f>
        <v>47.581181456261355</v>
      </c>
      <c r="F24" s="642">
        <f>+landbouw!E8</f>
        <v>11.546125507731812</v>
      </c>
      <c r="G24" s="642">
        <f>+landbouw!F8</f>
        <v>1244.714086262944</v>
      </c>
      <c r="H24" s="642">
        <f>+landbouw!G8</f>
        <v>0</v>
      </c>
      <c r="I24" s="642">
        <f>+landbouw!H8</f>
        <v>0</v>
      </c>
      <c r="J24" s="642">
        <f>+landbouw!I8</f>
        <v>0</v>
      </c>
      <c r="K24" s="642">
        <f>+landbouw!J8</f>
        <v>98.764678787329885</v>
      </c>
      <c r="L24" s="642">
        <f>+landbouw!K8</f>
        <v>0</v>
      </c>
      <c r="M24" s="642">
        <f>+landbouw!L8</f>
        <v>0</v>
      </c>
      <c r="N24" s="642">
        <f>+landbouw!M8</f>
        <v>0</v>
      </c>
      <c r="O24" s="642">
        <f>+landbouw!N8</f>
        <v>0</v>
      </c>
      <c r="P24" s="642">
        <f>+landbouw!O8</f>
        <v>0</v>
      </c>
      <c r="Q24" s="643">
        <f>+landbouw!P8</f>
        <v>0</v>
      </c>
      <c r="R24" s="645">
        <f>SUM(C24:Q24)</f>
        <v>1856.5852752960727</v>
      </c>
      <c r="S24" s="67"/>
    </row>
    <row r="25" spans="1:19" s="441" customFormat="1" ht="15" thickBot="1">
      <c r="A25" s="784" t="s">
        <v>672</v>
      </c>
      <c r="B25" s="895"/>
      <c r="C25" s="896">
        <f>IF(Onbekend_ele_kWh="---",0,Onbekend_ele_kWh)/1000+IF(REST_rest_ele_kWh="---",0,REST_rest_ele_kWh)/1000</f>
        <v>413.469219410466</v>
      </c>
      <c r="D25" s="896"/>
      <c r="E25" s="896">
        <f>IF(onbekend_gas_kWh="---",0,onbekend_gas_kWh)/1000+IF(REST_rest_gas_kWh="---",0,REST_rest_gas_kWh)/1000</f>
        <v>1205.9566883483301</v>
      </c>
      <c r="F25" s="896"/>
      <c r="G25" s="896"/>
      <c r="H25" s="896"/>
      <c r="I25" s="896"/>
      <c r="J25" s="896"/>
      <c r="K25" s="896"/>
      <c r="L25" s="896"/>
      <c r="M25" s="896"/>
      <c r="N25" s="896"/>
      <c r="O25" s="896"/>
      <c r="P25" s="896"/>
      <c r="Q25" s="897"/>
      <c r="R25" s="645">
        <f>SUM(C25:Q25)</f>
        <v>1619.425907758796</v>
      </c>
      <c r="S25" s="67"/>
    </row>
    <row r="26" spans="1:19" s="441" customFormat="1" ht="15.75" thickBot="1">
      <c r="A26" s="650" t="s">
        <v>673</v>
      </c>
      <c r="B26" s="770"/>
      <c r="C26" s="765">
        <f>SUM(C24:C25)</f>
        <v>805.09127983512894</v>
      </c>
      <c r="D26" s="765">
        <f t="shared" ref="D26:R26" si="2">SUM(D24:D25)</f>
        <v>62.357142857142847</v>
      </c>
      <c r="E26" s="765">
        <f t="shared" si="2"/>
        <v>1253.5378698045915</v>
      </c>
      <c r="F26" s="765">
        <f t="shared" si="2"/>
        <v>11.546125507731812</v>
      </c>
      <c r="G26" s="765">
        <f t="shared" si="2"/>
        <v>1244.714086262944</v>
      </c>
      <c r="H26" s="765">
        <f t="shared" si="2"/>
        <v>0</v>
      </c>
      <c r="I26" s="765">
        <f t="shared" si="2"/>
        <v>0</v>
      </c>
      <c r="J26" s="765">
        <f t="shared" si="2"/>
        <v>0</v>
      </c>
      <c r="K26" s="765">
        <f t="shared" si="2"/>
        <v>98.764678787329885</v>
      </c>
      <c r="L26" s="765">
        <f t="shared" si="2"/>
        <v>0</v>
      </c>
      <c r="M26" s="765">
        <f t="shared" si="2"/>
        <v>0</v>
      </c>
      <c r="N26" s="765">
        <f t="shared" si="2"/>
        <v>0</v>
      </c>
      <c r="O26" s="765">
        <f t="shared" si="2"/>
        <v>0</v>
      </c>
      <c r="P26" s="765">
        <f t="shared" si="2"/>
        <v>0</v>
      </c>
      <c r="Q26" s="765">
        <f t="shared" si="2"/>
        <v>0</v>
      </c>
      <c r="R26" s="765">
        <f t="shared" si="2"/>
        <v>3476.0111830548685</v>
      </c>
      <c r="S26" s="67"/>
    </row>
    <row r="27" spans="1:19" s="441" customFormat="1" ht="17.25" thickTop="1" thickBot="1">
      <c r="A27" s="651" t="s">
        <v>109</v>
      </c>
      <c r="B27" s="757"/>
      <c r="C27" s="652">
        <f ca="1">C22+C16+C26</f>
        <v>23320.135482543425</v>
      </c>
      <c r="D27" s="652">
        <f t="shared" ref="D27:R27" ca="1" si="3">D22+D16+D26</f>
        <v>124.71428571428569</v>
      </c>
      <c r="E27" s="652">
        <f t="shared" ca="1" si="3"/>
        <v>57965.239862828865</v>
      </c>
      <c r="F27" s="652">
        <f t="shared" si="3"/>
        <v>563.81756694519004</v>
      </c>
      <c r="G27" s="652">
        <f t="shared" ca="1" si="3"/>
        <v>11269.088724774299</v>
      </c>
      <c r="H27" s="652">
        <f t="shared" si="3"/>
        <v>9853.6215489458082</v>
      </c>
      <c r="I27" s="652">
        <f t="shared" si="3"/>
        <v>3170.4681188847444</v>
      </c>
      <c r="J27" s="652">
        <f t="shared" si="3"/>
        <v>0</v>
      </c>
      <c r="K27" s="652">
        <f t="shared" si="3"/>
        <v>144.05160263903619</v>
      </c>
      <c r="L27" s="652">
        <f t="shared" si="3"/>
        <v>0</v>
      </c>
      <c r="M27" s="652">
        <f t="shared" ca="1" si="3"/>
        <v>0</v>
      </c>
      <c r="N27" s="652">
        <f t="shared" si="3"/>
        <v>774.28930478833047</v>
      </c>
      <c r="O27" s="652">
        <f t="shared" ca="1" si="3"/>
        <v>4055.114697464966</v>
      </c>
      <c r="P27" s="652">
        <f t="shared" si="3"/>
        <v>145.75829434232043</v>
      </c>
      <c r="Q27" s="652">
        <f t="shared" si="3"/>
        <v>874.31862253785675</v>
      </c>
      <c r="R27" s="652">
        <f t="shared" ca="1" si="3"/>
        <v>112260.61811240915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1604.707047034912</v>
      </c>
      <c r="D40" s="642">
        <f ca="1">tertiair!C20</f>
        <v>0</v>
      </c>
      <c r="E40" s="642">
        <f ca="1">tertiair!D20</f>
        <v>2256.3445055840425</v>
      </c>
      <c r="F40" s="642">
        <f>tertiair!E20</f>
        <v>5.3603583504542005</v>
      </c>
      <c r="G40" s="642">
        <f ca="1">tertiair!F20</f>
        <v>455.37472116165509</v>
      </c>
      <c r="H40" s="642">
        <f>tertiair!G20</f>
        <v>0</v>
      </c>
      <c r="I40" s="642">
        <f>tertiair!H20</f>
        <v>0</v>
      </c>
      <c r="J40" s="642">
        <f>tertiair!I20</f>
        <v>0</v>
      </c>
      <c r="K40" s="642">
        <f>tertiair!J20</f>
        <v>4.3154612804163529E-3</v>
      </c>
      <c r="L40" s="642">
        <f>tertiair!K20</f>
        <v>0</v>
      </c>
      <c r="M40" s="642">
        <f ca="1">tertiair!L20</f>
        <v>0</v>
      </c>
      <c r="N40" s="642">
        <f>tertiair!M20</f>
        <v>0</v>
      </c>
      <c r="O40" s="642">
        <f ca="1">tertiair!N20</f>
        <v>0</v>
      </c>
      <c r="P40" s="642">
        <f>tertiair!O20</f>
        <v>0</v>
      </c>
      <c r="Q40" s="725">
        <f>tertiair!P20</f>
        <v>0</v>
      </c>
      <c r="R40" s="803">
        <f t="shared" ca="1" si="4"/>
        <v>4321.7909475923443</v>
      </c>
    </row>
    <row r="41" spans="1:18">
      <c r="A41" s="775" t="s">
        <v>214</v>
      </c>
      <c r="B41" s="782"/>
      <c r="C41" s="642">
        <f ca="1">huishoudens!B12</f>
        <v>2805.2404831802305</v>
      </c>
      <c r="D41" s="642">
        <f ca="1">huishoudens!C12</f>
        <v>0</v>
      </c>
      <c r="E41" s="642">
        <f>huishoudens!D12</f>
        <v>8927.1872644657469</v>
      </c>
      <c r="F41" s="642">
        <f>huishoudens!E12</f>
        <v>113.13958749843206</v>
      </c>
      <c r="G41" s="642">
        <f>huishoudens!F12</f>
        <v>2180.8084488682366</v>
      </c>
      <c r="H41" s="642">
        <f>huishoudens!G12</f>
        <v>0</v>
      </c>
      <c r="I41" s="642">
        <f>huishoudens!H12</f>
        <v>0</v>
      </c>
      <c r="J41" s="642">
        <f>huishoudens!I12</f>
        <v>0</v>
      </c>
      <c r="K41" s="642">
        <f>huishoudens!J12</f>
        <v>15.959128310750053</v>
      </c>
      <c r="L41" s="642">
        <f>huishoudens!K12</f>
        <v>0</v>
      </c>
      <c r="M41" s="642">
        <f>huishoudens!L12</f>
        <v>0</v>
      </c>
      <c r="N41" s="642">
        <f>huishoudens!M12</f>
        <v>0</v>
      </c>
      <c r="O41" s="642">
        <f>huishoudens!N12</f>
        <v>0</v>
      </c>
      <c r="P41" s="642">
        <f>huishoudens!O12</f>
        <v>0</v>
      </c>
      <c r="Q41" s="725">
        <f>huishoudens!P12</f>
        <v>0</v>
      </c>
      <c r="R41" s="803">
        <f t="shared" ca="1" si="4"/>
        <v>14042.334912323395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169.85264435637364</v>
      </c>
      <c r="D43" s="642">
        <f ca="1">industrie!C22</f>
        <v>0</v>
      </c>
      <c r="E43" s="642">
        <f>industrie!D22</f>
        <v>262.48645904681922</v>
      </c>
      <c r="F43" s="642">
        <f>industrie!E22</f>
        <v>0.92515256099341991</v>
      </c>
      <c r="G43" s="642">
        <f>industrie!F22</f>
        <v>40.324858452640399</v>
      </c>
      <c r="H43" s="642">
        <f>industrie!G22</f>
        <v>0</v>
      </c>
      <c r="I43" s="642">
        <f>industrie!H22</f>
        <v>0</v>
      </c>
      <c r="J43" s="642">
        <f>industrie!I22</f>
        <v>0</v>
      </c>
      <c r="K43" s="642">
        <f>industrie!J22</f>
        <v>6.8127271473559112E-2</v>
      </c>
      <c r="L43" s="642">
        <f>industrie!K22</f>
        <v>0</v>
      </c>
      <c r="M43" s="642">
        <f>industrie!L22</f>
        <v>0</v>
      </c>
      <c r="N43" s="642">
        <f>industrie!M22</f>
        <v>0</v>
      </c>
      <c r="O43" s="642">
        <f>industrie!N22</f>
        <v>0</v>
      </c>
      <c r="P43" s="642">
        <f>industrie!O22</f>
        <v>0</v>
      </c>
      <c r="Q43" s="725">
        <f>industrie!P22</f>
        <v>0</v>
      </c>
      <c r="R43" s="802">
        <f t="shared" ca="1" si="4"/>
        <v>473.65724168830025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4579.8001745715155</v>
      </c>
      <c r="D46" s="678">
        <f t="shared" ref="D46:Q46" ca="1" si="5">SUM(D39:D45)</f>
        <v>0</v>
      </c>
      <c r="E46" s="678">
        <f t="shared" ca="1" si="5"/>
        <v>11446.018229096608</v>
      </c>
      <c r="F46" s="678">
        <f t="shared" si="5"/>
        <v>119.42509840987969</v>
      </c>
      <c r="G46" s="678">
        <f t="shared" ca="1" si="5"/>
        <v>2676.5080284825322</v>
      </c>
      <c r="H46" s="678">
        <f t="shared" si="5"/>
        <v>0</v>
      </c>
      <c r="I46" s="678">
        <f t="shared" si="5"/>
        <v>0</v>
      </c>
      <c r="J46" s="678">
        <f t="shared" si="5"/>
        <v>0</v>
      </c>
      <c r="K46" s="678">
        <f t="shared" si="5"/>
        <v>16.03157104350403</v>
      </c>
      <c r="L46" s="678">
        <f t="shared" si="5"/>
        <v>0</v>
      </c>
      <c r="M46" s="678">
        <f t="shared" ca="1" si="5"/>
        <v>0</v>
      </c>
      <c r="N46" s="678">
        <f t="shared" si="5"/>
        <v>0</v>
      </c>
      <c r="O46" s="678">
        <f t="shared" ca="1" si="5"/>
        <v>0</v>
      </c>
      <c r="P46" s="678">
        <f t="shared" si="5"/>
        <v>0</v>
      </c>
      <c r="Q46" s="678">
        <f t="shared" si="5"/>
        <v>0</v>
      </c>
      <c r="R46" s="678">
        <f ca="1">SUM(R39:R45)</f>
        <v>18837.783101604036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2.3334226831147187</v>
      </c>
      <c r="D49" s="642">
        <f ca="1">transport!C58</f>
        <v>0</v>
      </c>
      <c r="E49" s="642">
        <f>transport!D58</f>
        <v>0</v>
      </c>
      <c r="F49" s="642">
        <f>transport!E58</f>
        <v>0</v>
      </c>
      <c r="G49" s="642">
        <f>transport!F58</f>
        <v>0</v>
      </c>
      <c r="H49" s="642">
        <f>transport!G58</f>
        <v>218.26113445458176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220.59455713769648</v>
      </c>
    </row>
    <row r="50" spans="1:18">
      <c r="A50" s="778" t="s">
        <v>296</v>
      </c>
      <c r="B50" s="788"/>
      <c r="C50" s="648">
        <f ca="1">transport!B18</f>
        <v>5.2668661365524585</v>
      </c>
      <c r="D50" s="648">
        <f>transport!C18</f>
        <v>0</v>
      </c>
      <c r="E50" s="648">
        <f>transport!D18</f>
        <v>9.7455734942973926</v>
      </c>
      <c r="F50" s="648">
        <f>transport!E18</f>
        <v>5.9405187964233184</v>
      </c>
      <c r="G50" s="648">
        <f>transport!F18</f>
        <v>0</v>
      </c>
      <c r="H50" s="648">
        <f>transport!G18</f>
        <v>2412.6558191139493</v>
      </c>
      <c r="I50" s="648">
        <f>transport!H18</f>
        <v>789.44656160230136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3223.0553391435237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7.6002888196671776</v>
      </c>
      <c r="D52" s="678">
        <f t="shared" ref="D52:Q52" ca="1" si="6">SUM(D48:D51)</f>
        <v>0</v>
      </c>
      <c r="E52" s="678">
        <f t="shared" si="6"/>
        <v>9.7455734942973926</v>
      </c>
      <c r="F52" s="678">
        <f t="shared" si="6"/>
        <v>5.9405187964233184</v>
      </c>
      <c r="G52" s="678">
        <f t="shared" si="6"/>
        <v>0</v>
      </c>
      <c r="H52" s="678">
        <f t="shared" si="6"/>
        <v>2630.916953568531</v>
      </c>
      <c r="I52" s="678">
        <f t="shared" si="6"/>
        <v>789.44656160230136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3443.6498962812202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79.79230266180015</v>
      </c>
      <c r="D54" s="648">
        <f ca="1">+landbouw!C12</f>
        <v>0</v>
      </c>
      <c r="E54" s="648">
        <f>+landbouw!D12</f>
        <v>9.6113986541647947</v>
      </c>
      <c r="F54" s="648">
        <f>+landbouw!E12</f>
        <v>2.6209704902551216</v>
      </c>
      <c r="G54" s="648">
        <f>+landbouw!F12</f>
        <v>332.33866103220606</v>
      </c>
      <c r="H54" s="648">
        <f>+landbouw!G12</f>
        <v>0</v>
      </c>
      <c r="I54" s="648">
        <f>+landbouw!H12</f>
        <v>0</v>
      </c>
      <c r="J54" s="648">
        <f>+landbouw!I12</f>
        <v>0</v>
      </c>
      <c r="K54" s="648">
        <f>+landbouw!J12</f>
        <v>34.962696290714774</v>
      </c>
      <c r="L54" s="648">
        <f>+landbouw!K12</f>
        <v>0</v>
      </c>
      <c r="M54" s="648">
        <f>+landbouw!L12</f>
        <v>0</v>
      </c>
      <c r="N54" s="648">
        <f>+landbouw!M12</f>
        <v>0</v>
      </c>
      <c r="O54" s="648">
        <f>+landbouw!N12</f>
        <v>0</v>
      </c>
      <c r="P54" s="648">
        <f>+landbouw!O12</f>
        <v>0</v>
      </c>
      <c r="Q54" s="649">
        <f>+landbouw!P12</f>
        <v>0</v>
      </c>
      <c r="R54" s="677">
        <f ca="1">SUM(C54:Q54)</f>
        <v>459.32602912914092</v>
      </c>
    </row>
    <row r="55" spans="1:18" ht="15" thickBot="1">
      <c r="A55" s="778" t="s">
        <v>672</v>
      </c>
      <c r="B55" s="788"/>
      <c r="C55" s="648">
        <f ca="1">C25*'EF ele_warmte'!B12</f>
        <v>84.243622692661916</v>
      </c>
      <c r="D55" s="648"/>
      <c r="E55" s="648">
        <f>E25*EF_CO2_aardgas</f>
        <v>243.60325104636269</v>
      </c>
      <c r="F55" s="648"/>
      <c r="G55" s="648"/>
      <c r="H55" s="648"/>
      <c r="I55" s="648"/>
      <c r="J55" s="648"/>
      <c r="K55" s="648"/>
      <c r="L55" s="648"/>
      <c r="M55" s="648"/>
      <c r="N55" s="648"/>
      <c r="O55" s="648"/>
      <c r="P55" s="648"/>
      <c r="Q55" s="649"/>
      <c r="R55" s="677">
        <f ca="1">SUM(C55:Q55)</f>
        <v>327.8468737390246</v>
      </c>
    </row>
    <row r="56" spans="1:18" ht="15.75" thickBot="1">
      <c r="A56" s="776" t="s">
        <v>673</v>
      </c>
      <c r="B56" s="789"/>
      <c r="C56" s="678">
        <f ca="1">SUM(C54:C55)</f>
        <v>164.03592535446205</v>
      </c>
      <c r="D56" s="678">
        <f t="shared" ref="D56:Q56" ca="1" si="7">SUM(D54:D55)</f>
        <v>0</v>
      </c>
      <c r="E56" s="678">
        <f t="shared" si="7"/>
        <v>253.21464970052747</v>
      </c>
      <c r="F56" s="678">
        <f t="shared" si="7"/>
        <v>2.6209704902551216</v>
      </c>
      <c r="G56" s="678">
        <f t="shared" si="7"/>
        <v>332.33866103220606</v>
      </c>
      <c r="H56" s="678">
        <f t="shared" si="7"/>
        <v>0</v>
      </c>
      <c r="I56" s="678">
        <f t="shared" si="7"/>
        <v>0</v>
      </c>
      <c r="J56" s="678">
        <f t="shared" si="7"/>
        <v>0</v>
      </c>
      <c r="K56" s="678">
        <f t="shared" si="7"/>
        <v>34.962696290714774</v>
      </c>
      <c r="L56" s="678">
        <f t="shared" si="7"/>
        <v>0</v>
      </c>
      <c r="M56" s="678">
        <f t="shared" si="7"/>
        <v>0</v>
      </c>
      <c r="N56" s="678">
        <f t="shared" si="7"/>
        <v>0</v>
      </c>
      <c r="O56" s="678">
        <f t="shared" si="7"/>
        <v>0</v>
      </c>
      <c r="P56" s="678">
        <f t="shared" si="7"/>
        <v>0</v>
      </c>
      <c r="Q56" s="679">
        <f t="shared" si="7"/>
        <v>0</v>
      </c>
      <c r="R56" s="680">
        <f ca="1">SUM(R54:R55)</f>
        <v>787.17290286816547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4751.4363887456448</v>
      </c>
      <c r="D61" s="686">
        <f t="shared" ref="D61:Q61" ca="1" si="8">D46+D52+D56</f>
        <v>0</v>
      </c>
      <c r="E61" s="686">
        <f t="shared" ca="1" si="8"/>
        <v>11708.978452291432</v>
      </c>
      <c r="F61" s="686">
        <f t="shared" si="8"/>
        <v>127.98658769655813</v>
      </c>
      <c r="G61" s="686">
        <f t="shared" ca="1" si="8"/>
        <v>3008.846689514738</v>
      </c>
      <c r="H61" s="686">
        <f t="shared" si="8"/>
        <v>2630.916953568531</v>
      </c>
      <c r="I61" s="686">
        <f t="shared" si="8"/>
        <v>789.44656160230136</v>
      </c>
      <c r="J61" s="686">
        <f t="shared" si="8"/>
        <v>0</v>
      </c>
      <c r="K61" s="686">
        <f t="shared" si="8"/>
        <v>50.994267334218804</v>
      </c>
      <c r="L61" s="686">
        <f t="shared" si="8"/>
        <v>0</v>
      </c>
      <c r="M61" s="686">
        <f t="shared" ca="1" si="8"/>
        <v>0</v>
      </c>
      <c r="N61" s="686">
        <f t="shared" si="8"/>
        <v>0</v>
      </c>
      <c r="O61" s="686">
        <f t="shared" ca="1" si="8"/>
        <v>0</v>
      </c>
      <c r="P61" s="686">
        <f t="shared" si="8"/>
        <v>0</v>
      </c>
      <c r="Q61" s="686">
        <f t="shared" si="8"/>
        <v>0</v>
      </c>
      <c r="R61" s="686">
        <f ca="1">R46+R52+R56</f>
        <v>23068.60590075342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0.20374823260792765</v>
      </c>
      <c r="D63" s="732">
        <f t="shared" ca="1" si="9"/>
        <v>0</v>
      </c>
      <c r="E63" s="921">
        <f t="shared" ca="1" si="9"/>
        <v>0.20200000000000004</v>
      </c>
      <c r="F63" s="732">
        <f t="shared" si="9"/>
        <v>0.22699999999999998</v>
      </c>
      <c r="G63" s="732">
        <f t="shared" ca="1" si="9"/>
        <v>0.26700000000000002</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1733.1233162735359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87.299999999999983</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102.70588235294116</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1820.4233162735359</v>
      </c>
      <c r="C78" s="704">
        <f>SUM(C72:C77)</f>
        <v>0</v>
      </c>
      <c r="D78" s="705">
        <f t="shared" ref="D78:H78" si="10">SUM(D76:D77)</f>
        <v>0</v>
      </c>
      <c r="E78" s="705">
        <f t="shared" si="10"/>
        <v>0</v>
      </c>
      <c r="F78" s="705">
        <f t="shared" si="10"/>
        <v>0</v>
      </c>
      <c r="G78" s="705">
        <f t="shared" si="10"/>
        <v>0</v>
      </c>
      <c r="H78" s="705">
        <f t="shared" si="10"/>
        <v>0</v>
      </c>
      <c r="I78" s="705">
        <f>SUM(I76:I77)</f>
        <v>0</v>
      </c>
      <c r="J78" s="705">
        <f>SUM(J76:J77)</f>
        <v>102.70588235294116</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124.71428571428569</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146.72268907563023</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124.71428571428569</v>
      </c>
      <c r="C90" s="704">
        <f>SUM(C87:C89)</f>
        <v>0</v>
      </c>
      <c r="D90" s="704">
        <f t="shared" ref="D90:H90" si="12">SUM(D87:D89)</f>
        <v>0</v>
      </c>
      <c r="E90" s="704">
        <f t="shared" si="12"/>
        <v>0</v>
      </c>
      <c r="F90" s="704">
        <f t="shared" si="12"/>
        <v>0</v>
      </c>
      <c r="G90" s="704">
        <f t="shared" si="12"/>
        <v>0</v>
      </c>
      <c r="H90" s="704">
        <f t="shared" si="12"/>
        <v>0</v>
      </c>
      <c r="I90" s="704">
        <f>SUM(I87:I89)</f>
        <v>0</v>
      </c>
      <c r="J90" s="704">
        <f>SUM(J87:J89)</f>
        <v>146.72268907563023</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13768.170880668935</v>
      </c>
      <c r="C4" s="445">
        <f>huishoudens!C8</f>
        <v>0</v>
      </c>
      <c r="D4" s="445">
        <f>huishoudens!D8</f>
        <v>44193.996358741315</v>
      </c>
      <c r="E4" s="445">
        <f>huishoudens!E8</f>
        <v>498.41227972877562</v>
      </c>
      <c r="F4" s="445">
        <f>huishoudens!F8</f>
        <v>8167.8219058735449</v>
      </c>
      <c r="G4" s="445">
        <f>huishoudens!G8</f>
        <v>0</v>
      </c>
      <c r="H4" s="445">
        <f>huishoudens!H8</f>
        <v>0</v>
      </c>
      <c r="I4" s="445">
        <f>huishoudens!I8</f>
        <v>0</v>
      </c>
      <c r="J4" s="445">
        <f>huishoudens!J8</f>
        <v>45.082283363700718</v>
      </c>
      <c r="K4" s="445">
        <f>huishoudens!K8</f>
        <v>0</v>
      </c>
      <c r="L4" s="445">
        <f>huishoudens!L8</f>
        <v>0</v>
      </c>
      <c r="M4" s="445">
        <f>huishoudens!M8</f>
        <v>0</v>
      </c>
      <c r="N4" s="445">
        <f>huishoudens!N8</f>
        <v>3719.4358206553875</v>
      </c>
      <c r="O4" s="445">
        <f>huishoudens!O8</f>
        <v>140.86103357647926</v>
      </c>
      <c r="P4" s="446">
        <f>huishoudens!P8</f>
        <v>874.31862253785675</v>
      </c>
      <c r="Q4" s="447">
        <f>SUM(B4:P4)</f>
        <v>71408.099185146013</v>
      </c>
    </row>
    <row r="5" spans="1:17">
      <c r="A5" s="444" t="s">
        <v>149</v>
      </c>
      <c r="B5" s="445">
        <f ca="1">tertiair!B16</f>
        <v>7271.7951258559306</v>
      </c>
      <c r="C5" s="445">
        <f ca="1">tertiair!C16</f>
        <v>62.357142857142847</v>
      </c>
      <c r="D5" s="445">
        <f ca="1">tertiair!D16</f>
        <v>11170.022304871498</v>
      </c>
      <c r="E5" s="445">
        <f>tertiair!E16</f>
        <v>23.613913438124229</v>
      </c>
      <c r="F5" s="445">
        <f ca="1">tertiair!F16</f>
        <v>1705.5233002309178</v>
      </c>
      <c r="G5" s="445">
        <f>tertiair!G16</f>
        <v>0</v>
      </c>
      <c r="H5" s="445">
        <f>tertiair!H16</f>
        <v>0</v>
      </c>
      <c r="I5" s="445">
        <f>tertiair!I16</f>
        <v>0</v>
      </c>
      <c r="J5" s="445">
        <f>tertiair!J16</f>
        <v>1.219056858874676E-2</v>
      </c>
      <c r="K5" s="445">
        <f>tertiair!K16</f>
        <v>0</v>
      </c>
      <c r="L5" s="445">
        <f ca="1">tertiair!L16</f>
        <v>0</v>
      </c>
      <c r="M5" s="445">
        <f>tertiair!M16</f>
        <v>0</v>
      </c>
      <c r="N5" s="445">
        <f ca="1">tertiair!N16</f>
        <v>304.07552535553202</v>
      </c>
      <c r="O5" s="445">
        <f>tertiair!O16</f>
        <v>4.8972607658411542</v>
      </c>
      <c r="P5" s="446">
        <f>tertiair!P16</f>
        <v>0</v>
      </c>
      <c r="Q5" s="444">
        <f t="shared" ref="Q5:Q14" ca="1" si="0">SUM(B5:P5)</f>
        <v>20542.296763943574</v>
      </c>
    </row>
    <row r="6" spans="1:17">
      <c r="A6" s="444" t="s">
        <v>187</v>
      </c>
      <c r="B6" s="445">
        <f>'openbare verlichting'!B8</f>
        <v>604.13599999999997</v>
      </c>
      <c r="C6" s="445"/>
      <c r="D6" s="445"/>
      <c r="E6" s="445"/>
      <c r="F6" s="445"/>
      <c r="G6" s="445"/>
      <c r="H6" s="445"/>
      <c r="I6" s="445"/>
      <c r="J6" s="445"/>
      <c r="K6" s="445"/>
      <c r="L6" s="445"/>
      <c r="M6" s="445"/>
      <c r="N6" s="445"/>
      <c r="O6" s="445"/>
      <c r="P6" s="446"/>
      <c r="Q6" s="444">
        <f t="shared" si="0"/>
        <v>604.13599999999997</v>
      </c>
    </row>
    <row r="7" spans="1:17">
      <c r="A7" s="444" t="s">
        <v>105</v>
      </c>
      <c r="B7" s="445">
        <f>landbouw!B8</f>
        <v>391.622060424663</v>
      </c>
      <c r="C7" s="445">
        <f>landbouw!C8</f>
        <v>62.357142857142847</v>
      </c>
      <c r="D7" s="445">
        <f>landbouw!D8</f>
        <v>47.581181456261355</v>
      </c>
      <c r="E7" s="445">
        <f>landbouw!E8</f>
        <v>11.546125507731812</v>
      </c>
      <c r="F7" s="445">
        <f>landbouw!F8</f>
        <v>1244.714086262944</v>
      </c>
      <c r="G7" s="445">
        <f>landbouw!G8</f>
        <v>0</v>
      </c>
      <c r="H7" s="445">
        <f>landbouw!H8</f>
        <v>0</v>
      </c>
      <c r="I7" s="445">
        <f>landbouw!I8</f>
        <v>0</v>
      </c>
      <c r="J7" s="445">
        <f>landbouw!J8</f>
        <v>98.764678787329885</v>
      </c>
      <c r="K7" s="445">
        <f>landbouw!K8</f>
        <v>0</v>
      </c>
      <c r="L7" s="445">
        <f>landbouw!L8</f>
        <v>0</v>
      </c>
      <c r="M7" s="445">
        <f>landbouw!M8</f>
        <v>0</v>
      </c>
      <c r="N7" s="445">
        <f>landbouw!N8</f>
        <v>0</v>
      </c>
      <c r="O7" s="445">
        <f>landbouw!O8</f>
        <v>0</v>
      </c>
      <c r="P7" s="446">
        <f>landbouw!P8</f>
        <v>0</v>
      </c>
      <c r="Q7" s="444">
        <f t="shared" si="0"/>
        <v>1856.5852752960727</v>
      </c>
    </row>
    <row r="8" spans="1:17">
      <c r="A8" s="444" t="s">
        <v>587</v>
      </c>
      <c r="B8" s="445">
        <f>industrie!B18</f>
        <v>833.63984159421273</v>
      </c>
      <c r="C8" s="445">
        <f>industrie!C18</f>
        <v>0</v>
      </c>
      <c r="D8" s="445">
        <f>industrie!D18</f>
        <v>1299.4379160733624</v>
      </c>
      <c r="E8" s="445">
        <f>industrie!E18</f>
        <v>4.07556194270229</v>
      </c>
      <c r="F8" s="445">
        <f>industrie!F18</f>
        <v>151.02943240689288</v>
      </c>
      <c r="G8" s="445">
        <f>industrie!G18</f>
        <v>0</v>
      </c>
      <c r="H8" s="445">
        <f>industrie!H18</f>
        <v>0</v>
      </c>
      <c r="I8" s="445">
        <f>industrie!I18</f>
        <v>0</v>
      </c>
      <c r="J8" s="445">
        <f>industrie!J18</f>
        <v>0.19244991941683368</v>
      </c>
      <c r="K8" s="445">
        <f>industrie!K18</f>
        <v>0</v>
      </c>
      <c r="L8" s="445">
        <f>industrie!L18</f>
        <v>0</v>
      </c>
      <c r="M8" s="445">
        <f>industrie!M18</f>
        <v>0</v>
      </c>
      <c r="N8" s="445">
        <f>industrie!N18</f>
        <v>31.603351454046152</v>
      </c>
      <c r="O8" s="445">
        <f>industrie!O18</f>
        <v>0</v>
      </c>
      <c r="P8" s="446">
        <f>industrie!P18</f>
        <v>0</v>
      </c>
      <c r="Q8" s="444">
        <f t="shared" si="0"/>
        <v>2319.9785533906334</v>
      </c>
    </row>
    <row r="9" spans="1:17" s="450" customFormat="1">
      <c r="A9" s="448" t="s">
        <v>536</v>
      </c>
      <c r="B9" s="449">
        <f>transport!B14</f>
        <v>25.849873979949944</v>
      </c>
      <c r="C9" s="449">
        <f>transport!C14</f>
        <v>0</v>
      </c>
      <c r="D9" s="449">
        <f>transport!D14</f>
        <v>48.245413338105905</v>
      </c>
      <c r="E9" s="449">
        <f>transport!E14</f>
        <v>26.169686327856027</v>
      </c>
      <c r="F9" s="449">
        <f>transport!F14</f>
        <v>0</v>
      </c>
      <c r="G9" s="449">
        <f>transport!G14</f>
        <v>9036.164116531645</v>
      </c>
      <c r="H9" s="449">
        <f>transport!H14</f>
        <v>3170.4681188847444</v>
      </c>
      <c r="I9" s="449">
        <f>transport!I14</f>
        <v>0</v>
      </c>
      <c r="J9" s="449">
        <f>transport!J14</f>
        <v>0</v>
      </c>
      <c r="K9" s="449">
        <f>transport!K14</f>
        <v>0</v>
      </c>
      <c r="L9" s="449">
        <f>transport!L14</f>
        <v>0</v>
      </c>
      <c r="M9" s="449">
        <f>transport!M14</f>
        <v>729.15045481268749</v>
      </c>
      <c r="N9" s="449">
        <f>transport!N14</f>
        <v>0</v>
      </c>
      <c r="O9" s="449">
        <f>transport!O14</f>
        <v>0</v>
      </c>
      <c r="P9" s="449">
        <f>transport!P14</f>
        <v>0</v>
      </c>
      <c r="Q9" s="448">
        <f>SUM(B9:P9)</f>
        <v>13036.047663874988</v>
      </c>
    </row>
    <row r="10" spans="1:17">
      <c r="A10" s="444" t="s">
        <v>526</v>
      </c>
      <c r="B10" s="445">
        <f>transport!B54</f>
        <v>11.452480609267022</v>
      </c>
      <c r="C10" s="445">
        <f>transport!C54</f>
        <v>0</v>
      </c>
      <c r="D10" s="445">
        <f>transport!D54</f>
        <v>0</v>
      </c>
      <c r="E10" s="445">
        <f>transport!E54</f>
        <v>0</v>
      </c>
      <c r="F10" s="445">
        <f>transport!F54</f>
        <v>0</v>
      </c>
      <c r="G10" s="445">
        <f>transport!G54</f>
        <v>817.45743241416392</v>
      </c>
      <c r="H10" s="445">
        <f>transport!H54</f>
        <v>0</v>
      </c>
      <c r="I10" s="445">
        <f>transport!I54</f>
        <v>0</v>
      </c>
      <c r="J10" s="445">
        <f>transport!J54</f>
        <v>0</v>
      </c>
      <c r="K10" s="445">
        <f>transport!K54</f>
        <v>0</v>
      </c>
      <c r="L10" s="445">
        <f>transport!L54</f>
        <v>0</v>
      </c>
      <c r="M10" s="445">
        <f>transport!M54</f>
        <v>45.138849975642984</v>
      </c>
      <c r="N10" s="445">
        <f>transport!N54</f>
        <v>0</v>
      </c>
      <c r="O10" s="445">
        <f>transport!O54</f>
        <v>0</v>
      </c>
      <c r="P10" s="446">
        <f>transport!P54</f>
        <v>0</v>
      </c>
      <c r="Q10" s="444">
        <f t="shared" si="0"/>
        <v>874.04876299907392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413.469219410466</v>
      </c>
      <c r="C14" s="452"/>
      <c r="D14" s="452">
        <f>'SEAP template'!E25</f>
        <v>1205.9566883483301</v>
      </c>
      <c r="E14" s="452"/>
      <c r="F14" s="452"/>
      <c r="G14" s="452"/>
      <c r="H14" s="452"/>
      <c r="I14" s="452"/>
      <c r="J14" s="452"/>
      <c r="K14" s="452"/>
      <c r="L14" s="452"/>
      <c r="M14" s="452"/>
      <c r="N14" s="452"/>
      <c r="O14" s="452"/>
      <c r="P14" s="453"/>
      <c r="Q14" s="444">
        <f t="shared" si="0"/>
        <v>1619.425907758796</v>
      </c>
    </row>
    <row r="15" spans="1:17" s="456" customFormat="1">
      <c r="A15" s="454" t="s">
        <v>530</v>
      </c>
      <c r="B15" s="455">
        <f ca="1">SUM(B4:B14)</f>
        <v>23320.135482543421</v>
      </c>
      <c r="C15" s="455">
        <f t="shared" ref="C15:Q15" ca="1" si="1">SUM(C4:C14)</f>
        <v>124.71428571428569</v>
      </c>
      <c r="D15" s="455">
        <f t="shared" ca="1" si="1"/>
        <v>57965.239862828865</v>
      </c>
      <c r="E15" s="455">
        <f t="shared" si="1"/>
        <v>563.81756694519004</v>
      </c>
      <c r="F15" s="455">
        <f t="shared" ca="1" si="1"/>
        <v>11269.088724774299</v>
      </c>
      <c r="G15" s="455">
        <f t="shared" si="1"/>
        <v>9853.6215489458082</v>
      </c>
      <c r="H15" s="455">
        <f t="shared" si="1"/>
        <v>3170.4681188847444</v>
      </c>
      <c r="I15" s="455">
        <f t="shared" si="1"/>
        <v>0</v>
      </c>
      <c r="J15" s="455">
        <f t="shared" si="1"/>
        <v>144.05160263903619</v>
      </c>
      <c r="K15" s="455">
        <f t="shared" si="1"/>
        <v>0</v>
      </c>
      <c r="L15" s="455">
        <f t="shared" ca="1" si="1"/>
        <v>0</v>
      </c>
      <c r="M15" s="455">
        <f t="shared" si="1"/>
        <v>774.28930478833047</v>
      </c>
      <c r="N15" s="455">
        <f t="shared" ca="1" si="1"/>
        <v>4055.114697464966</v>
      </c>
      <c r="O15" s="455">
        <f t="shared" si="1"/>
        <v>145.75829434232043</v>
      </c>
      <c r="P15" s="455">
        <f t="shared" si="1"/>
        <v>874.31862253785675</v>
      </c>
      <c r="Q15" s="455">
        <f t="shared" ca="1" si="1"/>
        <v>112260.61811240914</v>
      </c>
    </row>
    <row r="17" spans="1:17">
      <c r="A17" s="457" t="s">
        <v>531</v>
      </c>
      <c r="B17" s="737">
        <f ca="1">huishoudens!B10</f>
        <v>0.20374823260792768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2805.2404831802305</v>
      </c>
      <c r="C22" s="445">
        <f t="shared" ref="C22:C32" ca="1" si="3">C4*$C$17</f>
        <v>0</v>
      </c>
      <c r="D22" s="445">
        <f t="shared" ref="D22:D32" si="4">D4*$D$17</f>
        <v>8927.1872644657469</v>
      </c>
      <c r="E22" s="445">
        <f t="shared" ref="E22:E32" si="5">E4*$E$17</f>
        <v>113.13958749843206</v>
      </c>
      <c r="F22" s="445">
        <f t="shared" ref="F22:F32" si="6">F4*$F$17</f>
        <v>2180.8084488682366</v>
      </c>
      <c r="G22" s="445">
        <f t="shared" ref="G22:G32" si="7">G4*$G$17</f>
        <v>0</v>
      </c>
      <c r="H22" s="445">
        <f t="shared" ref="H22:H32" si="8">H4*$H$17</f>
        <v>0</v>
      </c>
      <c r="I22" s="445">
        <f t="shared" ref="I22:I32" si="9">I4*$I$17</f>
        <v>0</v>
      </c>
      <c r="J22" s="445">
        <f t="shared" ref="J22:J32" si="10">J4*$J$17</f>
        <v>15.959128310750053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14042.334912323395</v>
      </c>
    </row>
    <row r="23" spans="1:17">
      <c r="A23" s="444" t="s">
        <v>149</v>
      </c>
      <c r="B23" s="445">
        <f t="shared" ca="1" si="2"/>
        <v>1481.615404780089</v>
      </c>
      <c r="C23" s="445">
        <f t="shared" ca="1" si="3"/>
        <v>0</v>
      </c>
      <c r="D23" s="445">
        <f t="shared" ca="1" si="4"/>
        <v>2256.3445055840425</v>
      </c>
      <c r="E23" s="445">
        <f t="shared" si="5"/>
        <v>5.3603583504542005</v>
      </c>
      <c r="F23" s="445">
        <f t="shared" ca="1" si="6"/>
        <v>455.37472116165509</v>
      </c>
      <c r="G23" s="445">
        <f t="shared" si="7"/>
        <v>0</v>
      </c>
      <c r="H23" s="445">
        <f t="shared" si="8"/>
        <v>0</v>
      </c>
      <c r="I23" s="445">
        <f t="shared" si="9"/>
        <v>0</v>
      </c>
      <c r="J23" s="445">
        <f t="shared" si="10"/>
        <v>4.3154612804163529E-3</v>
      </c>
      <c r="K23" s="445">
        <f t="shared" si="11"/>
        <v>0</v>
      </c>
      <c r="L23" s="445">
        <f t="shared" ca="1" si="12"/>
        <v>0</v>
      </c>
      <c r="M23" s="445">
        <f t="shared" si="13"/>
        <v>0</v>
      </c>
      <c r="N23" s="445">
        <f t="shared" ca="1" si="14"/>
        <v>0</v>
      </c>
      <c r="O23" s="445">
        <f t="shared" si="15"/>
        <v>0</v>
      </c>
      <c r="P23" s="446">
        <f t="shared" si="16"/>
        <v>0</v>
      </c>
      <c r="Q23" s="444">
        <f t="shared" ref="Q23:Q31" ca="1" si="17">SUM(B23:P23)</f>
        <v>4198.6993053375209</v>
      </c>
    </row>
    <row r="24" spans="1:17">
      <c r="A24" s="444" t="s">
        <v>187</v>
      </c>
      <c r="B24" s="445">
        <f t="shared" ca="1" si="2"/>
        <v>123.09164225482299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123.09164225482299</v>
      </c>
    </row>
    <row r="25" spans="1:17">
      <c r="A25" s="444" t="s">
        <v>105</v>
      </c>
      <c r="B25" s="445">
        <f t="shared" ca="1" si="2"/>
        <v>79.79230266180015</v>
      </c>
      <c r="C25" s="445">
        <f t="shared" ca="1" si="3"/>
        <v>0</v>
      </c>
      <c r="D25" s="445">
        <f t="shared" si="4"/>
        <v>9.6113986541647947</v>
      </c>
      <c r="E25" s="445">
        <f t="shared" si="5"/>
        <v>2.6209704902551216</v>
      </c>
      <c r="F25" s="445">
        <f t="shared" si="6"/>
        <v>332.33866103220606</v>
      </c>
      <c r="G25" s="445">
        <f t="shared" si="7"/>
        <v>0</v>
      </c>
      <c r="H25" s="445">
        <f t="shared" si="8"/>
        <v>0</v>
      </c>
      <c r="I25" s="445">
        <f t="shared" si="9"/>
        <v>0</v>
      </c>
      <c r="J25" s="445">
        <f t="shared" si="10"/>
        <v>34.962696290714774</v>
      </c>
      <c r="K25" s="445">
        <f t="shared" si="11"/>
        <v>0</v>
      </c>
      <c r="L25" s="445">
        <f t="shared" si="12"/>
        <v>0</v>
      </c>
      <c r="M25" s="445">
        <f t="shared" si="13"/>
        <v>0</v>
      </c>
      <c r="N25" s="445">
        <f t="shared" si="14"/>
        <v>0</v>
      </c>
      <c r="O25" s="445">
        <f t="shared" si="15"/>
        <v>0</v>
      </c>
      <c r="P25" s="446">
        <f t="shared" si="16"/>
        <v>0</v>
      </c>
      <c r="Q25" s="444">
        <f t="shared" ca="1" si="17"/>
        <v>459.32602912914092</v>
      </c>
    </row>
    <row r="26" spans="1:17">
      <c r="A26" s="444" t="s">
        <v>587</v>
      </c>
      <c r="B26" s="445">
        <f t="shared" ca="1" si="2"/>
        <v>169.85264435637364</v>
      </c>
      <c r="C26" s="445">
        <f t="shared" ca="1" si="3"/>
        <v>0</v>
      </c>
      <c r="D26" s="445">
        <f t="shared" si="4"/>
        <v>262.48645904681922</v>
      </c>
      <c r="E26" s="445">
        <f t="shared" si="5"/>
        <v>0.92515256099341991</v>
      </c>
      <c r="F26" s="445">
        <f t="shared" si="6"/>
        <v>40.324858452640399</v>
      </c>
      <c r="G26" s="445">
        <f t="shared" si="7"/>
        <v>0</v>
      </c>
      <c r="H26" s="445">
        <f t="shared" si="8"/>
        <v>0</v>
      </c>
      <c r="I26" s="445">
        <f t="shared" si="9"/>
        <v>0</v>
      </c>
      <c r="J26" s="445">
        <f t="shared" si="10"/>
        <v>6.8127271473559112E-2</v>
      </c>
      <c r="K26" s="445">
        <f t="shared" si="11"/>
        <v>0</v>
      </c>
      <c r="L26" s="445">
        <f t="shared" si="12"/>
        <v>0</v>
      </c>
      <c r="M26" s="445">
        <f t="shared" si="13"/>
        <v>0</v>
      </c>
      <c r="N26" s="445">
        <f t="shared" si="14"/>
        <v>0</v>
      </c>
      <c r="O26" s="445">
        <f t="shared" si="15"/>
        <v>0</v>
      </c>
      <c r="P26" s="446">
        <f t="shared" si="16"/>
        <v>0</v>
      </c>
      <c r="Q26" s="444">
        <f t="shared" ca="1" si="17"/>
        <v>473.65724168830025</v>
      </c>
    </row>
    <row r="27" spans="1:17" s="450" customFormat="1">
      <c r="A27" s="448" t="s">
        <v>536</v>
      </c>
      <c r="B27" s="731">
        <f t="shared" ca="1" si="2"/>
        <v>5.2668661365524585</v>
      </c>
      <c r="C27" s="449">
        <f t="shared" ca="1" si="3"/>
        <v>0</v>
      </c>
      <c r="D27" s="449">
        <f t="shared" si="4"/>
        <v>9.7455734942973926</v>
      </c>
      <c r="E27" s="449">
        <f t="shared" si="5"/>
        <v>5.9405187964233184</v>
      </c>
      <c r="F27" s="449">
        <f t="shared" si="6"/>
        <v>0</v>
      </c>
      <c r="G27" s="449">
        <f t="shared" si="7"/>
        <v>2412.6558191139493</v>
      </c>
      <c r="H27" s="449">
        <f t="shared" si="8"/>
        <v>789.44656160230136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3223.0553391435237</v>
      </c>
    </row>
    <row r="28" spans="1:17" ht="16.5" customHeight="1">
      <c r="A28" s="444" t="s">
        <v>526</v>
      </c>
      <c r="B28" s="445">
        <f t="shared" ca="1" si="2"/>
        <v>2.3334226831147187</v>
      </c>
      <c r="C28" s="445">
        <f t="shared" ca="1" si="3"/>
        <v>0</v>
      </c>
      <c r="D28" s="445">
        <f t="shared" si="4"/>
        <v>0</v>
      </c>
      <c r="E28" s="445">
        <f t="shared" si="5"/>
        <v>0</v>
      </c>
      <c r="F28" s="445">
        <f t="shared" si="6"/>
        <v>0</v>
      </c>
      <c r="G28" s="445">
        <f t="shared" si="7"/>
        <v>218.26113445458176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220.59455713769648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84.243622692661916</v>
      </c>
      <c r="C32" s="445">
        <f t="shared" ca="1" si="3"/>
        <v>0</v>
      </c>
      <c r="D32" s="445">
        <f t="shared" si="4"/>
        <v>243.60325104636269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327.8468737390246</v>
      </c>
    </row>
    <row r="33" spans="1:17" s="456" customFormat="1">
      <c r="A33" s="454" t="s">
        <v>530</v>
      </c>
      <c r="B33" s="455">
        <f ca="1">SUM(B22:B32)</f>
        <v>4751.4363887456448</v>
      </c>
      <c r="C33" s="455">
        <f t="shared" ref="C33:Q33" ca="1" si="19">SUM(C22:C32)</f>
        <v>0</v>
      </c>
      <c r="D33" s="455">
        <f t="shared" ca="1" si="19"/>
        <v>11708.978452291432</v>
      </c>
      <c r="E33" s="455">
        <f t="shared" si="19"/>
        <v>127.98658769655813</v>
      </c>
      <c r="F33" s="455">
        <f t="shared" ca="1" si="19"/>
        <v>3008.846689514738</v>
      </c>
      <c r="G33" s="455">
        <f t="shared" si="19"/>
        <v>2630.916953568531</v>
      </c>
      <c r="H33" s="455">
        <f t="shared" si="19"/>
        <v>789.44656160230136</v>
      </c>
      <c r="I33" s="455">
        <f t="shared" si="19"/>
        <v>0</v>
      </c>
      <c r="J33" s="455">
        <f t="shared" si="19"/>
        <v>50.994267334218804</v>
      </c>
      <c r="K33" s="455">
        <f t="shared" si="19"/>
        <v>0</v>
      </c>
      <c r="L33" s="455">
        <f t="shared" ca="1" si="19"/>
        <v>0</v>
      </c>
      <c r="M33" s="455">
        <f t="shared" si="19"/>
        <v>0</v>
      </c>
      <c r="N33" s="455">
        <f t="shared" ca="1" si="19"/>
        <v>0</v>
      </c>
      <c r="O33" s="455">
        <f t="shared" si="19"/>
        <v>0</v>
      </c>
      <c r="P33" s="455">
        <f t="shared" si="19"/>
        <v>0</v>
      </c>
      <c r="Q33" s="455">
        <f t="shared" ca="1" si="19"/>
        <v>23068.605900753424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1733.1233162735359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87.299999999999983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102.70588235294116</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1820.4233162735359</v>
      </c>
      <c r="C10" s="974">
        <f>SUM(C4:C9)</f>
        <v>0</v>
      </c>
      <c r="D10" s="974">
        <f t="shared" ref="D10:H10" si="0">SUM(D8:D9)</f>
        <v>0</v>
      </c>
      <c r="E10" s="974">
        <f t="shared" si="0"/>
        <v>0</v>
      </c>
      <c r="F10" s="974">
        <f t="shared" si="0"/>
        <v>0</v>
      </c>
      <c r="G10" s="974">
        <f t="shared" si="0"/>
        <v>0</v>
      </c>
      <c r="H10" s="974">
        <f t="shared" si="0"/>
        <v>0</v>
      </c>
      <c r="I10" s="974">
        <f>SUM(I8:I9)</f>
        <v>0</v>
      </c>
      <c r="J10" s="974">
        <f>SUM(J8:J9)</f>
        <v>102.70588235294116</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0.20374823260792768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124.71428571428569</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0</v>
      </c>
      <c r="D20" s="974">
        <f t="shared" ref="D20:H20" si="2">SUM(D17:D19)</f>
        <v>0</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0.20374823260792768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2022-07-26T09:37:38Z</dcterms:modified>
</cp:coreProperties>
</file>