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9FD710C4-F2A5-4665-8875-CD561447651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<sst xmlns="http://schemas.openxmlformats.org/spreadsheetml/2006/main" count="2382" uniqueCount="864">
  <si>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</si>
  <si>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</si>
  <si>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</si>
  <si>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</si>
  <si>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</si>
  <si>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</si>
  <si>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</si>
  <si>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</si>
  <si>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</si>
  <si>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</si>
  <si>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</si>
  <si>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</si>
  <si>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</si>
  <si>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</si>
  <si>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</si>
  <si>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</si>
  <si>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</si>
  <si>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</si>
  <si>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</si>
  <si>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</si>
  <si>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</si>
  <si>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</si>
  <si>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</si>
  <si>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</si>
  <si>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</si>
  <si>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</si>
  <si>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</si>
  <si>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</si>
  <si>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</si>
  <si>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</si>
  <si>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</si>
  <si>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</si>
  <si>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</si>
  <si>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</si>
  <si>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</si>
  <si>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</si>
  <si>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</si>
  <si>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</si>
  <si>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</si>
  <si>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</si>
  <si>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</si>
  <si>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</si>
  <si>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</si>
  <si>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</si>
  <si>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</si>
  <si>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</si>
  <si>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</si>
  <si>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</si>
  <si>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</si>
  <si>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</si>
  <si>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</si>
  <si>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</si>
  <si>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</si>
  <si>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</si>
  <si>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</si>
  <si>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</si>
  <si>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</si>
  <si>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</si>
  <si>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</si>
  <si>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</si>
  <si>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</si>
  <si>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</si>
  <si>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</si>
  <si>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</si>
  <si>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</si>
  <si>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</si>
  <si>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</si>
  <si>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</si>
  <si>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</si>
  <si>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</si>
  <si>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</si>
  <si>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</si>
  <si>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</si>
  <si>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</si>
  <si>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</si>
  <si>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</si>
  <si>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</si>
  <si>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</si>
  <si>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</si>
  <si>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</si>
  <si>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</si>
  <si>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</si>
  <si>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</si>
  <si>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</si>
  <si>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</si>
  <si>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</si>
  <si>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</si>
  <si>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</si>
  <si>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</si>
  <si>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</si>
  <si>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</si>
  <si>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</si>
  <si>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</si>
  <si>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</si>
  <si>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</si>
  <si>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</si>
  <si>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</si>
  <si>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</si>
  <si>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</si>
  <si>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</si>
  <si>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</si>
  <si>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</si>
  <si>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</si>
  <si>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</si>
  <si>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</si>
  <si>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</si>
  <si>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</si>
  <si>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</si>
  <si>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</si>
  <si>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</si>
  <si>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</si>
  <si>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</si>
  <si>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</si>
  <si>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</si>
  <si>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</si>
  <si>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</si>
  <si>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</si>
  <si>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</si>
  <si>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</si>
  <si>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</si>
  <si>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</si>
  <si>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</si>
  <si>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</si>
  <si>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</si>
  <si>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</si>
  <si>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</si>
  <si>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</si>
  <si>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</si>
  <si>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</si>
  <si>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</si>
  <si>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</si>
  <si>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</si>
  <si>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</si>
  <si>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</si>
  <si>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</si>
  <si>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</si>
  <si>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</si>
  <si>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</si>
  <si>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</si>
  <si>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</si>
  <si>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</si>
  <si>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</si>
  <si>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</si>
  <si>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</si>
  <si>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</si>
  <si>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</si>
  <si>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</si>
  <si>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</si>
  <si>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</si>
  <si>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</si>
  <si>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</si>
  <si>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</si>
  <si>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</si>
  <si>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</si>
  <si>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</si>
  <si>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</si>
  <si>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</si>
  <si>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</si>
  <si>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</si>
  <si>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</si>
  <si>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</si>
  <si>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</si>
  <si>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</si>
  <si>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</si>
  <si>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</si>
  <si>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</si>
  <si>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</si>
  <si>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</si>
  <si>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</si>
  <si>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</si>
  <si>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</si>
  <si>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</si>
  <si>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</si>
  <si>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</si>
  <si>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</si>
  <si>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</si>
  <si>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</si>
  <si>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</si>
  <si>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</si>
  <si>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</si>
  <si>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</si>
  <si>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</si>
  <si>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</si>
  <si>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</si>
  <si>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</si>
  <si>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</si>
  <si>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</si>
  <si>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</si>
  <si>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</si>
  <si>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</si>
  <si>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</si>
  <si>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</si>
  <si>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</si>
  <si>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</si>
  <si>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</si>
  <si>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</si>
  <si>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</si>
  <si>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</si>
  <si>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</si>
  <si>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</si>
  <si>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</si>
  <si>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</si>
  <si>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</si>
  <si>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</si>
  <si>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</si>
  <si>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</si>
  <si>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</si>
  <si>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</si>
  <si>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</si>
  <si>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</si>
  <si>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</si>
  <si>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</si>
  <si>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</si>
  <si>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</si>
  <si>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</si>
  <si>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</si>
  <si>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</si>
  <si>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</si>
  <si>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</si>
  <si>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</si>
  <si>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</si>
  <si>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</si>
  <si>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</si>
  <si>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</si>
  <si>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</si>
  <si>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</si>
  <si>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</si>
  <si>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</si>
  <si>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</si>
  <si>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</si>
  <si>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</si>
  <si>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</si>
  <si>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</si>
  <si>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</si>
  <si>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</si>
  <si>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</si>
  <si>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</si>
  <si>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</si>
  <si>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</si>
  <si>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</si>
  <si>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</si>
  <si>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</si>
  <si>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</si>
  <si>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</si>
  <si>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</si>
  <si>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</si>
  <si>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</si>
  <si>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</si>
  <si>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</si>
  <si>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</si>
  <si>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</si>
  <si>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</si>
  <si>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</si>
  <si>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</si>
  <si>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</si>
  <si>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</si>
  <si>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</si>
  <si>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</si>
  <si>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</si>
  <si>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</si>
  <si>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</si>
  <si>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</si>
  <si>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</si>
  <si>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</si>
  <si>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</si>
  <si>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</si>
  <si>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</si>
  <si>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</si>
  <si>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</si>
  <si>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</si>
  <si>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</si>
  <si>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</si>
  <si>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</si>
  <si>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</si>
  <si>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</si>
  <si>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</si>
  <si>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</si>
  <si>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</si>
  <si>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</si>
  <si>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</si>
  <si>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</si>
  <si>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</si>
  <si>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</si>
  <si>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</si>
  <si>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</si>
  <si>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</si>
  <si>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</si>
  <si>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</si>
  <si>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</si>
  <si>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</si>
  <si>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</si>
  <si>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</si>
  <si>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</si>
  <si>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</si>
  <si>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</si>
  <si>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</si>
  <si>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</si>
  <si>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</si>
  <si>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</si>
  <si>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</si>
  <si>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</si>
  <si>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</si>
  <si>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</si>
  <si>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</si>
  <si>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</si>
  <si>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</si>
  <si>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</si>
  <si>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</si>
  <si>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</si>
  <si>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</si>
  <si>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</si>
  <si>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</si>
  <si>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</si>
  <si>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</si>
  <si>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</si>
  <si>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</si>
  <si>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</si>
  <si>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</si>
  <si>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</si>
  <si>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</si>
  <si>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</si>
  <si>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</si>
  <si>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</si>
  <si>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</si>
  <si>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</si>
  <si>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</si>
  <si>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</si>
  <si>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</si>
  <si>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</si>
  <si>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</si>
  <si>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</si>
  <si>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</si>
  <si>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</si>
  <si>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</si>
  <si>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</si>
  <si>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</si>
  <si>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</si>
  <si>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</si>
  <si>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</si>
  <si>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</si>
  <si>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</si>
  <si>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</si>
  <si>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</si>
  <si>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</si>
  <si>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</si>
  <si>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</si>
  <si>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</si>
  <si>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</si>
  <si>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</si>
  <si>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</si>
  <si>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</si>
  <si>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</si>
  <si>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</si>
  <si>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</si>
  <si>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</si>
  <si>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</si>
  <si>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</si>
  <si>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</si>
  <si>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</si>
  <si>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</si>
  <si>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</si>
  <si>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</si>
  <si>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</si>
  <si>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</si>
  <si>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</si>
  <si>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</si>
  <si>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</si>
  <si>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</si>
  <si>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</si>
  <si>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</si>
  <si>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</si>
  <si>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</si>
  <si>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</si>
  <si>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</si>
  <si>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</si>
  <si>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</si>
  <si>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</si>
  <si>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</si>
  <si>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</si>
  <si>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</si>
  <si>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</si>
  <si>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</si>
  <si>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</si>
  <si>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</si>
  <si>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</si>
  <si>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</si>
  <si>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</si>
  <si>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</si>
  <si>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</si>
  <si>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</si>
  <si>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</si>
  <si>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</si>
  <si>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</si>
  <si>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</si>
  <si>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</si>
  <si>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</si>
  <si>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</si>
  <si>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</si>
  <si>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</si>
  <si>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</si>
  <si>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</si>
  <si>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</si>
  <si>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</si>
  <si>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</si>
  <si>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</si>
  <si>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</si>
  <si>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</si>
  <si>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</si>
  <si>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</si>
  <si>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</si>
  <si>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</si>
  <si>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</si>
  <si>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</si>
  <si>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</si>
  <si>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</si>
  <si>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</si>
  <si>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</si>
  <si>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</si>
  <si>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</si>
  <si>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</si>
  <si>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</si>
  <si>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</si>
  <si>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</si>
  <si>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</si>
  <si>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</si>
  <si>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</si>
  <si>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</si>
  <si>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</si>
  <si>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</si>
  <si>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</si>
  <si>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</si>
  <si>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</si>
  <si>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</si>
  <si>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</si>
  <si>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</si>
  <si>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</si>
  <si>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</si>
  <si>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</si>
  <si>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</si>
  <si>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</si>
  <si>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</si>
  <si>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</si>
  <si>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</si>
  <si>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</si>
  <si>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</si>
  <si>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</si>
  <si>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</si>
  <si>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</si>
  <si>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</si>
  <si>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</si>
  <si>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</si>
  <si>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</si>
  <si>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</si>
  <si>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</si>
  <si>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</si>
  <si>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</si>
  <si>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</si>
  <si>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</si>
  <si>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</si>
  <si>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</si>
  <si>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</si>
  <si>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</si>
  <si>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</si>
  <si>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</si>
  <si>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</si>
  <si>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</si>
  <si>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</si>
  <si>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</si>
  <si>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</si>
  <si>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</si>
  <si>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</si>
  <si>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</si>
  <si>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</si>
  <si>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</si>
  <si>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</si>
  <si>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</si>
  <si>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</si>
  <si>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</si>
  <si>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</si>
  <si>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</si>
  <si>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</si>
  <si>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</si>
  <si>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</si>
  <si>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</si>
  <si>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</si>
  <si>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</si>
  <si>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</si>
  <si>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</si>
  <si>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</si>
  <si>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</si>
  <si>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</si>
  <si>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</si>
  <si>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</si>
  <si>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</si>
  <si>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</si>
  <si>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</si>
  <si>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</si>
  <si>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</si>
  <si>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</si>
  <si>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</si>
  <si>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</si>
  <si>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</si>
  <si>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</si>
  <si>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</si>
  <si>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</si>
  <si>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</si>
  <si>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</si>
  <si>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</si>
  <si>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</si>
  <si>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</si>
  <si>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</si>
  <si>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</si>
  <si>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</si>
  <si>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</si>
  <si>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</si>
  <si>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</si>
  <si>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</si>
  <si>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</si>
  <si>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</si>
  <si>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</si>
  <si>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</si>
  <si>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</si>
  <si>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</si>
  <si>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</si>
  <si>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</si>
  <si>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</si>
  <si>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</si>
  <si>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</si>
  <si>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</si>
  <si>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</si>
  <si>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</si>
  <si>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</si>
  <si>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</si>
  <si>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</si>
  <si>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</si>
  <si>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</si>
  <si>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</si>
  <si>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</si>
  <si>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</si>
  <si>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</si>
  <si>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</si>
  <si>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</si>
  <si>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</si>
  <si>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</si>
  <si>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</si>
  <si>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</si>
  <si>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</si>
  <si>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</si>
  <si>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</si>
  <si>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</si>
  <si>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</si>
  <si>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</si>
  <si>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</si>
  <si>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</si>
  <si>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</si>
  <si>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</si>
  <si>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</si>
  <si>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</si>
  <si>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</si>
  <si>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</si>
  <si>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</si>
  <si>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</si>
  <si>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</si>
  <si>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</si>
  <si>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</si>
  <si>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</si>
  <si>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</si>
  <si>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</si>
  <si>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</si>
  <si>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</si>
  <si>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</si>
  <si>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</si>
  <si>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</si>
  <si>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</si>
  <si>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</si>
  <si>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</si>
  <si>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</si>
  <si>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</si>
  <si>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</si>
  <si>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</si>
  <si>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</si>
  <si>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</si>
  <si>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</si>
  <si>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</si>
  <si>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</si>
  <si>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</si>
  <si>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</si>
  <si>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</si>
  <si>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</si>
  <si>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</si>
  <si>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</si>
  <si>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</si>
  <si>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</si>
  <si>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</si>
  <si>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</si>
  <si>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</si>
  <si>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</si>
  <si>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</si>
  <si>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</si>
  <si>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</si>
  <si>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</si>
  <si>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</si>
  <si>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</si>
  <si>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</si>
  <si>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</si>
  <si>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</si>
  <si>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</si>
  <si>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</si>
  <si>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</si>
  <si>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</si>
  <si>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</si>
  <si>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</si>
  <si>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</si>
  <si>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</si>
  <si>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</si>
  <si>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</si>
  <si>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</si>
  <si>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</si>
  <si>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</si>
  <si>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</si>
  <si>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</si>
  <si>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</si>
  <si>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</si>
  <si>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</si>
  <si>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</si>
  <si>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</si>
  <si>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</si>
  <si>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</si>
  <si>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</si>
  <si>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</si>
  <si>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</si>
  <si>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</si>
  <si>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</si>
  <si>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</si>
  <si>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</si>
  <si>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</si>
  <si>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</si>
  <si>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</si>
  <si>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</si>
  <si>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</si>
  <si>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</si>
  <si>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</si>
  <si>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</si>
  <si>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</si>
  <si>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</si>
  <si>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</si>
  <si>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</si>
  <si>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</si>
  <si>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</si>
  <si>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</si>
  <si>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</si>
  <si>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</si>
  <si>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</si>
  <si>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</si>
  <si>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</si>
  <si>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</si>
  <si>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</si>
  <si>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</si>
  <si>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</si>
  <si>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</si>
  <si>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</si>
  <si>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</si>
  <si>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</si>
  <si>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</si>
  <si>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</si>
  <si>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</si>
  <si>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</si>
  <si>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</si>
  <si>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</si>
  <si>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</si>
  <si>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</si>
  <si>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</si>
  <si>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</si>
  <si>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</si>
  <si>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</si>
  <si>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</si>
  <si>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</si>
  <si>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</si>
  <si>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</si>
  <si>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</si>
  <si>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</si>
  <si>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</si>
  <si>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</si>
  <si>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</si>
  <si>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</si>
  <si>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</si>
  <si>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</si>
  <si>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</si>
  <si>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</si>
  <si>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</si>
  <si>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</si>
  <si>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</si>
  <si>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</si>
  <si>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</si>
  <si>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</si>
  <si>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</si>
  <si>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</si>
  <si>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</si>
  <si>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</si>
  <si>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</si>
  <si>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</si>
  <si>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</si>
  <si>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</si>
  <si>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</si>
  <si>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</si>
  <si>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</si>
  <si>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</si>
  <si>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</si>
  <si>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</si>
  <si>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</si>
  <si>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</si>
  <si>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</si>
  <si>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</si>
  <si>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</si>
  <si>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</si>
  <si>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</si>
  <si>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</si>
  <si>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</si>
  <si>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</si>
  <si>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</si>
  <si>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</si>
  <si>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</si>
  <si>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</si>
  <si>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</si>
  <si>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</si>
  <si>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</si>
  <si>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</si>
  <si>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</si>
  <si>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</si>
  <si>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</si>
  <si>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</si>
  <si>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</si>
  <si>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</si>
  <si>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</si>
  <si>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</si>
  <si>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</si>
  <si>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</si>
  <si>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</si>
  <si>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</si>
  <si>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</si>
  <si>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</si>
  <si>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</si>
  <si>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</si>
  <si>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</si>
  <si>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</si>
  <si>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</si>
  <si>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</si>
  <si>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</si>
  <si>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</si>
  <si>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</si>
  <si>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</si>
  <si>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</si>
  <si>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</si>
  <si>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</si>
  <si>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</si>
  <si>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</si>
  <si>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</si>
  <si>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</si>
  <si>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</si>
  <si>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</si>
  <si>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</si>
  <si>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</si>
  <si>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</si>
  <si>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</si>
  <si>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</si>
  <si>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</si>
  <si>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</si>
  <si>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</si>
  <si>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</si>
  <si>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</si>
  <si>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</si>
  <si>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</si>
  <si>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</si>
  <si>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</si>
  <si>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</si>
  <si>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</si>
  <si>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</si>
  <si>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</si>
  <si>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</si>
  <si>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</si>
  <si>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</si>
  <si>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</si>
  <si>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</si>
  <si>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</si>
  <si>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</si>
  <si>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</si>
  <si>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</si>
  <si>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</si>
  <si>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</si>
  <si>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</si>
  <si>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</si>
  <si>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</si>
  <si>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</si>
  <si>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</si>
  <si>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</si>
  <si>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</si>
  <si>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</si>
  <si>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</si>
  <si>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</si>
  <si>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</si>
  <si>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</si>
  <si>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</si>
  <si>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</si>
  <si>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</si>
  <si>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</si>
  <si>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</si>
  <si>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</si>
  <si>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</si>
  <si>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</si>
  <si>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</si>
  <si>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</si>
  <si>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</si>
  <si>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</si>
  <si>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</si>
  <si>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</si>
  <si>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</si>
  <si>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</si>
  <si>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</si>
  <si>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</si>
  <si>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</si>
  <si>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</si>
  <si>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</si>
  <si>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</si>
  <si>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</si>
  <si>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</si>
  <si>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</si>
  <si>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</si>
  <si>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</si>
  <si>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</si>
  <si>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</si>
  <si>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</si>
  <si>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</si>
  <si>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</si>
  <si>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</si>
  <si>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</si>
  <si>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</si>
  <si>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</si>
  <si>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</si>
  <si>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</si>
  <si>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</si>
  <si>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</si>
  <si>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</si>
  <si>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</si>
  <si>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</si>
  <si>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</si>
  <si>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</si>
  <si>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</si>
  <si>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</si>
  <si>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</si>
  <si>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</si>
  <si>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</si>
  <si>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</si>
  <si>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</si>
  <si>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</si>
  <si>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</si>
  <si>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</si>
  <si>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</si>
  <si>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11008</t>
  </si>
  <si>
    <t>BRASSCHAAT</t>
  </si>
  <si>
    <t>waterkracht</t>
  </si>
  <si>
    <t>vloeibaar gas (MWh)</t>
  </si>
  <si>
    <t>interne verbrandingsmotor</t>
  </si>
  <si>
    <t>WKK interne verbrandinsgmotor (gas)</t>
  </si>
  <si>
    <t>IMEA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</si>
</sst>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7CF7ABA2-032B-4787-8564-4A1BB9FD755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360046.78086203925</c:v>
                </c:pt>
                <c:pt idx="1">
                  <c:v>151221.1445634148</c:v>
                </c:pt>
                <c:pt idx="2">
                  <c:v>1804.239</c:v>
                </c:pt>
                <c:pt idx="3">
                  <c:v>888.39123412808476</c:v>
                </c:pt>
                <c:pt idx="4">
                  <c:v>9247.6588643874202</c:v>
                </c:pt>
                <c:pt idx="5">
                  <c:v>179235.93524816923</c:v>
                </c:pt>
                <c:pt idx="6">
                  <c:v>3541.4038112344097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360046.78086203925</c:v>
                </c:pt>
                <c:pt idx="1">
                  <c:v>151221.1445634148</c:v>
                </c:pt>
                <c:pt idx="2">
                  <c:v>1804.239</c:v>
                </c:pt>
                <c:pt idx="3">
                  <c:v>888.39123412808476</c:v>
                </c:pt>
                <c:pt idx="4">
                  <c:v>9247.6588643874202</c:v>
                </c:pt>
                <c:pt idx="5">
                  <c:v>179235.93524816923</c:v>
                </c:pt>
                <c:pt idx="6">
                  <c:v>3541.4038112344097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71813.551387950371</c:v>
                </c:pt>
                <c:pt idx="1">
                  <c:v>31175.895395564537</c:v>
                </c:pt>
                <c:pt idx="2">
                  <c:v>379.49285675256505</c:v>
                </c:pt>
                <c:pt idx="3">
                  <c:v>214.4248954623001</c:v>
                </c:pt>
                <c:pt idx="4">
                  <c:v>1978.8507512577542</c:v>
                </c:pt>
                <c:pt idx="5">
                  <c:v>44442.733187299244</c:v>
                </c:pt>
                <c:pt idx="6">
                  <c:v>894.09372135050648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71813.551387950371</c:v>
                </c:pt>
                <c:pt idx="1">
                  <c:v>31175.895395564537</c:v>
                </c:pt>
                <c:pt idx="2">
                  <c:v>379.49285675256505</c:v>
                </c:pt>
                <c:pt idx="3">
                  <c:v>214.4248954623001</c:v>
                </c:pt>
                <c:pt idx="4">
                  <c:v>1978.8507512577542</c:v>
                </c:pt>
                <c:pt idx="5">
                  <c:v>44442.733187299244</c:v>
                </c:pt>
                <c:pt idx="6">
                  <c:v>894.09372135050648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11008</v>
      </c>
      <c r="B6" s="382"/>
      <c r="C6" s="383"/>
    </row>
    <row r="7" spans="1:7" s="380" customFormat="1" ht="15.75" customHeight="1">
      <c r="A7" s="384" t="str">
        <f>txtMunicipality</f>
        <v>BRASSCHAAT</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0.21033402822606376</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0.21033402822606376</v>
      </c>
      <c r="C29" s="494">
        <f ca="1">'EF ele_warmte'!B22</f>
        <v>0.23764705882352946</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16101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297.89</v>
      </c>
      <c r="C14" s="324"/>
      <c r="D14" s="324"/>
      <c r="E14" s="324"/>
      <c r="F14" s="324"/>
    </row>
    <row r="15" spans="1:6">
      <c r="A15" s="1264" t="s">
        <v>177</v>
      </c>
      <c r="B15" s="1265">
        <v>0</v>
      </c>
      <c r="C15" s="324"/>
      <c r="D15" s="324"/>
      <c r="E15" s="324"/>
      <c r="F15" s="324"/>
    </row>
    <row r="16" spans="1:6">
      <c r="A16" s="1264" t="s">
        <v>6</v>
      </c>
      <c r="B16" s="1265">
        <v>0</v>
      </c>
      <c r="C16" s="324"/>
      <c r="D16" s="324"/>
      <c r="E16" s="324"/>
      <c r="F16" s="324"/>
    </row>
    <row r="17" spans="1:6">
      <c r="A17" s="1264" t="s">
        <v>7</v>
      </c>
      <c r="B17" s="1265">
        <v>3</v>
      </c>
      <c r="C17" s="324"/>
      <c r="D17" s="324"/>
      <c r="E17" s="324"/>
      <c r="F17" s="324"/>
    </row>
    <row r="18" spans="1:6">
      <c r="A18" s="1264" t="s">
        <v>8</v>
      </c>
      <c r="B18" s="1265">
        <v>2</v>
      </c>
      <c r="C18" s="324"/>
      <c r="D18" s="324"/>
      <c r="E18" s="324"/>
      <c r="F18" s="324"/>
    </row>
    <row r="19" spans="1:6">
      <c r="A19" s="1264" t="s">
        <v>9</v>
      </c>
      <c r="B19" s="1265">
        <v>1</v>
      </c>
      <c r="C19" s="324"/>
      <c r="D19" s="324"/>
      <c r="E19" s="324"/>
      <c r="F19" s="324"/>
    </row>
    <row r="20" spans="1:6">
      <c r="A20" s="1264" t="s">
        <v>10</v>
      </c>
      <c r="B20" s="1265">
        <v>0</v>
      </c>
      <c r="C20" s="324"/>
      <c r="D20" s="324"/>
      <c r="E20" s="324"/>
      <c r="F20" s="324"/>
    </row>
    <row r="21" spans="1:6">
      <c r="A21" s="1264" t="s">
        <v>11</v>
      </c>
      <c r="B21" s="1265">
        <v>2</v>
      </c>
      <c r="C21" s="324"/>
      <c r="D21" s="324"/>
      <c r="E21" s="324"/>
      <c r="F21" s="324"/>
    </row>
    <row r="22" spans="1:6">
      <c r="A22" s="1264" t="s">
        <v>12</v>
      </c>
      <c r="B22" s="1265">
        <v>2</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1</v>
      </c>
      <c r="C25" s="324"/>
      <c r="D25" s="324"/>
      <c r="E25" s="324"/>
      <c r="F25" s="324"/>
    </row>
    <row r="26" spans="1:6">
      <c r="A26" s="1264" t="s">
        <v>16</v>
      </c>
      <c r="B26" s="1265">
        <v>26</v>
      </c>
      <c r="C26" s="324"/>
      <c r="D26" s="324"/>
      <c r="E26" s="324"/>
      <c r="F26" s="324"/>
    </row>
    <row r="27" spans="1:6">
      <c r="A27" s="1264" t="s">
        <v>17</v>
      </c>
      <c r="B27" s="1265">
        <v>11</v>
      </c>
      <c r="C27" s="324"/>
      <c r="D27" s="324"/>
      <c r="E27" s="324"/>
      <c r="F27" s="324"/>
    </row>
    <row r="28" spans="1:6">
      <c r="A28" s="1264" t="s">
        <v>18</v>
      </c>
      <c r="B28" s="1266">
        <v>28</v>
      </c>
      <c r="C28" s="324"/>
      <c r="D28" s="324"/>
      <c r="E28" s="324"/>
      <c r="F28" s="324"/>
    </row>
    <row r="29" spans="1:6">
      <c r="A29" s="1264" t="s">
        <v>657</v>
      </c>
      <c r="B29" s="1266">
        <v>141</v>
      </c>
      <c r="C29" s="324"/>
      <c r="D29" s="324"/>
      <c r="E29" s="324"/>
      <c r="F29" s="324"/>
    </row>
    <row r="30" spans="1:6">
      <c r="A30" s="1259" t="s">
        <v>658</v>
      </c>
      <c r="B30" s="1267">
        <v>35</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3</v>
      </c>
      <c r="F36" s="1265">
        <v>8367.8340737310009</v>
      </c>
    </row>
    <row r="37" spans="1:6">
      <c r="A37" s="1264" t="s">
        <v>24</v>
      </c>
      <c r="B37" s="1264" t="s">
        <v>27</v>
      </c>
      <c r="C37" s="1265">
        <v>0</v>
      </c>
      <c r="D37" s="1265">
        <v>0</v>
      </c>
      <c r="E37" s="1265">
        <v>0</v>
      </c>
      <c r="F37" s="1265">
        <v>0</v>
      </c>
    </row>
    <row r="38" spans="1:6">
      <c r="A38" s="1264" t="s">
        <v>24</v>
      </c>
      <c r="B38" s="1264" t="s">
        <v>28</v>
      </c>
      <c r="C38" s="1265">
        <v>1</v>
      </c>
      <c r="D38" s="1265">
        <v>12031.5580103148</v>
      </c>
      <c r="E38" s="1265">
        <v>0</v>
      </c>
      <c r="F38" s="1265">
        <v>0</v>
      </c>
    </row>
    <row r="39" spans="1:6">
      <c r="A39" s="1264" t="s">
        <v>29</v>
      </c>
      <c r="B39" s="1264" t="s">
        <v>30</v>
      </c>
      <c r="C39" s="1265">
        <v>13919</v>
      </c>
      <c r="D39" s="1265">
        <v>259299197.52296901</v>
      </c>
      <c r="E39" s="1265">
        <v>16121</v>
      </c>
      <c r="F39" s="1265">
        <v>63144790.050596803</v>
      </c>
    </row>
    <row r="40" spans="1:6">
      <c r="A40" s="1264" t="s">
        <v>29</v>
      </c>
      <c r="B40" s="1264" t="s">
        <v>28</v>
      </c>
      <c r="C40" s="1265">
        <v>1</v>
      </c>
      <c r="D40" s="1265">
        <v>263150.40116089903</v>
      </c>
      <c r="E40" s="1265">
        <v>1</v>
      </c>
      <c r="F40" s="1265">
        <v>45777</v>
      </c>
    </row>
    <row r="41" spans="1:6">
      <c r="A41" s="1264" t="s">
        <v>31</v>
      </c>
      <c r="B41" s="1264" t="s">
        <v>32</v>
      </c>
      <c r="C41" s="1265">
        <v>129</v>
      </c>
      <c r="D41" s="1265">
        <v>3264724.0292585501</v>
      </c>
      <c r="E41" s="1265">
        <v>233</v>
      </c>
      <c r="F41" s="1265">
        <v>1973096.5790538699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5</v>
      </c>
      <c r="D44" s="1265">
        <v>148892.63424148099</v>
      </c>
      <c r="E44" s="1265">
        <v>17</v>
      </c>
      <c r="F44" s="1265">
        <v>205332.586705336</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5</v>
      </c>
      <c r="D47" s="1265">
        <v>190213.58786333801</v>
      </c>
      <c r="E47" s="1265">
        <v>8</v>
      </c>
      <c r="F47" s="1265">
        <v>278901.38106912398</v>
      </c>
    </row>
    <row r="48" spans="1:6">
      <c r="A48" s="1264" t="s">
        <v>31</v>
      </c>
      <c r="B48" s="1264" t="s">
        <v>28</v>
      </c>
      <c r="C48" s="1265">
        <v>2</v>
      </c>
      <c r="D48" s="1265">
        <v>101406.247230543</v>
      </c>
      <c r="E48" s="1265">
        <v>2</v>
      </c>
      <c r="F48" s="1265">
        <v>45548.402727786997</v>
      </c>
    </row>
    <row r="49" spans="1:6">
      <c r="A49" s="1264" t="s">
        <v>31</v>
      </c>
      <c r="B49" s="1264" t="s">
        <v>39</v>
      </c>
      <c r="C49" s="1265">
        <v>3</v>
      </c>
      <c r="D49" s="1265">
        <v>31852.4611925268</v>
      </c>
      <c r="E49" s="1265">
        <v>4</v>
      </c>
      <c r="F49" s="1265">
        <v>16287</v>
      </c>
    </row>
    <row r="50" spans="1:6">
      <c r="A50" s="1264" t="s">
        <v>31</v>
      </c>
      <c r="B50" s="1264" t="s">
        <v>40</v>
      </c>
      <c r="C50" s="1265">
        <v>17</v>
      </c>
      <c r="D50" s="1265">
        <v>1363700.82312432</v>
      </c>
      <c r="E50" s="1265">
        <v>18</v>
      </c>
      <c r="F50" s="1265">
        <v>821040.19108368002</v>
      </c>
    </row>
    <row r="51" spans="1:6">
      <c r="A51" s="1264" t="s">
        <v>41</v>
      </c>
      <c r="B51" s="1264" t="s">
        <v>42</v>
      </c>
      <c r="C51" s="1265">
        <v>8</v>
      </c>
      <c r="D51" s="1265">
        <v>303813.25316825003</v>
      </c>
      <c r="E51" s="1265">
        <v>24</v>
      </c>
      <c r="F51" s="1265">
        <v>137677.90368255301</v>
      </c>
    </row>
    <row r="52" spans="1:6">
      <c r="A52" s="1264" t="s">
        <v>41</v>
      </c>
      <c r="B52" s="1264" t="s">
        <v>28</v>
      </c>
      <c r="C52" s="1265">
        <v>0</v>
      </c>
      <c r="D52" s="1265">
        <v>0</v>
      </c>
      <c r="E52" s="1265">
        <v>0</v>
      </c>
      <c r="F52" s="1265">
        <v>0</v>
      </c>
    </row>
    <row r="53" spans="1:6">
      <c r="A53" s="1264" t="s">
        <v>43</v>
      </c>
      <c r="B53" s="1264" t="s">
        <v>44</v>
      </c>
      <c r="C53" s="1265">
        <v>356</v>
      </c>
      <c r="D53" s="1265">
        <v>8769798.8384452797</v>
      </c>
      <c r="E53" s="1265">
        <v>694</v>
      </c>
      <c r="F53" s="1265">
        <v>3302856.35865673</v>
      </c>
    </row>
    <row r="54" spans="1:6">
      <c r="A54" s="1264" t="s">
        <v>45</v>
      </c>
      <c r="B54" s="1264" t="s">
        <v>46</v>
      </c>
      <c r="C54" s="1265">
        <v>0</v>
      </c>
      <c r="D54" s="1265">
        <v>0</v>
      </c>
      <c r="E54" s="1265">
        <v>1</v>
      </c>
      <c r="F54" s="1265">
        <v>1804239</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133</v>
      </c>
      <c r="D57" s="1265">
        <v>7326594.72495698</v>
      </c>
      <c r="E57" s="1265">
        <v>192</v>
      </c>
      <c r="F57" s="1265">
        <v>7306340.8227816001</v>
      </c>
    </row>
    <row r="58" spans="1:6">
      <c r="A58" s="1264" t="s">
        <v>48</v>
      </c>
      <c r="B58" s="1264" t="s">
        <v>50</v>
      </c>
      <c r="C58" s="1265">
        <v>202</v>
      </c>
      <c r="D58" s="1265">
        <v>18858653.300910901</v>
      </c>
      <c r="E58" s="1265">
        <v>242</v>
      </c>
      <c r="F58" s="1265">
        <v>9844719.8721616995</v>
      </c>
    </row>
    <row r="59" spans="1:6">
      <c r="A59" s="1264" t="s">
        <v>48</v>
      </c>
      <c r="B59" s="1264" t="s">
        <v>51</v>
      </c>
      <c r="C59" s="1265">
        <v>342</v>
      </c>
      <c r="D59" s="1265">
        <v>12185063.971506801</v>
      </c>
      <c r="E59" s="1265">
        <v>481</v>
      </c>
      <c r="F59" s="1265">
        <v>11400104.8430248</v>
      </c>
    </row>
    <row r="60" spans="1:6">
      <c r="A60" s="1264" t="s">
        <v>48</v>
      </c>
      <c r="B60" s="1264" t="s">
        <v>52</v>
      </c>
      <c r="C60" s="1265">
        <v>145</v>
      </c>
      <c r="D60" s="1265">
        <v>10993530.823339701</v>
      </c>
      <c r="E60" s="1265">
        <v>154</v>
      </c>
      <c r="F60" s="1265">
        <v>4111622.27525657</v>
      </c>
    </row>
    <row r="61" spans="1:6">
      <c r="A61" s="1264" t="s">
        <v>48</v>
      </c>
      <c r="B61" s="1264" t="s">
        <v>53</v>
      </c>
      <c r="C61" s="1265">
        <v>649</v>
      </c>
      <c r="D61" s="1265">
        <v>37756976.839053601</v>
      </c>
      <c r="E61" s="1265">
        <v>1159</v>
      </c>
      <c r="F61" s="1265">
        <v>16192911.1655978</v>
      </c>
    </row>
    <row r="62" spans="1:6">
      <c r="A62" s="1264" t="s">
        <v>48</v>
      </c>
      <c r="B62" s="1264" t="s">
        <v>54</v>
      </c>
      <c r="C62" s="1265">
        <v>59</v>
      </c>
      <c r="D62" s="1265">
        <v>8689217.5533506591</v>
      </c>
      <c r="E62" s="1265">
        <v>74</v>
      </c>
      <c r="F62" s="1265">
        <v>2219385.2562911902</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3</v>
      </c>
      <c r="D66" s="1265">
        <v>255830.56303274701</v>
      </c>
      <c r="E66" s="1265">
        <v>29</v>
      </c>
      <c r="F66" s="1265">
        <v>677304.96259119199</v>
      </c>
    </row>
    <row r="67" spans="1:6">
      <c r="A67" s="1264" t="s">
        <v>55</v>
      </c>
      <c r="B67" s="1264" t="s">
        <v>58</v>
      </c>
      <c r="C67" s="1265">
        <v>0</v>
      </c>
      <c r="D67" s="1265">
        <v>0</v>
      </c>
      <c r="E67" s="1265">
        <v>0</v>
      </c>
      <c r="F67" s="1265">
        <v>0</v>
      </c>
    </row>
    <row r="68" spans="1:6">
      <c r="A68" s="1259" t="s">
        <v>55</v>
      </c>
      <c r="B68" s="1259" t="s">
        <v>59</v>
      </c>
      <c r="C68" s="1267">
        <v>11</v>
      </c>
      <c r="D68" s="1267">
        <v>214950.60193859399</v>
      </c>
      <c r="E68" s="1267">
        <v>14</v>
      </c>
      <c r="F68" s="1267">
        <v>162101.55876670999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120312758</v>
      </c>
      <c r="E73" s="443"/>
      <c r="F73" s="324"/>
    </row>
    <row r="74" spans="1:6">
      <c r="A74" s="1264" t="s">
        <v>63</v>
      </c>
      <c r="B74" s="1264" t="s">
        <v>608</v>
      </c>
      <c r="C74" s="1277" t="s">
        <v>610</v>
      </c>
      <c r="D74" s="1265">
        <v>6593386.1727188369</v>
      </c>
      <c r="E74" s="443"/>
      <c r="F74" s="324"/>
    </row>
    <row r="75" spans="1:6">
      <c r="A75" s="1264" t="s">
        <v>64</v>
      </c>
      <c r="B75" s="1264" t="s">
        <v>607</v>
      </c>
      <c r="C75" s="1277" t="s">
        <v>611</v>
      </c>
      <c r="D75" s="1265">
        <v>52306207</v>
      </c>
      <c r="E75" s="443"/>
      <c r="F75" s="324"/>
    </row>
    <row r="76" spans="1:6">
      <c r="A76" s="1264" t="s">
        <v>64</v>
      </c>
      <c r="B76" s="1264" t="s">
        <v>608</v>
      </c>
      <c r="C76" s="1277" t="s">
        <v>612</v>
      </c>
      <c r="D76" s="1265">
        <v>419498.17271883698</v>
      </c>
      <c r="E76" s="443"/>
      <c r="F76" s="324"/>
    </row>
    <row r="77" spans="1:6">
      <c r="A77" s="1264" t="s">
        <v>65</v>
      </c>
      <c r="B77" s="1264" t="s">
        <v>607</v>
      </c>
      <c r="C77" s="1277" t="s">
        <v>613</v>
      </c>
      <c r="D77" s="1265">
        <v>28727841</v>
      </c>
      <c r="E77" s="443"/>
      <c r="F77" s="324"/>
    </row>
    <row r="78" spans="1:6">
      <c r="A78" s="1259" t="s">
        <v>65</v>
      </c>
      <c r="B78" s="1259" t="s">
        <v>608</v>
      </c>
      <c r="C78" s="1259" t="s">
        <v>614</v>
      </c>
      <c r="D78" s="1267">
        <v>6605496</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980801.65456232603</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4985.1333906048876</v>
      </c>
      <c r="C91" s="324"/>
      <c r="D91" s="324"/>
      <c r="E91" s="324"/>
      <c r="F91" s="324"/>
    </row>
    <row r="92" spans="1:6">
      <c r="A92" s="1259" t="s">
        <v>68</v>
      </c>
      <c r="B92" s="1260">
        <v>1309.5873465346492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10619</v>
      </c>
      <c r="C97" s="324"/>
      <c r="D97" s="324"/>
      <c r="E97" s="324"/>
      <c r="F97" s="324"/>
    </row>
    <row r="98" spans="1:6">
      <c r="A98" s="1264" t="s">
        <v>71</v>
      </c>
      <c r="B98" s="1265">
        <v>10</v>
      </c>
      <c r="C98" s="324"/>
      <c r="D98" s="324"/>
      <c r="E98" s="324"/>
      <c r="F98" s="324"/>
    </row>
    <row r="99" spans="1:6">
      <c r="A99" s="1264" t="s">
        <v>72</v>
      </c>
      <c r="B99" s="1265">
        <v>37</v>
      </c>
      <c r="C99" s="324"/>
      <c r="D99" s="324"/>
      <c r="E99" s="324"/>
      <c r="F99" s="324"/>
    </row>
    <row r="100" spans="1:6">
      <c r="A100" s="1264" t="s">
        <v>73</v>
      </c>
      <c r="B100" s="1265">
        <v>1008</v>
      </c>
      <c r="C100" s="324"/>
      <c r="D100" s="324"/>
      <c r="E100" s="324"/>
      <c r="F100" s="324"/>
    </row>
    <row r="101" spans="1:6">
      <c r="A101" s="1264" t="s">
        <v>74</v>
      </c>
      <c r="B101" s="1265">
        <v>130</v>
      </c>
      <c r="C101" s="324"/>
      <c r="D101" s="324"/>
      <c r="E101" s="324"/>
      <c r="F101" s="324"/>
    </row>
    <row r="102" spans="1:6">
      <c r="A102" s="1264" t="s">
        <v>75</v>
      </c>
      <c r="B102" s="1265">
        <v>172</v>
      </c>
      <c r="C102" s="324"/>
      <c r="D102" s="324"/>
      <c r="E102" s="324"/>
      <c r="F102" s="324"/>
    </row>
    <row r="103" spans="1:6">
      <c r="A103" s="1264" t="s">
        <v>76</v>
      </c>
      <c r="B103" s="1265">
        <v>162</v>
      </c>
      <c r="C103" s="324"/>
      <c r="D103" s="324"/>
      <c r="E103" s="324"/>
      <c r="F103" s="324"/>
    </row>
    <row r="104" spans="1:6">
      <c r="A104" s="1264" t="s">
        <v>77</v>
      </c>
      <c r="B104" s="1265">
        <v>2355</v>
      </c>
      <c r="C104" s="324"/>
      <c r="D104" s="324"/>
      <c r="E104" s="324"/>
      <c r="F104" s="324"/>
    </row>
    <row r="105" spans="1:6">
      <c r="A105" s="1259" t="s">
        <v>78</v>
      </c>
      <c r="B105" s="1267">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48</v>
      </c>
      <c r="C123" s="1265">
        <v>43</v>
      </c>
      <c r="D123" s="324"/>
      <c r="E123" s="324"/>
      <c r="F123" s="324"/>
    </row>
    <row r="124" spans="1:6">
      <c r="A124" s="1264" t="s">
        <v>88</v>
      </c>
      <c r="B124" s="1265">
        <v>5</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160</v>
      </c>
      <c r="C129" s="324"/>
      <c r="D129" s="324"/>
      <c r="E129" s="324"/>
      <c r="F129" s="324"/>
    </row>
    <row r="130" spans="1:6">
      <c r="A130" s="1264" t="s">
        <v>284</v>
      </c>
      <c r="B130" s="1265">
        <v>1</v>
      </c>
      <c r="C130" s="324"/>
      <c r="D130" s="324"/>
      <c r="E130" s="324"/>
      <c r="F130" s="324"/>
    </row>
    <row r="131" spans="1:6">
      <c r="A131" s="1264" t="s">
        <v>285</v>
      </c>
      <c r="B131" s="1265">
        <v>3</v>
      </c>
      <c r="C131" s="324"/>
      <c r="D131" s="324"/>
      <c r="E131" s="324"/>
      <c r="F131" s="324"/>
    </row>
    <row r="132" spans="1:6">
      <c r="A132" s="1259" t="s">
        <v>286</v>
      </c>
      <c r="B132" s="1260">
        <v>29</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129066.80265630112</v>
      </c>
      <c r="C3" s="43" t="s">
        <v>163</v>
      </c>
      <c r="D3" s="43"/>
      <c r="E3" s="153"/>
      <c r="F3" s="43"/>
      <c r="G3" s="43"/>
      <c r="H3" s="43"/>
      <c r="I3" s="43"/>
      <c r="J3" s="43"/>
      <c r="K3" s="96"/>
    </row>
    <row r="4" spans="1:11">
      <c r="A4" s="350" t="s">
        <v>164</v>
      </c>
      <c r="B4" s="49">
        <f>IF(ISERROR('SEAP template'!B78+'SEAP template'!C78),0,'SEAP template'!B78+'SEAP template'!C78)</f>
        <v>7166.3707371395376</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207.14505882352947</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0.21033402822606376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295.92151260504215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1245.214285714286</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1804.239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1804.239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0.21033402822606376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379.49285675256505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63190.567050596801</v>
      </c>
      <c r="C5" s="17">
        <f>IF(ISERROR('Eigen informatie GS &amp; warmtenet'!B59),0,'Eigen informatie GS &amp; warmtenet'!B59)</f>
        <v>0</v>
      </c>
      <c r="D5" s="30">
        <f>(SUM(HH_hh_gas_kWh,HH_rest_gas_kWh)/1000)*0.903</f>
        <v>234384.8001754893</v>
      </c>
      <c r="E5" s="17">
        <f>B32*B41</f>
        <v>2185.3672003167753</v>
      </c>
      <c r="F5" s="17">
        <f>B36*B45</f>
        <v>35813.102560069914</v>
      </c>
      <c r="G5" s="18"/>
      <c r="H5" s="17"/>
      <c r="I5" s="17"/>
      <c r="J5" s="17">
        <f>B35*B44+C35*C44</f>
        <v>197.67037728691434</v>
      </c>
      <c r="K5" s="17"/>
      <c r="L5" s="17"/>
      <c r="M5" s="17"/>
      <c r="N5" s="17">
        <f>B34*B43+C34*C43</f>
        <v>18019.644009470125</v>
      </c>
      <c r="O5" s="17">
        <f>B52*B53*B54</f>
        <v>406.71143497434156</v>
      </c>
      <c r="P5" s="17">
        <f>B60*B61*B62/1000-B60*B61*B62/1000/B63</f>
        <v>863.78466323017187</v>
      </c>
    </row>
    <row r="6" spans="1:16">
      <c r="A6" s="16" t="s">
        <v>573</v>
      </c>
      <c r="B6" s="739">
        <f>kWh_PV_kleiner_dan_10kW</f>
        <v>4985.1333906048876</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68175.700441201683</v>
      </c>
      <c r="C8" s="21">
        <f>C5</f>
        <v>0</v>
      </c>
      <c r="D8" s="21">
        <f>D5</f>
        <v>234384.8001754893</v>
      </c>
      <c r="E8" s="21">
        <f>E5</f>
        <v>2185.3672003167753</v>
      </c>
      <c r="F8" s="21">
        <f>F5</f>
        <v>35813.102560069914</v>
      </c>
      <c r="G8" s="21"/>
      <c r="H8" s="21"/>
      <c r="I8" s="21"/>
      <c r="J8" s="21">
        <f>J5</f>
        <v>197.67037728691434</v>
      </c>
      <c r="K8" s="21"/>
      <c r="L8" s="21">
        <f>L5</f>
        <v>0</v>
      </c>
      <c r="M8" s="21">
        <f>M5</f>
        <v>0</v>
      </c>
      <c r="N8" s="21">
        <f>N5</f>
        <v>18019.644009470125</v>
      </c>
      <c r="O8" s="21">
        <f>O5</f>
        <v>406.71143497434156</v>
      </c>
      <c r="P8" s="21">
        <f>P5</f>
        <v>863.78466323017187</v>
      </c>
    </row>
    <row r="9" spans="1:16">
      <c r="B9" s="19"/>
      <c r="C9" s="19"/>
      <c r="D9" s="253"/>
      <c r="E9" s="19"/>
      <c r="F9" s="19"/>
      <c r="G9" s="19"/>
      <c r="H9" s="19"/>
      <c r="I9" s="19"/>
      <c r="J9" s="19"/>
      <c r="K9" s="19"/>
      <c r="L9" s="19"/>
      <c r="M9" s="19"/>
      <c r="N9" s="19"/>
      <c r="O9" s="19"/>
      <c r="P9" s="19"/>
    </row>
    <row r="10" spans="1:16">
      <c r="A10" s="24" t="s">
        <v>207</v>
      </c>
      <c r="B10" s="25">
        <f ca="1">'EF ele_warmte'!B12</f>
        <v>0.21033402822606376</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14339.669700931383</v>
      </c>
      <c r="C12" s="23">
        <f ca="1">C10*C8</f>
        <v>0</v>
      </c>
      <c r="D12" s="23">
        <f>D8*D10</f>
        <v>47345.729635448843</v>
      </c>
      <c r="E12" s="23">
        <f>E10*E8</f>
        <v>496.07835447190803</v>
      </c>
      <c r="F12" s="23">
        <f>F10*F8</f>
        <v>9562.0983835386669</v>
      </c>
      <c r="G12" s="23"/>
      <c r="H12" s="23"/>
      <c r="I12" s="23"/>
      <c r="J12" s="23">
        <f>J10*J8</f>
        <v>69.975313559567681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16101</v>
      </c>
      <c r="C26" s="36"/>
      <c r="D26" s="224"/>
    </row>
    <row r="27" spans="1:5" s="15" customFormat="1">
      <c r="A27" s="226" t="s">
        <v>784</v>
      </c>
      <c r="B27" s="37">
        <f>SUM(HH_hh_gas_aantal,HH_rest_gas_aantal)</f>
        <v>13920</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13224</v>
      </c>
      <c r="C31" s="34" t="s">
        <v>104</v>
      </c>
      <c r="D31" s="170"/>
    </row>
    <row r="32" spans="1:5">
      <c r="A32" s="167" t="s">
        <v>72</v>
      </c>
      <c r="B32" s="33">
        <f>IF((B21*($B$26-($B$27-0.05*$B$27)-$B$60))&lt;0,0,B21*($B$26-($B$27-0.05*$B$27)-$B$60))</f>
        <v>43.112769309047913</v>
      </c>
      <c r="C32" s="34" t="s">
        <v>104</v>
      </c>
      <c r="D32" s="170"/>
    </row>
    <row r="33" spans="1:6">
      <c r="A33" s="167" t="s">
        <v>73</v>
      </c>
      <c r="B33" s="33">
        <f>IF((B22*($B$26-($B$27-0.05*$B$27)-$B$60))&lt;0,0,B22*($B$26-($B$27-0.05*$B$27)-$B$60))</f>
        <v>700.06598780213687</v>
      </c>
      <c r="C33" s="34" t="s">
        <v>104</v>
      </c>
      <c r="D33" s="170"/>
    </row>
    <row r="34" spans="1:6">
      <c r="A34" s="167" t="s">
        <v>74</v>
      </c>
      <c r="B34" s="33">
        <f>IF((B24*($B$26-($B$27-0.05*$B$27)-$B$60))&lt;0,0,B24*($B$26-($B$27-0.05*$B$27)-$B$60))</f>
        <v>306.1103438407352</v>
      </c>
      <c r="C34" s="33">
        <f>B26*C24</f>
        <v>2704.9669021144846</v>
      </c>
      <c r="D34" s="229"/>
    </row>
    <row r="35" spans="1:6">
      <c r="A35" s="167" t="s">
        <v>76</v>
      </c>
      <c r="B35" s="33">
        <f>IF((B19*($B$26-($B$27-0.05*$B$27)-$B$60))&lt;0,0,B19*($B$26-($B$27-0.05*$B$27)-$B$60))</f>
        <v>18.741018034987764</v>
      </c>
      <c r="C35" s="33">
        <f>B35/2</f>
        <v>9.3705090174938821</v>
      </c>
      <c r="D35" s="229"/>
    </row>
    <row r="36" spans="1:6">
      <c r="A36" s="167" t="s">
        <v>77</v>
      </c>
      <c r="B36" s="33">
        <f>IF((B18*($B$26-($B$27-0.05*$B$27)-$B$60))&lt;0,0,B18*($B$26-($B$27-0.05*$B$27)-$B$60))</f>
        <v>1726.9698810130915</v>
      </c>
      <c r="C36" s="34" t="s">
        <v>104</v>
      </c>
      <c r="D36" s="170"/>
    </row>
    <row r="37" spans="1:6">
      <c r="A37" s="167" t="s">
        <v>78</v>
      </c>
      <c r="B37" s="33">
        <f>B60</f>
        <v>82</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205</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82</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51075.084235113653</v>
      </c>
      <c r="C5" s="17">
        <f>IF(ISERROR('Eigen informatie GS &amp; warmtenet'!B60),0,'Eigen informatie GS &amp; warmtenet'!B60)</f>
        <v>0</v>
      </c>
      <c r="D5" s="30">
        <f>SUM(D6:D12)</f>
        <v>86516.463603446144</v>
      </c>
      <c r="E5" s="17">
        <f>SUM(E6:E12)</f>
        <v>149.09472383847566</v>
      </c>
      <c r="F5" s="17">
        <f>SUM(F6:F12)</f>
        <v>11011.530719904156</v>
      </c>
      <c r="G5" s="18"/>
      <c r="H5" s="17"/>
      <c r="I5" s="17"/>
      <c r="J5" s="17">
        <f>SUM(J6:J12)</f>
        <v>7.2156107607020029E-2</v>
      </c>
      <c r="K5" s="17"/>
      <c r="L5" s="17"/>
      <c r="M5" s="17"/>
      <c r="N5" s="17">
        <f>SUM(N6:N12)</f>
        <v>2576.3844493194679</v>
      </c>
      <c r="O5" s="17">
        <f>B38*B39*B40</f>
        <v>4.8972607658411542</v>
      </c>
      <c r="P5" s="17">
        <f>B46*B47*B48/1000-B46*B47*B48/1000/B49</f>
        <v>157.61741491948504</v>
      </c>
      <c r="R5" s="32"/>
    </row>
    <row r="6" spans="1:18">
      <c r="A6" s="32" t="s">
        <v>53</v>
      </c>
      <c r="B6" s="37">
        <f>B26</f>
        <v>16192.911165597799</v>
      </c>
      <c r="C6" s="33"/>
      <c r="D6" s="37">
        <f>IF(ISERROR(TER_kantoor_gas_kWh/1000),0,TER_kantoor_gas_kWh/1000)*0.903</f>
        <v>34094.550085665403</v>
      </c>
      <c r="E6" s="33">
        <f>$C$26*'E Balans VL '!I12/100/3.6*1000000</f>
        <v>3.9382306015260027</v>
      </c>
      <c r="F6" s="33">
        <f>$C$26*('E Balans VL '!L12+'E Balans VL '!N12)/100/3.6*1000000</f>
        <v>1550.5737798443731</v>
      </c>
      <c r="G6" s="34"/>
      <c r="H6" s="33"/>
      <c r="I6" s="33"/>
      <c r="J6" s="33">
        <f>$C$26*('E Balans VL '!D12+'E Balans VL '!E12)/100/3.6*1000000</f>
        <v>0</v>
      </c>
      <c r="K6" s="33"/>
      <c r="L6" s="33"/>
      <c r="M6" s="33"/>
      <c r="N6" s="33">
        <f>$C$26*'E Balans VL '!Y12/100/3.6*1000000</f>
        <v>8.2207202244877582</v>
      </c>
      <c r="O6" s="33"/>
      <c r="P6" s="33"/>
      <c r="R6" s="32"/>
    </row>
    <row r="7" spans="1:18">
      <c r="A7" s="32" t="s">
        <v>52</v>
      </c>
      <c r="B7" s="37">
        <f t="shared" ref="B7:B12" si="0">B27</f>
        <v>4111.62227525657</v>
      </c>
      <c r="C7" s="33"/>
      <c r="D7" s="37">
        <f>IF(ISERROR(TER_horeca_gas_kWh/1000),0,TER_horeca_gas_kWh/1000)*0.903</f>
        <v>9927.1583334757506</v>
      </c>
      <c r="E7" s="33">
        <f>$C$27*'E Balans VL '!I9/100/3.6*1000000</f>
        <v>0</v>
      </c>
      <c r="F7" s="33">
        <f>$C$27*('E Balans VL '!L9+'E Balans VL '!N9)/100/3.6*1000000</f>
        <v>337.23151352064752</v>
      </c>
      <c r="G7" s="34"/>
      <c r="H7" s="33"/>
      <c r="I7" s="33"/>
      <c r="J7" s="33">
        <f>$C$27*('E Balans VL '!D9+'E Balans VL '!E9)/100/3.6*1000000</f>
        <v>0</v>
      </c>
      <c r="K7" s="33"/>
      <c r="L7" s="33"/>
      <c r="M7" s="33"/>
      <c r="N7" s="33">
        <f>$C$27*'E Balans VL '!Y9/100/3.6*1000000</f>
        <v>27.004320400991151</v>
      </c>
      <c r="O7" s="33"/>
      <c r="P7" s="33"/>
      <c r="R7" s="32"/>
    </row>
    <row r="8" spans="1:18">
      <c r="A8" s="6" t="s">
        <v>51</v>
      </c>
      <c r="B8" s="37">
        <f t="shared" si="0"/>
        <v>11400.104843024799</v>
      </c>
      <c r="C8" s="33"/>
      <c r="D8" s="37">
        <f>IF(ISERROR(TER_handel_gas_kWh/1000),0,TER_handel_gas_kWh/1000)*0.903</f>
        <v>11003.112766270642</v>
      </c>
      <c r="E8" s="33">
        <f>$C$28*'E Balans VL '!I13/100/3.6*1000000</f>
        <v>40.299961205781699</v>
      </c>
      <c r="F8" s="33">
        <f>$C$28*('E Balans VL '!L13+'E Balans VL '!N13)/100/3.6*1000000</f>
        <v>1049.7057901898795</v>
      </c>
      <c r="G8" s="34"/>
      <c r="H8" s="33"/>
      <c r="I8" s="33"/>
      <c r="J8" s="33">
        <f>$C$28*('E Balans VL '!D13+'E Balans VL '!E13)/100/3.6*1000000</f>
        <v>0</v>
      </c>
      <c r="K8" s="33"/>
      <c r="L8" s="33"/>
      <c r="M8" s="33"/>
      <c r="N8" s="33">
        <f>$C$28*'E Balans VL '!Y13/100/3.6*1000000</f>
        <v>4.1286271812623445</v>
      </c>
      <c r="O8" s="33"/>
      <c r="P8" s="33"/>
      <c r="R8" s="32"/>
    </row>
    <row r="9" spans="1:18">
      <c r="A9" s="32" t="s">
        <v>50</v>
      </c>
      <c r="B9" s="37">
        <f t="shared" si="0"/>
        <v>9844.7198721616987</v>
      </c>
      <c r="C9" s="33"/>
      <c r="D9" s="37">
        <f>IF(ISERROR(TER_gezond_gas_kWh/1000),0,TER_gezond_gas_kWh/1000)*0.903</f>
        <v>17029.363930722542</v>
      </c>
      <c r="E9" s="33">
        <f>$C$29*'E Balans VL '!I10/100/3.6*1000000</f>
        <v>0</v>
      </c>
      <c r="F9" s="33">
        <f>$C$29*('E Balans VL '!L10+'E Balans VL '!N10)/100/3.6*1000000</f>
        <v>1209.3836438434241</v>
      </c>
      <c r="G9" s="34"/>
      <c r="H9" s="33"/>
      <c r="I9" s="33"/>
      <c r="J9" s="33">
        <f>$C$29*('E Balans VL '!D10+'E Balans VL '!E10)/100/3.6*1000000</f>
        <v>0</v>
      </c>
      <c r="K9" s="33"/>
      <c r="L9" s="33"/>
      <c r="M9" s="33"/>
      <c r="N9" s="33">
        <f>$C$29*'E Balans VL '!Y10/100/3.6*1000000</f>
        <v>72.59794871654718</v>
      </c>
      <c r="O9" s="33"/>
      <c r="P9" s="33"/>
      <c r="R9" s="32"/>
    </row>
    <row r="10" spans="1:18">
      <c r="A10" s="32" t="s">
        <v>49</v>
      </c>
      <c r="B10" s="37">
        <f t="shared" si="0"/>
        <v>7306.3408227815999</v>
      </c>
      <c r="C10" s="33"/>
      <c r="D10" s="37">
        <f>IF(ISERROR(TER_ander_gas_kWh/1000),0,TER_ander_gas_kWh/1000)*0.903</f>
        <v>6615.9150366361528</v>
      </c>
      <c r="E10" s="33">
        <f>$C$30*'E Balans VL '!I14/100/3.6*1000000</f>
        <v>104.85653203116796</v>
      </c>
      <c r="F10" s="33">
        <f>$C$30*('E Balans VL '!L14+'E Balans VL '!N14)/100/3.6*1000000</f>
        <v>6605.1634266896235</v>
      </c>
      <c r="G10" s="34"/>
      <c r="H10" s="33"/>
      <c r="I10" s="33"/>
      <c r="J10" s="33">
        <f>$C$30*('E Balans VL '!D14+'E Balans VL '!E14)/100/3.6*1000000</f>
        <v>7.2156107607020029E-2</v>
      </c>
      <c r="K10" s="33"/>
      <c r="L10" s="33"/>
      <c r="M10" s="33"/>
      <c r="N10" s="33">
        <f>$C$30*'E Balans VL '!Y14/100/3.6*1000000</f>
        <v>2458.1832987691741</v>
      </c>
      <c r="O10" s="33"/>
      <c r="P10" s="33"/>
      <c r="R10" s="32"/>
    </row>
    <row r="11" spans="1:18">
      <c r="A11" s="32" t="s">
        <v>54</v>
      </c>
      <c r="B11" s="37">
        <f t="shared" si="0"/>
        <v>2219.3852562911902</v>
      </c>
      <c r="C11" s="33"/>
      <c r="D11" s="37">
        <f>IF(ISERROR(TER_onderwijs_gas_kWh/1000),0,TER_onderwijs_gas_kWh/1000)*0.903</f>
        <v>7846.3634506756462</v>
      </c>
      <c r="E11" s="33">
        <f>$C$31*'E Balans VL '!I11/100/3.6*1000000</f>
        <v>0</v>
      </c>
      <c r="F11" s="33">
        <f>$C$31*('E Balans VL '!L11+'E Balans VL '!N11)/100/3.6*1000000</f>
        <v>259.47256581620843</v>
      </c>
      <c r="G11" s="34"/>
      <c r="H11" s="33"/>
      <c r="I11" s="33"/>
      <c r="J11" s="33">
        <f>$C$31*('E Balans VL '!D11+'E Balans VL '!E11)/100/3.6*1000000</f>
        <v>0</v>
      </c>
      <c r="K11" s="33"/>
      <c r="L11" s="33"/>
      <c r="M11" s="33"/>
      <c r="N11" s="33">
        <f>$C$31*'E Balans VL '!Y11/100/3.6*1000000</f>
        <v>6.2495340270053754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energieproductie'!N39+'lokale energieproductie'!N32</f>
        <v>630.00000000000011</v>
      </c>
      <c r="C13" s="242">
        <f ca="1">'lokale energieproductie'!O39+'lokale energieproductie'!O32</f>
        <v>900.00000000000023</v>
      </c>
      <c r="D13" s="302">
        <f ca="1">('lokale energieproductie'!P32+'lokale energieproductie'!P39)*(-1)</f>
        <v>-1800.0000000000005</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51705.084235113653</v>
      </c>
      <c r="C16" s="21">
        <f t="shared" ca="1" si="1"/>
        <v>900.00000000000023</v>
      </c>
      <c r="D16" s="21">
        <f t="shared" ca="1" si="1"/>
        <v>84716.463603446144</v>
      </c>
      <c r="E16" s="21">
        <f t="shared" si="1"/>
        <v>149.09472383847566</v>
      </c>
      <c r="F16" s="21">
        <f t="shared" ca="1" si="1"/>
        <v>11011.530719904156</v>
      </c>
      <c r="G16" s="21">
        <f t="shared" si="1"/>
        <v>0</v>
      </c>
      <c r="H16" s="21">
        <f t="shared" si="1"/>
        <v>0</v>
      </c>
      <c r="I16" s="21">
        <f t="shared" si="1"/>
        <v>0</v>
      </c>
      <c r="J16" s="21">
        <f t="shared" si="1"/>
        <v>7.2156107607020029E-2</v>
      </c>
      <c r="K16" s="21">
        <f t="shared" si="1"/>
        <v>0</v>
      </c>
      <c r="L16" s="21">
        <f t="shared" ca="1" si="1"/>
        <v>0</v>
      </c>
      <c r="M16" s="21">
        <f t="shared" si="1"/>
        <v>0</v>
      </c>
      <c r="N16" s="21">
        <f t="shared" ca="1" si="1"/>
        <v>2576.3844493194679</v>
      </c>
      <c r="O16" s="21">
        <f>O5</f>
        <v>4.8972607658411542</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0.21033402822606376</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10875.338646939399</v>
      </c>
      <c r="C20" s="23">
        <f t="shared" ref="C20:P20" ca="1" si="2">C16*C18</f>
        <v>213.88235294117658</v>
      </c>
      <c r="D20" s="23">
        <f t="shared" ca="1" si="2"/>
        <v>17112.725647896121</v>
      </c>
      <c r="E20" s="23">
        <f t="shared" si="2"/>
        <v>33.844502311333976</v>
      </c>
      <c r="F20" s="23">
        <f t="shared" ca="1" si="2"/>
        <v>2940.07870221441</v>
      </c>
      <c r="G20" s="23">
        <f t="shared" si="2"/>
        <v>0</v>
      </c>
      <c r="H20" s="23">
        <f t="shared" si="2"/>
        <v>0</v>
      </c>
      <c r="I20" s="23">
        <f t="shared" si="2"/>
        <v>0</v>
      </c>
      <c r="J20" s="23">
        <f t="shared" si="2"/>
        <v>2.5543262092885089E-2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16192.911165597799</v>
      </c>
      <c r="C26" s="39">
        <f>IF(ISERROR(B26*3.6/1000000/'E Balans VL '!Z12*100),0,B26*3.6/1000000/'E Balans VL '!Z12*100)</f>
        <v>0.45643639464005198</v>
      </c>
      <c r="D26" s="232" t="s">
        <v>660</v>
      </c>
      <c r="F26" s="6"/>
    </row>
    <row r="27" spans="1:18">
      <c r="A27" s="227" t="s">
        <v>52</v>
      </c>
      <c r="B27" s="33">
        <f>IF(ISERROR(TER_horeca_ele_kWh/1000),0,TER_horeca_ele_kWh/1000)</f>
        <v>4111.62227525657</v>
      </c>
      <c r="C27" s="39">
        <f>IF(ISERROR(B27*3.6/1000000/'E Balans VL '!Z9*100),0,B27*3.6/1000000/'E Balans VL '!Z9*100)</f>
        <v>0.30482628175773013</v>
      </c>
      <c r="D27" s="232" t="s">
        <v>660</v>
      </c>
      <c r="F27" s="6"/>
    </row>
    <row r="28" spans="1:18">
      <c r="A28" s="167" t="s">
        <v>51</v>
      </c>
      <c r="B28" s="33">
        <f>IF(ISERROR(TER_handel_ele_kWh/1000),0,TER_handel_ele_kWh/1000)</f>
        <v>11400.104843024799</v>
      </c>
      <c r="C28" s="39">
        <f>IF(ISERROR(B28*3.6/1000000/'E Balans VL '!Z13*100),0,B28*3.6/1000000/'E Balans VL '!Z13*100)</f>
        <v>0.34152003633578071</v>
      </c>
      <c r="D28" s="232" t="s">
        <v>660</v>
      </c>
      <c r="F28" s="6"/>
    </row>
    <row r="29" spans="1:18">
      <c r="A29" s="227" t="s">
        <v>50</v>
      </c>
      <c r="B29" s="33">
        <f>IF(ISERROR(TER_gezond_ele_kWh/1000),0,TER_gezond_ele_kWh/1000)</f>
        <v>9844.7198721616987</v>
      </c>
      <c r="C29" s="39">
        <f>IF(ISERROR(B29*3.6/1000000/'E Balans VL '!Z10*100),0,B29*3.6/1000000/'E Balans VL '!Z10*100)</f>
        <v>0.97344975957871505</v>
      </c>
      <c r="D29" s="232" t="s">
        <v>660</v>
      </c>
      <c r="F29" s="6"/>
    </row>
    <row r="30" spans="1:18">
      <c r="A30" s="227" t="s">
        <v>49</v>
      </c>
      <c r="B30" s="33">
        <f>IF(ISERROR(TER_ander_ele_kWh/1000),0,TER_ander_ele_kWh/1000)</f>
        <v>7306.3408227815999</v>
      </c>
      <c r="C30" s="39">
        <f>IF(ISERROR(B30*3.6/1000000/'E Balans VL '!Z14*100),0,B30*3.6/1000000/'E Balans VL '!Z14*100)</f>
        <v>0.29551989463625944</v>
      </c>
      <c r="D30" s="232" t="s">
        <v>660</v>
      </c>
      <c r="F30" s="6"/>
    </row>
    <row r="31" spans="1:18">
      <c r="A31" s="227" t="s">
        <v>54</v>
      </c>
      <c r="B31" s="33">
        <f>IF(ISERROR(TER_onderwijs_ele_kWh/1000),0,TER_onderwijs_ele_kWh/1000)</f>
        <v>2219.3852562911902</v>
      </c>
      <c r="C31" s="39">
        <f>IF(ISERROR(B31*3.6/1000000/'E Balans VL '!Z11*100),0,B31*3.6/1000000/'E Balans VL '!Z11*100)</f>
        <v>0.60976219390960296</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3</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3340.2061406397966</v>
      </c>
      <c r="C5" s="17">
        <f>IF(ISERROR('Eigen informatie GS &amp; warmtenet'!B61),0,'Eigen informatie GS &amp; warmtenet'!B61)</f>
        <v>0</v>
      </c>
      <c r="D5" s="30">
        <f>SUM(D6:D15)</f>
        <v>4606.0131739684157</v>
      </c>
      <c r="E5" s="17">
        <f>SUM(E6:E15)</f>
        <v>12.670501437740931</v>
      </c>
      <c r="F5" s="17">
        <f>SUM(F6:F15)</f>
        <v>1308.8021923463018</v>
      </c>
      <c r="G5" s="18"/>
      <c r="H5" s="17"/>
      <c r="I5" s="17"/>
      <c r="J5" s="17">
        <f>SUM(J6:J15)</f>
        <v>0.42622065248391805</v>
      </c>
      <c r="K5" s="17"/>
      <c r="L5" s="17"/>
      <c r="M5" s="17"/>
      <c r="N5" s="17">
        <f>SUM(N6:N15)</f>
        <v>83.104921056967314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205.33258670533598</v>
      </c>
      <c r="C8" s="33"/>
      <c r="D8" s="37">
        <f>IF( ISERROR(IND_metaal_Gas_kWH/1000),0,IND_metaal_Gas_kWH/1000)*0.903</f>
        <v>134.45004872005734</v>
      </c>
      <c r="E8" s="33">
        <f>C30*'E Balans VL '!I18/100/3.6*1000000</f>
        <v>1.1222317740504761</v>
      </c>
      <c r="F8" s="33">
        <f>C30*'E Balans VL '!L18/100/3.6*1000000+C30*'E Balans VL '!N18/100/3.6*1000000</f>
        <v>14.054709779854097</v>
      </c>
      <c r="G8" s="34"/>
      <c r="H8" s="33"/>
      <c r="I8" s="33"/>
      <c r="J8" s="40">
        <f>C30*'E Balans VL '!D18/100/3.6*1000000+C30*'E Balans VL '!E18/100/3.6*1000000</f>
        <v>0.20462776493325507</v>
      </c>
      <c r="K8" s="33"/>
      <c r="L8" s="33"/>
      <c r="M8" s="33"/>
      <c r="N8" s="33">
        <f>C30*'E Balans VL '!Y18/100/3.6*1000000</f>
        <v>3.0369678314387696</v>
      </c>
      <c r="O8" s="33"/>
      <c r="P8" s="33"/>
      <c r="R8" s="32"/>
    </row>
    <row r="9" spans="1:18">
      <c r="A9" s="6" t="s">
        <v>32</v>
      </c>
      <c r="B9" s="37">
        <f t="shared" si="0"/>
        <v>1973.0965790538698</v>
      </c>
      <c r="C9" s="33"/>
      <c r="D9" s="37">
        <f>IF( ISERROR(IND_andere_gas_kWh/1000),0,IND_andere_gas_kWh/1000)*0.903</f>
        <v>2948.0457984204709</v>
      </c>
      <c r="E9" s="33">
        <f>C31*'E Balans VL '!I19/100/3.6*1000000</f>
        <v>7.4252841993580478</v>
      </c>
      <c r="F9" s="33">
        <f>C31*'E Balans VL '!L19/100/3.6*1000000+C31*'E Balans VL '!N19/100/3.6*1000000</f>
        <v>1269.9383156825556</v>
      </c>
      <c r="G9" s="34"/>
      <c r="H9" s="33"/>
      <c r="I9" s="33"/>
      <c r="J9" s="40">
        <f>C31*'E Balans VL '!D19/100/3.6*1000000+C31*'E Balans VL '!E19/100/3.6*1000000</f>
        <v>0</v>
      </c>
      <c r="K9" s="33"/>
      <c r="L9" s="33"/>
      <c r="M9" s="33"/>
      <c r="N9" s="33">
        <f>C31*'E Balans VL '!Y19/100/3.6*1000000</f>
        <v>71.279434195609412</v>
      </c>
      <c r="O9" s="33"/>
      <c r="P9" s="33"/>
      <c r="R9" s="32"/>
    </row>
    <row r="10" spans="1:18">
      <c r="A10" s="6" t="s">
        <v>40</v>
      </c>
      <c r="B10" s="37">
        <f t="shared" si="0"/>
        <v>821.04019108368004</v>
      </c>
      <c r="C10" s="33"/>
      <c r="D10" s="37">
        <f>IF( ISERROR(IND_voed_gas_kWh/1000),0,IND_voed_gas_kWh/1000)*0.903</f>
        <v>1231.4218432812611</v>
      </c>
      <c r="E10" s="33">
        <f>C32*'E Balans VL '!I20/100/3.6*1000000</f>
        <v>1.6253105545092394</v>
      </c>
      <c r="F10" s="33">
        <f>C32*'E Balans VL '!L20/100/3.6*1000000+C32*'E Balans VL '!N20/100/3.6*1000000</f>
        <v>17.437886741997669</v>
      </c>
      <c r="G10" s="34"/>
      <c r="H10" s="33"/>
      <c r="I10" s="33"/>
      <c r="J10" s="40">
        <f>C32*'E Balans VL '!D20/100/3.6*1000000+C32*'E Balans VL '!E20/100/3.6*1000000</f>
        <v>0</v>
      </c>
      <c r="K10" s="33"/>
      <c r="L10" s="33"/>
      <c r="M10" s="33"/>
      <c r="N10" s="33">
        <f>C32*'E Balans VL '!Y20/100/3.6*1000000</f>
        <v>33.091039620673378</v>
      </c>
      <c r="O10" s="33"/>
      <c r="P10" s="33"/>
      <c r="R10" s="32"/>
    </row>
    <row r="11" spans="1:18">
      <c r="A11" s="6" t="s">
        <v>39</v>
      </c>
      <c r="B11" s="37">
        <f t="shared" si="0"/>
        <v>16.286999999999999</v>
      </c>
      <c r="C11" s="33"/>
      <c r="D11" s="37">
        <f>IF( ISERROR(IND_textiel_gas_kWh/1000),0,IND_textiel_gas_kWh/1000)*0.903</f>
        <v>28.7627724568517</v>
      </c>
      <c r="E11" s="33">
        <f>C33*'E Balans VL '!I21/100/3.6*1000000</f>
        <v>3.1714596253000202E-2</v>
      </c>
      <c r="F11" s="33">
        <f>C33*'E Balans VL '!L21/100/3.6*1000000+C33*'E Balans VL '!N21/100/3.6*1000000</f>
        <v>0.38578826358325846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278.901381069124</v>
      </c>
      <c r="C13" s="33"/>
      <c r="D13" s="37">
        <f>IF( ISERROR(IND_papier_gas_kWh/1000),0,IND_papier_gas_kWh/1000)*0.903</f>
        <v>171.76286984059422</v>
      </c>
      <c r="E13" s="33">
        <f>C35*'E Balans VL '!I23/100/3.6*1000000</f>
        <v>0</v>
      </c>
      <c r="F13" s="33">
        <f>C35*'E Balans VL '!L23/100/3.6*1000000+C35*'E Balans VL '!N23/100/3.6*1000000</f>
        <v>3.4167179663165133E-2</v>
      </c>
      <c r="G13" s="34"/>
      <c r="H13" s="33"/>
      <c r="I13" s="33"/>
      <c r="J13" s="40">
        <f>C35*'E Balans VL '!D23/100/3.6*1000000+C35*'E Balans VL '!E23/100/3.6*1000000</f>
        <v>2.1730556497607946E-2</v>
      </c>
      <c r="K13" s="33"/>
      <c r="L13" s="33"/>
      <c r="M13" s="33"/>
      <c r="N13" s="33">
        <f>C35*'E Balans VL '!Y23/100/3.6*1000000</f>
        <v>-25.593662475975812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45.548402727787</v>
      </c>
      <c r="C15" s="33"/>
      <c r="D15" s="37">
        <f>IF( ISERROR(IND_rest_gas_kWh/1000),0,IND_rest_gas_kWh/1000)*0.903</f>
        <v>91.569841249180328</v>
      </c>
      <c r="E15" s="33">
        <f>C37*'E Balans VL '!I15/100/3.6*1000000</f>
        <v>2.4659603135701675</v>
      </c>
      <c r="F15" s="33">
        <f>C37*'E Balans VL '!L15/100/3.6*1000000+C37*'E Balans VL '!N15/100/3.6*1000000</f>
        <v>6.9513246986478059</v>
      </c>
      <c r="G15" s="34"/>
      <c r="H15" s="33"/>
      <c r="I15" s="33"/>
      <c r="J15" s="40">
        <f>C37*'E Balans VL '!D15/100/3.6*1000000+C37*'E Balans VL '!E15/100/3.6*1000000</f>
        <v>0.19986233105305506</v>
      </c>
      <c r="K15" s="33"/>
      <c r="L15" s="33"/>
      <c r="M15" s="33"/>
      <c r="N15" s="33">
        <f>C37*'E Balans VL '!Y15/100/3.6*1000000</f>
        <v>1.2911418852215593</v>
      </c>
      <c r="O15" s="33"/>
      <c r="P15" s="33"/>
      <c r="R15" s="32"/>
    </row>
    <row r="16" spans="1:18">
      <c r="A16" s="16" t="s">
        <v>466</v>
      </c>
      <c r="B16" s="242">
        <f>'lokale energieproductie'!N38+'lokale energieproductie'!N31</f>
        <v>241.65000000000003</v>
      </c>
      <c r="C16" s="242">
        <f>'lokale energieproductie'!O38+'lokale energieproductie'!O31</f>
        <v>345.21428571428578</v>
      </c>
      <c r="D16" s="302">
        <f>('lokale energieproductie'!P31+'lokale energieproductie'!P38)*(-1)</f>
        <v>-690.42857142857156</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3581.8561406397966</v>
      </c>
      <c r="C18" s="21">
        <f>C5+C16</f>
        <v>345.21428571428578</v>
      </c>
      <c r="D18" s="21">
        <f>MAX((D5+D16),0)</f>
        <v>3915.5846025398441</v>
      </c>
      <c r="E18" s="21">
        <f>MAX((E5+E16),0)</f>
        <v>12.670501437740931</v>
      </c>
      <c r="F18" s="21">
        <f>MAX((F5+F16),0)</f>
        <v>1308.8021923463018</v>
      </c>
      <c r="G18" s="21"/>
      <c r="H18" s="21"/>
      <c r="I18" s="21"/>
      <c r="J18" s="21">
        <f>MAX((J5+J16),0)</f>
        <v>0.42622065248391805</v>
      </c>
      <c r="K18" s="21"/>
      <c r="L18" s="21">
        <f>MAX((L5+L16),0)</f>
        <v>0</v>
      </c>
      <c r="M18" s="21"/>
      <c r="N18" s="21">
        <f>MAX((N5+N16),0)</f>
        <v>83.104921056967314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0.21033402822606376</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753.38623058703081</v>
      </c>
      <c r="C22" s="23">
        <f ca="1">C18*C20</f>
        <v>82.039159663865576</v>
      </c>
      <c r="D22" s="23">
        <f>D18*D20</f>
        <v>790.9480897130486</v>
      </c>
      <c r="E22" s="23">
        <f>E18*E20</f>
        <v>2.8762038263671914</v>
      </c>
      <c r="F22" s="23">
        <f>F18*F20</f>
        <v>349.45018535646261</v>
      </c>
      <c r="G22" s="23"/>
      <c r="H22" s="23"/>
      <c r="I22" s="23"/>
      <c r="J22" s="23">
        <f>J18*J20</f>
        <v>0.15088211097930698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205.33258670533598</v>
      </c>
      <c r="C30" s="39">
        <f>IF(ISERROR(B30*3.6/1000000/'E Balans VL '!Z18*100),0,B30*3.6/1000000/'E Balans VL '!Z18*100)</f>
        <v>1.1456608923168212E-2</v>
      </c>
      <c r="D30" s="232" t="s">
        <v>660</v>
      </c>
    </row>
    <row r="31" spans="1:18">
      <c r="A31" s="6" t="s">
        <v>32</v>
      </c>
      <c r="B31" s="37">
        <f>IF( ISERROR(IND_ander_ele_kWh/1000),0,IND_ander_ele_kWh/1000)</f>
        <v>1973.0965790538698</v>
      </c>
      <c r="C31" s="39">
        <f>IF(ISERROR(B31*3.6/1000000/'E Balans VL '!Z19*100),0,B31*3.6/1000000/'E Balans VL '!Z19*100)</f>
        <v>8.0311119249815169E-2</v>
      </c>
      <c r="D31" s="232" t="s">
        <v>660</v>
      </c>
    </row>
    <row r="32" spans="1:18">
      <c r="A32" s="167" t="s">
        <v>40</v>
      </c>
      <c r="B32" s="37">
        <f>IF( ISERROR(IND_voed_ele_kWh/1000),0,IND_voed_ele_kWh/1000)</f>
        <v>821.04019108368004</v>
      </c>
      <c r="C32" s="39">
        <f>IF(ISERROR(B32*3.6/1000000/'E Balans VL '!Z20*100),0,B32*3.6/1000000/'E Balans VL '!Z20*100)</f>
        <v>2.3879823515639609E-2</v>
      </c>
      <c r="D32" s="232" t="s">
        <v>660</v>
      </c>
    </row>
    <row r="33" spans="1:5">
      <c r="A33" s="167" t="s">
        <v>39</v>
      </c>
      <c r="B33" s="37">
        <f>IF( ISERROR(IND_textiel_ele_kWh/1000),0,IND_textiel_ele_kWh/1000)</f>
        <v>16.286999999999999</v>
      </c>
      <c r="C33" s="39">
        <f>IF(ISERROR(B33*3.6/1000000/'E Balans VL '!Z21*100),0,B33*3.6/1000000/'E Balans VL '!Z21*100)</f>
        <v>2.3990869197478616E-3</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278.901381069124</v>
      </c>
      <c r="C35" s="39">
        <f>IF(ISERROR(B35*3.6/1000000/'E Balans VL '!Z22*100),0,B35*3.6/1000000/'E Balans VL '!Z22*100)</f>
        <v>0.1118837361579096</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45.548402727787</v>
      </c>
      <c r="C37" s="39">
        <f>IF(ISERROR(B37*3.6/1000000/'E Balans VL '!Z15*100),0,B37*3.6/1000000/'E Balans VL '!Z15*100)</f>
        <v>3.6687148229045253E-4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137.67790368255299</v>
      </c>
      <c r="C5" s="17">
        <f>'Eigen informatie GS &amp; warmtenet'!B62</f>
        <v>0</v>
      </c>
      <c r="D5" s="30">
        <f>IF(ISERROR(SUM(LB_lb_gas_kWh,LB_rest_gas_kWh)/1000),0,SUM(LB_lb_gas_kWh,LB_rest_gas_kWh)/1000)*0.903</f>
        <v>274.34336761092976</v>
      </c>
      <c r="E5" s="17">
        <f>B17*'E Balans VL '!I25/3.6*1000000/100</f>
        <v>4.0591338338713738</v>
      </c>
      <c r="F5" s="17">
        <f>B17*('E Balans VL '!L25/3.6*1000000+'E Balans VL '!N25/3.6*1000000)/100</f>
        <v>437.58930713708656</v>
      </c>
      <c r="G5" s="18"/>
      <c r="H5" s="17"/>
      <c r="I5" s="17"/>
      <c r="J5" s="17">
        <f>('E Balans VL '!D25+'E Balans VL '!E25)/3.6*1000000*landbouw!B17/100</f>
        <v>34.721521863644099</v>
      </c>
      <c r="K5" s="17"/>
      <c r="L5" s="17">
        <f>L6*(-1)</f>
        <v>0</v>
      </c>
      <c r="M5" s="17"/>
      <c r="N5" s="17">
        <f>N6*(-1)</f>
        <v>0</v>
      </c>
      <c r="O5" s="17"/>
      <c r="P5" s="17"/>
      <c r="R5" s="32"/>
    </row>
    <row r="6" spans="1:18">
      <c r="A6" s="16" t="s">
        <v>466</v>
      </c>
      <c r="B6" s="17" t="s">
        <v>204</v>
      </c>
      <c r="C6" s="17">
        <f>'lokale energieproductie'!O40+'lokale energieproductie'!O33</f>
        <v>0</v>
      </c>
      <c r="D6" s="302">
        <f>('lokale energieproductie'!P33+'lokale energieproductie'!P40)*(-1)</f>
        <v>0</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137.67790368255299</v>
      </c>
      <c r="C8" s="21">
        <f>C5+C6</f>
        <v>0</v>
      </c>
      <c r="D8" s="21">
        <f>MAX((D5+D6),0)</f>
        <v>274.34336761092976</v>
      </c>
      <c r="E8" s="21">
        <f>MAX((E5+E6),0)</f>
        <v>4.0591338338713738</v>
      </c>
      <c r="F8" s="21">
        <f>MAX((F5+F6),0)</f>
        <v>437.58930713708656</v>
      </c>
      <c r="G8" s="21"/>
      <c r="H8" s="21"/>
      <c r="I8" s="21"/>
      <c r="J8" s="21">
        <f>MAX((J5+J6),0)</f>
        <v>34.721521863644099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0.21033402822606376</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28.958348079271389</v>
      </c>
      <c r="C12" s="23">
        <f ca="1">C8*C10</f>
        <v>0</v>
      </c>
      <c r="D12" s="23">
        <f>D8*D10</f>
        <v>55.417360257407815</v>
      </c>
      <c r="E12" s="23">
        <f>E8*E10</f>
        <v>0.92142338028880189</v>
      </c>
      <c r="F12" s="23">
        <f>F8*F10</f>
        <v>116.83634500560211</v>
      </c>
      <c r="G12" s="23"/>
      <c r="H12" s="23"/>
      <c r="I12" s="23"/>
      <c r="J12" s="23">
        <f>J8*J10</f>
        <v>12.291418739730011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1.890970079778204E-2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3.4773412282733891</v>
      </c>
      <c r="C26" s="242">
        <f>B26*'GWP N2O_CH4'!B5</f>
        <v>73.024165793741176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0.29207877442148245</v>
      </c>
      <c r="C27" s="242">
        <f>B27*'GWP N2O_CH4'!B5</f>
        <v>6.133654262851131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2.1404967062573957E-2</v>
      </c>
      <c r="C28" s="242">
        <f>B28*'GWP N2O_CH4'!B4</f>
        <v>6.6355397893979262</v>
      </c>
      <c r="D28" s="50"/>
    </row>
    <row r="29" spans="1:4">
      <c r="A29" s="41" t="s">
        <v>266</v>
      </c>
      <c r="B29" s="242">
        <f>B34*'ha_N2O bodem landbouw'!B4</f>
        <v>1.933809489995898</v>
      </c>
      <c r="C29" s="242">
        <f>B29*'GWP N2O_CH4'!B4</f>
        <v>599.48094189872836</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4.4072070536617294E-4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1.1267506566890986E-3</v>
      </c>
      <c r="C5" s="430" t="s">
        <v>204</v>
      </c>
      <c r="D5" s="415">
        <f>SUM(D6:D11)</f>
        <v>2.0730692770197174E-3</v>
      </c>
      <c r="E5" s="415">
        <f>SUM(E6:E11)</f>
        <v>1.1527439815498793E-3</v>
      </c>
      <c r="F5" s="428" t="s">
        <v>204</v>
      </c>
      <c r="G5" s="415">
        <f>SUM(G6:G11)</f>
        <v>0.46808715885833202</v>
      </c>
      <c r="H5" s="415">
        <f>SUM(H6:H11)</f>
        <v>0.13693630994740963</v>
      </c>
      <c r="I5" s="430" t="s">
        <v>204</v>
      </c>
      <c r="J5" s="430" t="s">
        <v>204</v>
      </c>
      <c r="K5" s="430" t="s">
        <v>204</v>
      </c>
      <c r="L5" s="430" t="s">
        <v>204</v>
      </c>
      <c r="M5" s="415">
        <f>SUM(M6:M11)</f>
        <v>3.5873334172408892E-2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6.005103417393372E-4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1.0479784207270586E-3</v>
      </c>
      <c r="E6" s="844">
        <f>vkm_GW_PW*SUMIFS(TableVerdeelsleutelVkm[LPG],TableVerdeelsleutelVkm[Voertuigtype],"Lichte voertuigen")*SUMIFS(TableECFTransport[EnergieConsumptieFactor (PJ per km)],TableECFTransport[Index],CONCATENATE($A6,"_LPG_LPG"))</f>
        <v>5.7621063211560364E-4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0.17734283576057691</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6.9191874128489678E-2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1.4794679928962252E-2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1.5262501404177442E-6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6.3167594187814549E-2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6.9228545621401822E-7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3.556436391516518E-3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3.4581864598778921E-4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7.7365888620404665E-4</v>
      </c>
      <c r="E8" s="418">
        <f>vkm_NGW_PW*SUMIFS(TableVerdeelsleutelVkm[LPG],TableVerdeelsleutelVkm[Voertuigtype],"Lichte voertuigen")*SUMIFS(TableECFTransport[EnergieConsumptieFactor (PJ per km)],TableECFTransport[Index],CONCATENATE($A8,"_LPG_LPG"))</f>
        <v>4.0628653888305792E-4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0.1155539456175312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5.0283127316137974E-2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1.0001402041976023E-2</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9.7106271079082874E-8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5.1755105873163591E-3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5.3164681271137716E-8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2.9138926085428053E-4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1.7726925920316154E-4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2.5143197008861218E-4</v>
      </c>
      <c r="E10" s="418">
        <f>vkm_SW_PW*SUMIFS(TableVerdeelsleutelVkm[LPG],TableVerdeelsleutelVkm[Voertuigtype],"Lichte voertuigen")*SUMIFS(TableECFTransport[EnergieConsumptieFactor (PJ per km)],TableECFTransport[Index],CONCATENATE($A10,"_LPG_LPG"))</f>
        <v>1.7024681055121779E-4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4.7061913516816815E-2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1.7459849193432637E-2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3.8634113106770533E-3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1.529053347313889E-6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5.9785359188276196E-2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7.1385921186183984E-7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3.3660152384227676E-3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312.98629352474961</v>
      </c>
      <c r="C14" s="21"/>
      <c r="D14" s="21">
        <f t="shared" ref="D14:M14" si="0">((D5)*10^9/3600)+D12</f>
        <v>575.85257694992151</v>
      </c>
      <c r="E14" s="21">
        <f t="shared" si="0"/>
        <v>320.20666154163314</v>
      </c>
      <c r="F14" s="21"/>
      <c r="G14" s="21">
        <f t="shared" si="0"/>
        <v>130024.21079398112</v>
      </c>
      <c r="H14" s="21">
        <f t="shared" si="0"/>
        <v>38037.863874280454</v>
      </c>
      <c r="I14" s="21"/>
      <c r="J14" s="21"/>
      <c r="K14" s="21"/>
      <c r="L14" s="21"/>
      <c r="M14" s="21">
        <f t="shared" si="0"/>
        <v>9964.8150478913594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0.21033402822606376</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65.831667896605765</v>
      </c>
      <c r="C18" s="23"/>
      <c r="D18" s="23">
        <f t="shared" ref="D18:M18" si="1">D14*D16</f>
        <v>116.32222054388416</v>
      </c>
      <c r="E18" s="23">
        <f t="shared" si="1"/>
        <v>72.68691216995073</v>
      </c>
      <c r="F18" s="23"/>
      <c r="G18" s="23">
        <f t="shared" si="1"/>
        <v>34716.464281992965</v>
      </c>
      <c r="H18" s="23">
        <f t="shared" si="1"/>
        <v>9471.4281046958331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1.6704822053508446E-4</v>
      </c>
      <c r="C50" s="313">
        <f t="shared" ref="C50:P50" si="2">SUM(C51:C52)</f>
        <v>0</v>
      </c>
      <c r="D50" s="313">
        <f t="shared" si="2"/>
        <v>0</v>
      </c>
      <c r="E50" s="313">
        <f t="shared" si="2"/>
        <v>0</v>
      </c>
      <c r="F50" s="313">
        <f t="shared" si="2"/>
        <v>0</v>
      </c>
      <c r="G50" s="313">
        <f t="shared" si="2"/>
        <v>1.1923601017710422E-2</v>
      </c>
      <c r="H50" s="313">
        <f t="shared" si="2"/>
        <v>0</v>
      </c>
      <c r="I50" s="313">
        <f t="shared" si="2"/>
        <v>0</v>
      </c>
      <c r="J50" s="313">
        <f t="shared" si="2"/>
        <v>0</v>
      </c>
      <c r="K50" s="313">
        <f t="shared" si="2"/>
        <v>0</v>
      </c>
      <c r="L50" s="313">
        <f t="shared" si="2"/>
        <v>0</v>
      </c>
      <c r="M50" s="313">
        <f t="shared" si="2"/>
        <v>6.5840448219836774E-4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1.6704822053508446E-4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1.1923601017710422E-2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6.5840448219836774E-4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46.402283481967906</v>
      </c>
      <c r="C54" s="21">
        <f t="shared" ref="C54:P54" si="3">(C50)*10^9/3600</f>
        <v>0</v>
      </c>
      <c r="D54" s="21">
        <f t="shared" si="3"/>
        <v>0</v>
      </c>
      <c r="E54" s="21">
        <f t="shared" si="3"/>
        <v>0</v>
      </c>
      <c r="F54" s="21">
        <f t="shared" si="3"/>
        <v>0</v>
      </c>
      <c r="G54" s="21">
        <f t="shared" si="3"/>
        <v>3312.1113938084509</v>
      </c>
      <c r="H54" s="21">
        <f t="shared" si="3"/>
        <v>0</v>
      </c>
      <c r="I54" s="21">
        <f t="shared" si="3"/>
        <v>0</v>
      </c>
      <c r="J54" s="21">
        <f t="shared" si="3"/>
        <v>0</v>
      </c>
      <c r="K54" s="21">
        <f t="shared" si="3"/>
        <v>0</v>
      </c>
      <c r="L54" s="21">
        <f t="shared" si="3"/>
        <v>0</v>
      </c>
      <c r="M54" s="21">
        <f t="shared" si="3"/>
        <v>182.89013394399103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0.21033402822606376</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9.7599792036500492</v>
      </c>
      <c r="C58" s="23">
        <f t="shared" ref="C58:P58" ca="1" si="4">C54*C56</f>
        <v>0</v>
      </c>
      <c r="D58" s="23">
        <f t="shared" si="4"/>
        <v>0</v>
      </c>
      <c r="E58" s="23">
        <f t="shared" si="4"/>
        <v>0</v>
      </c>
      <c r="F58" s="23">
        <f t="shared" si="4"/>
        <v>0</v>
      </c>
      <c r="G58" s="23">
        <f t="shared" si="4"/>
        <v>884.33374214685648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6294.7207371395371</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N30</f>
        <v>871.65000000000009</v>
      </c>
      <c r="C8" s="540">
        <f>B49</f>
        <v>1025.4705882352944</v>
      </c>
      <c r="D8" s="541"/>
      <c r="E8" s="541">
        <f>E49</f>
        <v>0</v>
      </c>
      <c r="F8" s="542"/>
      <c r="G8" s="543"/>
      <c r="H8" s="541">
        <f>I49</f>
        <v>0</v>
      </c>
      <c r="I8" s="541">
        <f>G49+F49</f>
        <v>0</v>
      </c>
      <c r="J8" s="541">
        <f>H49+D49+C49</f>
        <v>0</v>
      </c>
      <c r="K8" s="541"/>
      <c r="L8" s="541"/>
      <c r="M8" s="541"/>
      <c r="N8" s="544"/>
      <c r="O8" s="545">
        <f>C8*$C$12+D8*$D$12+E8*$E$12+F8*$F$12+G8*$G$12+H8*$H$12+I8*$I$12+J8*$J$12</f>
        <v>207.14505882352947</v>
      </c>
      <c r="P8" s="1210"/>
      <c r="Q8" s="1211"/>
      <c r="S8" s="535"/>
      <c r="T8" s="1198"/>
      <c r="U8" s="1198"/>
    </row>
    <row r="9" spans="1:21" s="526" customFormat="1" ht="17.45" customHeight="1" thickBot="1">
      <c r="A9" s="546" t="s">
        <v>237</v>
      </c>
      <c r="B9" s="547">
        <f>N37+'Eigen informatie GS &amp; warmtenet'!B12</f>
        <v>0</v>
      </c>
      <c r="C9" s="548">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7166.3707371395376</v>
      </c>
      <c r="C10" s="555">
        <f t="shared" ref="C10:L10" si="0">SUM(C8:C9)</f>
        <v>1025.4705882352944</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207.14505882352947</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O30</f>
        <v>1245.214285714286</v>
      </c>
      <c r="C17" s="571">
        <f>B50</f>
        <v>1464.9579831932779</v>
      </c>
      <c r="D17" s="572"/>
      <c r="E17" s="572">
        <f>E50</f>
        <v>0</v>
      </c>
      <c r="F17" s="573"/>
      <c r="G17" s="574"/>
      <c r="H17" s="571">
        <f>I50</f>
        <v>0</v>
      </c>
      <c r="I17" s="572">
        <f>G50+F50</f>
        <v>0</v>
      </c>
      <c r="J17" s="572">
        <f>H50+D50+C50</f>
        <v>0</v>
      </c>
      <c r="K17" s="572"/>
      <c r="L17" s="572"/>
      <c r="M17" s="572"/>
      <c r="N17" s="918"/>
      <c r="O17" s="575">
        <f>C17*$C$22+E17*$E$22+H17*$H$22+I17*$I$22+J17*$J$22+D17*$D$22+F17*$F$22+G17*$G$22+K17*$K$22+L17*$L$22</f>
        <v>295.92151260504215</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1245.214285714286</v>
      </c>
      <c r="C20" s="554">
        <f>SUM(C17:C19)</f>
        <v>1464.9579831932779</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295.92151260504215</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11008</v>
      </c>
      <c r="C28" s="746">
        <v>2930</v>
      </c>
      <c r="D28" s="632"/>
      <c r="E28" s="631"/>
      <c r="F28" s="631"/>
      <c r="G28" s="631" t="s">
        <v>861</v>
      </c>
      <c r="H28" s="631" t="s">
        <v>862</v>
      </c>
      <c r="I28" s="631"/>
      <c r="J28" s="745"/>
      <c r="K28" s="745"/>
      <c r="L28" s="631" t="s">
        <v>863</v>
      </c>
      <c r="M28" s="631">
        <v>53.7</v>
      </c>
      <c r="N28" s="631">
        <v>241.65000000000003</v>
      </c>
      <c r="O28" s="631">
        <v>345.21428571428578</v>
      </c>
      <c r="P28" s="631">
        <v>690.42857142857156</v>
      </c>
      <c r="Q28" s="631">
        <v>0</v>
      </c>
      <c r="R28" s="631">
        <v>0</v>
      </c>
      <c r="S28" s="631">
        <v>0</v>
      </c>
      <c r="T28" s="631">
        <v>0</v>
      </c>
      <c r="U28" s="631">
        <v>0</v>
      </c>
      <c r="V28" s="631">
        <v>0</v>
      </c>
      <c r="W28" s="631">
        <v>0</v>
      </c>
      <c r="X28" s="631"/>
      <c r="Y28" s="631">
        <v>16000</v>
      </c>
      <c r="Z28" s="631" t="s">
        <v>32</v>
      </c>
      <c r="AA28" s="633" t="s">
        <v>373</v>
      </c>
    </row>
    <row r="29" spans="1:27" s="585" customFormat="1" ht="51" hidden="1">
      <c r="A29" s="584"/>
      <c r="B29" s="746">
        <v>11008</v>
      </c>
      <c r="C29" s="746">
        <v>2930</v>
      </c>
      <c r="D29" s="632"/>
      <c r="E29" s="631"/>
      <c r="F29" s="631"/>
      <c r="G29" s="631" t="s">
        <v>861</v>
      </c>
      <c r="H29" s="631" t="s">
        <v>862</v>
      </c>
      <c r="I29" s="631"/>
      <c r="J29" s="745"/>
      <c r="K29" s="745"/>
      <c r="L29" s="631" t="s">
        <v>863</v>
      </c>
      <c r="M29" s="631">
        <v>140</v>
      </c>
      <c r="N29" s="631">
        <v>630.00000000000011</v>
      </c>
      <c r="O29" s="631">
        <v>900.00000000000023</v>
      </c>
      <c r="P29" s="631">
        <v>1800.0000000000005</v>
      </c>
      <c r="Q29" s="631">
        <v>0</v>
      </c>
      <c r="R29" s="631">
        <v>0</v>
      </c>
      <c r="S29" s="631">
        <v>0</v>
      </c>
      <c r="T29" s="631">
        <v>0</v>
      </c>
      <c r="U29" s="631">
        <v>0</v>
      </c>
      <c r="V29" s="631">
        <v>0</v>
      </c>
      <c r="W29" s="631">
        <v>0</v>
      </c>
      <c r="X29" s="631"/>
      <c r="Y29" s="631">
        <v>1500</v>
      </c>
      <c r="Z29" s="631" t="s">
        <v>50</v>
      </c>
      <c r="AA29" s="633" t="s">
        <v>149</v>
      </c>
    </row>
    <row r="30" spans="1:27" s="565" customFormat="1" hidden="1">
      <c r="A30" s="587" t="s">
        <v>269</v>
      </c>
      <c r="B30" s="588"/>
      <c r="C30" s="588"/>
      <c r="D30" s="588"/>
      <c r="E30" s="588"/>
      <c r="F30" s="588"/>
      <c r="G30" s="588"/>
      <c r="H30" s="588"/>
      <c r="I30" s="588"/>
      <c r="J30" s="588"/>
      <c r="K30" s="588"/>
      <c r="L30" s="589"/>
      <c r="M30" s="589">
        <f>SUM(M28:M29)</f>
        <v>193.7</v>
      </c>
      <c r="N30" s="589">
        <f>SUM(N28:N29)</f>
        <v>871.65000000000009</v>
      </c>
      <c r="O30" s="589">
        <f>SUM(O28:O29)</f>
        <v>1245.214285714286</v>
      </c>
      <c r="P30" s="589">
        <f>SUM(P28:P29)</f>
        <v>2490.428571428572</v>
      </c>
      <c r="Q30" s="589">
        <f>SUM(Q28:Q29)</f>
        <v>0</v>
      </c>
      <c r="R30" s="589">
        <f>SUM(R28:R29)</f>
        <v>0</v>
      </c>
      <c r="S30" s="589">
        <f>SUM(S28:S29)</f>
        <v>0</v>
      </c>
      <c r="T30" s="589">
        <f>SUM(T28:T29)</f>
        <v>0</v>
      </c>
      <c r="U30" s="589">
        <f>SUM(U28:U29)</f>
        <v>0</v>
      </c>
      <c r="V30" s="589">
        <f>SUM(V28:V29)</f>
        <v>0</v>
      </c>
      <c r="W30" s="589">
        <f>SUM(W28:W29)</f>
        <v>0</v>
      </c>
      <c r="X30" s="589"/>
      <c r="Y30" s="590"/>
      <c r="Z30" s="590"/>
      <c r="AA30" s="591"/>
    </row>
    <row r="31" spans="1:27" s="565" customFormat="1">
      <c r="A31" s="587" t="s">
        <v>276</v>
      </c>
      <c r="B31" s="588"/>
      <c r="C31" s="588"/>
      <c r="D31" s="588"/>
      <c r="E31" s="588"/>
      <c r="F31" s="588"/>
      <c r="G31" s="588"/>
      <c r="H31" s="588"/>
      <c r="I31" s="588"/>
      <c r="J31" s="588"/>
      <c r="K31" s="588"/>
      <c r="L31" s="589"/>
      <c r="M31" s="589">
        <f>SUMIF($AA$28:$AA$29,"industrie",M28:M29)</f>
        <v>53.7</v>
      </c>
      <c r="N31" s="589">
        <f>SUMIF($AA$28:$AA$29,"industrie",N28:N29)</f>
        <v>241.65000000000003</v>
      </c>
      <c r="O31" s="589">
        <f>SUMIF($AA$28:$AA$29,"industrie",O28:O29)</f>
        <v>345.21428571428578</v>
      </c>
      <c r="P31" s="589">
        <f>SUMIF($AA$28:$AA$29,"industrie",P28:P29)</f>
        <v>690.42857142857156</v>
      </c>
      <c r="Q31" s="589">
        <f>SUMIF($AA$28:$AA$29,"industrie",Q28:Q29)</f>
        <v>0</v>
      </c>
      <c r="R31" s="589">
        <f>SUMIF($AA$28:$AA$29,"industrie",R28:R29)</f>
        <v>0</v>
      </c>
      <c r="S31" s="589">
        <f>SUMIF($AA$28:$AA$29,"industrie",S28:S29)</f>
        <v>0</v>
      </c>
      <c r="T31" s="589">
        <f>SUMIF($AA$28:$AA$29,"industrie",T28:T29)</f>
        <v>0</v>
      </c>
      <c r="U31" s="589">
        <f>SUMIF($AA$28:$AA$29,"industrie",U28:U29)</f>
        <v>0</v>
      </c>
      <c r="V31" s="589">
        <f>SUMIF($AA$28:$AA$29,"industrie",V28:V29)</f>
        <v>0</v>
      </c>
      <c r="W31" s="589">
        <f>SUMIF($AA$28:$AA$29,"industrie",W28:W29)</f>
        <v>0</v>
      </c>
      <c r="X31" s="589"/>
      <c r="Y31" s="590"/>
      <c r="Z31" s="590"/>
      <c r="AA31" s="591"/>
    </row>
    <row r="32" spans="1:27" s="565" customFormat="1">
      <c r="A32" s="587" t="s">
        <v>277</v>
      </c>
      <c r="B32" s="588"/>
      <c r="C32" s="588"/>
      <c r="D32" s="588"/>
      <c r="E32" s="588"/>
      <c r="F32" s="588"/>
      <c r="G32" s="588"/>
      <c r="H32" s="588"/>
      <c r="I32" s="588"/>
      <c r="J32" s="588"/>
      <c r="K32" s="588"/>
      <c r="L32" s="589"/>
      <c r="M32" s="589">
        <f ca="1">SUMIF($AA$28:AD29,"tertiair",M28:M29)</f>
        <v>140</v>
      </c>
      <c r="N32" s="589">
        <f ca="1">SUMIF($AA$28:AE29,"tertiair",N28:N29)</f>
        <v>630.00000000000011</v>
      </c>
      <c r="O32" s="589">
        <f ca="1">SUMIF($AA$28:AF29,"tertiair",O28:O29)</f>
        <v>900.00000000000023</v>
      </c>
      <c r="P32" s="589">
        <f ca="1">SUMIF($AA$28:AG29,"tertiair",P28:P29)</f>
        <v>1800.0000000000005</v>
      </c>
      <c r="Q32" s="589">
        <f ca="1">SUMIF($AA$28:AH29,"tertiair",Q28:Q29)</f>
        <v>0</v>
      </c>
      <c r="R32" s="589">
        <f ca="1">SUMIF($AA$28:AI29,"tertiair",R28:R29)</f>
        <v>0</v>
      </c>
      <c r="S32" s="589">
        <f ca="1">SUMIF($AA$28:AJ29,"tertiair",S28:S29)</f>
        <v>0</v>
      </c>
      <c r="T32" s="589">
        <f ca="1">SUMIF($AA$28:AK29,"tertiair",T28:T29)</f>
        <v>0</v>
      </c>
      <c r="U32" s="589">
        <f ca="1">SUMIF($AA$28:AL29,"tertiair",U28:U29)</f>
        <v>0</v>
      </c>
      <c r="V32" s="589">
        <f ca="1">SUMIF($AA$28:AM29,"tertiair",V28:V29)</f>
        <v>0</v>
      </c>
      <c r="W32" s="589">
        <f ca="1">SUMIF($AA$28:AN29,"tertiair",W28:W29)</f>
        <v>0</v>
      </c>
      <c r="X32" s="589"/>
      <c r="Y32" s="590"/>
      <c r="Z32" s="590"/>
      <c r="AA32" s="591"/>
    </row>
    <row r="33" spans="1:28" s="565" customFormat="1" ht="15.75" thickBot="1">
      <c r="A33" s="592" t="s">
        <v>278</v>
      </c>
      <c r="B33" s="593"/>
      <c r="C33" s="593"/>
      <c r="D33" s="593"/>
      <c r="E33" s="593"/>
      <c r="F33" s="593"/>
      <c r="G33" s="593"/>
      <c r="H33" s="593"/>
      <c r="I33" s="593"/>
      <c r="J33" s="593"/>
      <c r="K33" s="593"/>
      <c r="L33" s="594"/>
      <c r="M33" s="594">
        <f>SUMIF($AA$28:$AA$29,"landbouw",M28:M29)</f>
        <v>0</v>
      </c>
      <c r="N33" s="594">
        <f>SUMIF($AA$28:$AA$29,"landbouw",N28:N29)</f>
        <v>0</v>
      </c>
      <c r="O33" s="594">
        <f>SUMIF($AA$28:$AA$29,"landbouw",O28:O29)</f>
        <v>0</v>
      </c>
      <c r="P33" s="594">
        <f>SUMIF($AA$28:$AA$29,"landbouw",P28:P29)</f>
        <v>0</v>
      </c>
      <c r="Q33" s="594">
        <f>SUMIF($AA$28:$AA$29,"landbouw",Q28:Q29)</f>
        <v>0</v>
      </c>
      <c r="R33" s="594">
        <f>SUMIF($AA$28:$AA$29,"landbouw",R28:R29)</f>
        <v>0</v>
      </c>
      <c r="S33" s="594">
        <f>SUMIF($AA$28:$AA$29,"landbouw",S28:S29)</f>
        <v>0</v>
      </c>
      <c r="T33" s="594">
        <f>SUMIF($AA$28:$AA$29,"landbouw",T28:T29)</f>
        <v>0</v>
      </c>
      <c r="U33" s="594">
        <f>SUMIF($AA$28:$AA$29,"landbouw",U28:U29)</f>
        <v>0</v>
      </c>
      <c r="V33" s="594">
        <f>SUMIF($AA$28:$AA$29,"landbouw",V28:V29)</f>
        <v>0</v>
      </c>
      <c r="W33" s="594">
        <f>SUMIF($AA$28:$AA$29,"landbouw",W28:W29)</f>
        <v>0</v>
      </c>
      <c r="X33" s="594"/>
      <c r="Y33" s="595"/>
      <c r="Z33" s="595"/>
      <c r="AA33" s="596"/>
    </row>
    <row r="34" spans="1:28" s="526" customFormat="1" ht="15.75" thickBot="1">
      <c r="A34" s="597"/>
      <c r="B34" s="598"/>
      <c r="C34" s="598"/>
      <c r="D34" s="598"/>
      <c r="E34" s="598"/>
      <c r="F34" s="598"/>
      <c r="G34" s="598"/>
      <c r="H34" s="598"/>
      <c r="I34" s="598"/>
      <c r="J34" s="598"/>
      <c r="K34" s="598"/>
      <c r="L34" s="581"/>
      <c r="M34" s="581"/>
      <c r="N34" s="581"/>
      <c r="O34" s="582"/>
      <c r="P34" s="582"/>
    </row>
    <row r="35" spans="1:28" s="526" customFormat="1" ht="45">
      <c r="A35" s="599" t="s">
        <v>270</v>
      </c>
      <c r="B35" s="628" t="s">
        <v>89</v>
      </c>
      <c r="C35" s="628" t="s">
        <v>90</v>
      </c>
      <c r="D35" s="628"/>
      <c r="E35" s="628"/>
      <c r="F35" s="628"/>
      <c r="G35" s="628" t="s">
        <v>91</v>
      </c>
      <c r="H35" s="628" t="s">
        <v>92</v>
      </c>
      <c r="I35" s="628"/>
      <c r="J35" s="628"/>
      <c r="K35" s="628"/>
      <c r="L35" s="628" t="s">
        <v>93</v>
      </c>
      <c r="M35" s="629" t="s">
        <v>287</v>
      </c>
      <c r="N35" s="629" t="s">
        <v>94</v>
      </c>
      <c r="O35" s="629" t="s">
        <v>95</v>
      </c>
      <c r="P35" s="629" t="s">
        <v>510</v>
      </c>
      <c r="Q35" s="629" t="s">
        <v>96</v>
      </c>
      <c r="R35" s="629" t="s">
        <v>97</v>
      </c>
      <c r="S35" s="629" t="s">
        <v>98</v>
      </c>
      <c r="T35" s="629" t="s">
        <v>99</v>
      </c>
      <c r="U35" s="629" t="s">
        <v>100</v>
      </c>
      <c r="V35" s="629" t="s">
        <v>101</v>
      </c>
      <c r="W35" s="628" t="s">
        <v>102</v>
      </c>
      <c r="X35" s="628" t="s">
        <v>860</v>
      </c>
      <c r="Y35" s="628" t="s">
        <v>288</v>
      </c>
      <c r="Z35" s="628" t="s">
        <v>103</v>
      </c>
      <c r="AA35" s="630" t="s">
        <v>289</v>
      </c>
    </row>
    <row r="36" spans="1:28" s="600" customFormat="1" ht="12.75" hidden="1">
      <c r="A36" s="586"/>
      <c r="B36" s="746"/>
      <c r="C36" s="746"/>
      <c r="D36" s="634"/>
      <c r="E36" s="634"/>
      <c r="F36" s="634"/>
      <c r="G36" s="634"/>
      <c r="H36" s="634"/>
      <c r="I36" s="634"/>
      <c r="J36" s="745"/>
      <c r="K36" s="745"/>
      <c r="L36" s="634"/>
      <c r="M36" s="634"/>
      <c r="N36" s="634"/>
      <c r="O36" s="634"/>
      <c r="P36" s="634"/>
      <c r="Q36" s="634"/>
      <c r="R36" s="634"/>
      <c r="S36" s="634"/>
      <c r="T36" s="634"/>
      <c r="U36" s="634"/>
      <c r="V36" s="634"/>
      <c r="W36" s="634"/>
      <c r="X36" s="634"/>
      <c r="Y36" s="634"/>
      <c r="Z36" s="634"/>
      <c r="AA36" s="635"/>
    </row>
    <row r="37" spans="1:28" s="565" customFormat="1" hidden="1">
      <c r="A37" s="587" t="s">
        <v>269</v>
      </c>
      <c r="B37" s="588"/>
      <c r="C37" s="588"/>
      <c r="D37" s="588"/>
      <c r="E37" s="588"/>
      <c r="F37" s="588"/>
      <c r="G37" s="588"/>
      <c r="H37" s="588"/>
      <c r="I37" s="588"/>
      <c r="J37" s="588"/>
      <c r="K37" s="588"/>
      <c r="L37" s="589"/>
      <c r="M37" s="589">
        <f>SUM(M36:M36)</f>
        <v>0</v>
      </c>
      <c r="N37" s="589">
        <f>SUM(N36:N36)</f>
        <v>0</v>
      </c>
      <c r="O37" s="589">
        <f>SUM(O36:O36)</f>
        <v>0</v>
      </c>
      <c r="P37" s="589">
        <f>SUM(P36:P36)</f>
        <v>0</v>
      </c>
      <c r="Q37" s="589">
        <f>SUM(Q36:Q36)</f>
        <v>0</v>
      </c>
      <c r="R37" s="589">
        <f>SUM(R36:R36)</f>
        <v>0</v>
      </c>
      <c r="S37" s="589">
        <f>SUM(S36:S36)</f>
        <v>0</v>
      </c>
      <c r="T37" s="589">
        <f>SUM(T36:T36)</f>
        <v>0</v>
      </c>
      <c r="U37" s="589">
        <f>SUM(U36:U36)</f>
        <v>0</v>
      </c>
      <c r="V37" s="589">
        <f>SUM(V36:V36)</f>
        <v>0</v>
      </c>
      <c r="W37" s="589">
        <f>SUM(W36:W36)</f>
        <v>0</v>
      </c>
      <c r="X37" s="589"/>
      <c r="Y37" s="590"/>
      <c r="Z37" s="590"/>
      <c r="AA37" s="591"/>
    </row>
    <row r="38" spans="1:28" s="565" customFormat="1">
      <c r="A38" s="587" t="s">
        <v>276</v>
      </c>
      <c r="B38" s="588"/>
      <c r="C38" s="588"/>
      <c r="D38" s="588"/>
      <c r="E38" s="588"/>
      <c r="F38" s="588"/>
      <c r="G38" s="588"/>
      <c r="H38" s="588"/>
      <c r="I38" s="588"/>
      <c r="J38" s="588"/>
      <c r="K38" s="588"/>
      <c r="L38" s="589"/>
      <c r="M38" s="589">
        <f>SUMIF($AA$36:$AA$36,"industrie",M36:M36)</f>
        <v>0</v>
      </c>
      <c r="N38" s="589">
        <f>SUMIF($AA$36:$AA$36,"industrie",N36:N36)</f>
        <v>0</v>
      </c>
      <c r="O38" s="589">
        <f>SUMIF($AA$36:$AA$36,"industrie",O36:O36)</f>
        <v>0</v>
      </c>
      <c r="P38" s="589">
        <f>SUMIF($AA$36:$AA$36,"industrie",P36:P36)</f>
        <v>0</v>
      </c>
      <c r="Q38" s="589">
        <f>SUMIF($AA$36:$AA$36,"industrie",Q36:Q36)</f>
        <v>0</v>
      </c>
      <c r="R38" s="589">
        <f>SUMIF($AA$36:$AA$36,"industrie",R36:R36)</f>
        <v>0</v>
      </c>
      <c r="S38" s="589">
        <f>SUMIF($AA$36:$AA$36,"industrie",S36:S36)</f>
        <v>0</v>
      </c>
      <c r="T38" s="589">
        <f>SUMIF($AA$36:$AA$36,"industrie",T36:T36)</f>
        <v>0</v>
      </c>
      <c r="U38" s="589">
        <f>SUMIF($AA$36:$AA$36,"industrie",U36:U36)</f>
        <v>0</v>
      </c>
      <c r="V38" s="589">
        <f>SUMIF($AA$36:$AA$36,"industrie",V36:V36)</f>
        <v>0</v>
      </c>
      <c r="W38" s="589">
        <f>SUMIF($AA$36:$AA$36,"industrie",W36:W36)</f>
        <v>0</v>
      </c>
      <c r="X38" s="589"/>
      <c r="Y38" s="590"/>
      <c r="Z38" s="590"/>
      <c r="AA38" s="591"/>
    </row>
    <row r="39" spans="1:28" s="565" customFormat="1">
      <c r="A39" s="587" t="s">
        <v>277</v>
      </c>
      <c r="B39" s="588"/>
      <c r="C39" s="588"/>
      <c r="D39" s="588"/>
      <c r="E39" s="588"/>
      <c r="F39" s="588"/>
      <c r="G39" s="588"/>
      <c r="H39" s="588"/>
      <c r="I39" s="588"/>
      <c r="J39" s="588"/>
      <c r="K39" s="588"/>
      <c r="L39" s="589"/>
      <c r="M39" s="589">
        <f>SUMIF($AA$36:$AA$37,"tertiair",M36:M37)</f>
        <v>0</v>
      </c>
      <c r="N39" s="589">
        <f>SUMIF($AA$36:$AA$37,"tertiair",N36:N37)</f>
        <v>0</v>
      </c>
      <c r="O39" s="589">
        <f>SUMIF($AA$36:$AA$37,"tertiair",O36:O37)</f>
        <v>0</v>
      </c>
      <c r="P39" s="589">
        <f>SUMIF($AA$36:$AA$37,"tertiair",P36:P37)</f>
        <v>0</v>
      </c>
      <c r="Q39" s="589">
        <f>SUMIF($AA$36:$AA$37,"tertiair",Q36:Q37)</f>
        <v>0</v>
      </c>
      <c r="R39" s="589">
        <f>SUMIF($AA$36:$AA$37,"tertiair",R36:R37)</f>
        <v>0</v>
      </c>
      <c r="S39" s="589">
        <f>SUMIF($AA$36:$AA$37,"tertiair",S36:S37)</f>
        <v>0</v>
      </c>
      <c r="T39" s="589">
        <f>SUMIF($AA$36:$AA$37,"tertiair",T36:T37)</f>
        <v>0</v>
      </c>
      <c r="U39" s="589">
        <f>SUMIF($AA$36:$AA$37,"tertiair",U36:U37)</f>
        <v>0</v>
      </c>
      <c r="V39" s="589">
        <f>SUMIF($AA$36:$AA$37,"tertiair",V36:V37)</f>
        <v>0</v>
      </c>
      <c r="W39" s="589">
        <f>SUMIF($AA$36:$AA$37,"tertiair",W36:W37)</f>
        <v>0</v>
      </c>
      <c r="X39" s="589"/>
      <c r="Y39" s="590"/>
      <c r="Z39" s="590"/>
      <c r="AA39" s="591"/>
    </row>
    <row r="40" spans="1:28" s="565" customFormat="1" ht="15.75" thickBot="1">
      <c r="A40" s="592" t="s">
        <v>278</v>
      </c>
      <c r="B40" s="593"/>
      <c r="C40" s="593"/>
      <c r="D40" s="593"/>
      <c r="E40" s="593"/>
      <c r="F40" s="593"/>
      <c r="G40" s="593"/>
      <c r="H40" s="593"/>
      <c r="I40" s="593"/>
      <c r="J40" s="593"/>
      <c r="K40" s="593"/>
      <c r="L40" s="594"/>
      <c r="M40" s="594">
        <f>SUMIF($AA$36:$AA$38,"landbouw",M36:M38)</f>
        <v>0</v>
      </c>
      <c r="N40" s="594">
        <f>SUMIF($AA$36:$AA$38,"landbouw",N36:N38)</f>
        <v>0</v>
      </c>
      <c r="O40" s="594">
        <f>SUMIF($AA$36:$AA$38,"landbouw",O36:O38)</f>
        <v>0</v>
      </c>
      <c r="P40" s="594">
        <f>SUMIF($AA$36:$AA$38,"landbouw",P36:P38)</f>
        <v>0</v>
      </c>
      <c r="Q40" s="594">
        <f>SUMIF($AA$36:$AA$38,"landbouw",Q36:Q38)</f>
        <v>0</v>
      </c>
      <c r="R40" s="594">
        <f>SUMIF($AA$36:$AA$38,"landbouw",R36:R38)</f>
        <v>0</v>
      </c>
      <c r="S40" s="594">
        <f>SUMIF($AA$36:$AA$38,"landbouw",S36:S38)</f>
        <v>0</v>
      </c>
      <c r="T40" s="594">
        <f>SUMIF($AA$36:$AA$38,"landbouw",T36:T38)</f>
        <v>0</v>
      </c>
      <c r="U40" s="594">
        <f>SUMIF($AA$36:$AA$38,"landbouw",U36:U38)</f>
        <v>0</v>
      </c>
      <c r="V40" s="594">
        <f>SUMIF($AA$36:$AA$38,"landbouw",V36:V38)</f>
        <v>0</v>
      </c>
      <c r="W40" s="594">
        <f>SUMIF($AA$36:$AA$38,"landbouw",W36:W38)</f>
        <v>0</v>
      </c>
      <c r="X40" s="594"/>
      <c r="Y40" s="595"/>
      <c r="Z40" s="595"/>
      <c r="AA40" s="596"/>
    </row>
    <row r="41" spans="1:28" s="601" customForma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row>
    <row r="42" spans="1:28" s="601" customFormat="1" ht="15.75" thickBo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row>
    <row r="43" spans="1:28">
      <c r="A43" s="602" t="s">
        <v>271</v>
      </c>
      <c r="B43" s="603"/>
      <c r="C43" s="603"/>
      <c r="D43" s="603"/>
      <c r="E43" s="603"/>
      <c r="F43" s="603"/>
      <c r="G43" s="603"/>
      <c r="H43" s="603"/>
      <c r="I43" s="604"/>
      <c r="J43" s="605"/>
      <c r="K43" s="605"/>
      <c r="L43" s="606"/>
      <c r="M43" s="606"/>
      <c r="N43" s="606"/>
      <c r="O43" s="606"/>
      <c r="P43" s="606"/>
    </row>
    <row r="44" spans="1:28">
      <c r="A44" s="608"/>
      <c r="B44" s="598"/>
      <c r="C44" s="598"/>
      <c r="D44" s="598"/>
      <c r="E44" s="598"/>
      <c r="F44" s="598"/>
      <c r="G44" s="598"/>
      <c r="H44" s="598"/>
      <c r="I44" s="609"/>
      <c r="J44" s="598"/>
      <c r="K44" s="598"/>
      <c r="L44" s="606"/>
      <c r="M44" s="606"/>
      <c r="N44" s="606"/>
      <c r="O44" s="606"/>
      <c r="P44" s="606"/>
    </row>
    <row r="45" spans="1:28">
      <c r="A45" s="610"/>
      <c r="B45" s="611" t="s">
        <v>272</v>
      </c>
      <c r="C45" s="611" t="s">
        <v>273</v>
      </c>
      <c r="D45" s="611"/>
      <c r="E45" s="611"/>
      <c r="F45" s="611"/>
      <c r="G45" s="611"/>
      <c r="H45" s="611"/>
      <c r="I45" s="612"/>
      <c r="J45" s="611"/>
      <c r="K45" s="611"/>
      <c r="L45" s="611"/>
      <c r="M45" s="611"/>
      <c r="N45" s="611"/>
      <c r="O45" s="611"/>
      <c r="P45" s="606"/>
    </row>
    <row r="46" spans="1:28">
      <c r="A46" s="608" t="s">
        <v>269</v>
      </c>
      <c r="B46" s="613">
        <f>IF(ISERROR(O30/(O30+N30)),0,O30/(O30+N30))</f>
        <v>0.58823529411764719</v>
      </c>
      <c r="C46" s="614">
        <f>IF(ISERROR(N30/(O30+N30)),0,N30/(N30+O30))</f>
        <v>0.41176470588235298</v>
      </c>
      <c r="D46" s="581"/>
      <c r="E46" s="581"/>
      <c r="F46" s="581"/>
      <c r="G46" s="581"/>
      <c r="H46" s="581"/>
      <c r="I46" s="615"/>
      <c r="J46" s="581"/>
      <c r="K46" s="581"/>
      <c r="L46" s="616"/>
      <c r="M46" s="616"/>
      <c r="N46" s="616"/>
      <c r="O46" s="616"/>
      <c r="P46" s="606"/>
    </row>
    <row r="47" spans="1:28">
      <c r="A47" s="608"/>
      <c r="B47" s="617"/>
      <c r="C47" s="617"/>
      <c r="D47" s="617"/>
      <c r="E47" s="617"/>
      <c r="F47" s="617"/>
      <c r="G47" s="617"/>
      <c r="H47" s="617"/>
      <c r="I47" s="618"/>
      <c r="J47" s="617"/>
      <c r="K47" s="617"/>
      <c r="L47" s="619"/>
      <c r="M47" s="619"/>
      <c r="N47" s="619"/>
      <c r="O47" s="619"/>
      <c r="P47" s="606"/>
    </row>
    <row r="48" spans="1:28" ht="30">
      <c r="A48" s="620"/>
      <c r="B48" s="621" t="s">
        <v>510</v>
      </c>
      <c r="C48" s="621" t="s">
        <v>96</v>
      </c>
      <c r="D48" s="621" t="s">
        <v>97</v>
      </c>
      <c r="E48" s="621" t="s">
        <v>98</v>
      </c>
      <c r="F48" s="621" t="s">
        <v>99</v>
      </c>
      <c r="G48" s="621" t="s">
        <v>100</v>
      </c>
      <c r="H48" s="621" t="s">
        <v>101</v>
      </c>
      <c r="I48" s="622" t="s">
        <v>102</v>
      </c>
      <c r="J48" s="611"/>
      <c r="K48" s="611"/>
      <c r="L48" s="619"/>
      <c r="M48" s="619"/>
      <c r="N48" s="619"/>
      <c r="O48" s="606"/>
      <c r="P48" s="606"/>
    </row>
    <row r="49" spans="1:16">
      <c r="A49" s="610" t="s">
        <v>274</v>
      </c>
      <c r="B49" s="623">
        <f t="shared" ref="B49:I49" si="2">$C$46*P30</f>
        <v>1025.4705882352944</v>
      </c>
      <c r="C49" s="623">
        <f t="shared" si="2"/>
        <v>0</v>
      </c>
      <c r="D49" s="623">
        <f t="shared" si="2"/>
        <v>0</v>
      </c>
      <c r="E49" s="623">
        <f t="shared" si="2"/>
        <v>0</v>
      </c>
      <c r="F49" s="623">
        <f t="shared" si="2"/>
        <v>0</v>
      </c>
      <c r="G49" s="623">
        <f t="shared" si="2"/>
        <v>0</v>
      </c>
      <c r="H49" s="623">
        <f t="shared" si="2"/>
        <v>0</v>
      </c>
      <c r="I49" s="624">
        <f t="shared" si="2"/>
        <v>0</v>
      </c>
      <c r="J49" s="581"/>
      <c r="K49" s="581"/>
      <c r="L49" s="619"/>
      <c r="M49" s="619"/>
      <c r="N49" s="619"/>
      <c r="O49" s="606"/>
      <c r="P49" s="606"/>
    </row>
    <row r="50" spans="1:16" ht="15.75" thickBot="1">
      <c r="A50" s="625" t="s">
        <v>275</v>
      </c>
      <c r="B50" s="626">
        <f t="shared" ref="B50:I50" si="3">$B$46*P30</f>
        <v>1464.9579831932779</v>
      </c>
      <c r="C50" s="626">
        <f t="shared" si="3"/>
        <v>0</v>
      </c>
      <c r="D50" s="626">
        <f t="shared" si="3"/>
        <v>0</v>
      </c>
      <c r="E50" s="626">
        <f t="shared" si="3"/>
        <v>0</v>
      </c>
      <c r="F50" s="626">
        <f t="shared" si="3"/>
        <v>0</v>
      </c>
      <c r="G50" s="626">
        <f t="shared" si="3"/>
        <v>0</v>
      </c>
      <c r="H50" s="626">
        <f t="shared" si="3"/>
        <v>0</v>
      </c>
      <c r="I50" s="627">
        <f t="shared" si="3"/>
        <v>0</v>
      </c>
      <c r="J50" s="581"/>
      <c r="K50" s="581"/>
      <c r="L50" s="619"/>
      <c r="M50" s="619"/>
      <c r="N50" s="619"/>
      <c r="O50" s="606"/>
      <c r="P50" s="606"/>
    </row>
    <row r="51" spans="1:16">
      <c r="J51" s="561"/>
      <c r="K51" s="561"/>
      <c r="L51" s="561"/>
      <c r="M51" s="561"/>
      <c r="N51" s="561"/>
    </row>
    <row r="52" spans="1:16">
      <c r="J52" s="561"/>
      <c r="K52" s="561"/>
      <c r="L52" s="561"/>
      <c r="M52" s="561"/>
      <c r="N52"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53509.323235113654</v>
      </c>
      <c r="D10" s="642">
        <f ca="1">tertiair!C16</f>
        <v>900.00000000000023</v>
      </c>
      <c r="E10" s="642">
        <f ca="1">tertiair!D16</f>
        <v>84716.463603446144</v>
      </c>
      <c r="F10" s="642">
        <f>tertiair!E16</f>
        <v>149.09472383847566</v>
      </c>
      <c r="G10" s="642">
        <f ca="1">tertiair!F16</f>
        <v>11011.530719904156</v>
      </c>
      <c r="H10" s="642">
        <f>tertiair!G16</f>
        <v>0</v>
      </c>
      <c r="I10" s="642">
        <f>tertiair!H16</f>
        <v>0</v>
      </c>
      <c r="J10" s="642">
        <f>tertiair!I16</f>
        <v>0</v>
      </c>
      <c r="K10" s="642">
        <f>tertiair!J16</f>
        <v>7.2156107607020029E-2</v>
      </c>
      <c r="L10" s="642">
        <f>tertiair!K16</f>
        <v>0</v>
      </c>
      <c r="M10" s="642">
        <f ca="1">tertiair!L16</f>
        <v>0</v>
      </c>
      <c r="N10" s="642">
        <f>tertiair!M16</f>
        <v>0</v>
      </c>
      <c r="O10" s="642">
        <f ca="1">tertiair!N16</f>
        <v>2576.3844493194679</v>
      </c>
      <c r="P10" s="642">
        <f>tertiair!O16</f>
        <v>4.8972607658411542</v>
      </c>
      <c r="Q10" s="643">
        <f>tertiair!P16</f>
        <v>157.61741491948504</v>
      </c>
      <c r="R10" s="645">
        <f ca="1">SUM(C10:Q10)</f>
        <v>153025.3835634148</v>
      </c>
      <c r="S10" s="67"/>
    </row>
    <row r="11" spans="1:19" s="441" customFormat="1">
      <c r="A11" s="762" t="s">
        <v>214</v>
      </c>
      <c r="B11" s="767"/>
      <c r="C11" s="642">
        <f>huishoudens!B8</f>
        <v>68175.700441201683</v>
      </c>
      <c r="D11" s="642">
        <f>huishoudens!C8</f>
        <v>0</v>
      </c>
      <c r="E11" s="642">
        <f>huishoudens!D8</f>
        <v>234384.8001754893</v>
      </c>
      <c r="F11" s="642">
        <f>huishoudens!E8</f>
        <v>2185.3672003167753</v>
      </c>
      <c r="G11" s="642">
        <f>huishoudens!F8</f>
        <v>35813.102560069914</v>
      </c>
      <c r="H11" s="642">
        <f>huishoudens!G8</f>
        <v>0</v>
      </c>
      <c r="I11" s="642">
        <f>huishoudens!H8</f>
        <v>0</v>
      </c>
      <c r="J11" s="642">
        <f>huishoudens!I8</f>
        <v>0</v>
      </c>
      <c r="K11" s="642">
        <f>huishoudens!J8</f>
        <v>197.67037728691434</v>
      </c>
      <c r="L11" s="642">
        <f>huishoudens!K8</f>
        <v>0</v>
      </c>
      <c r="M11" s="642">
        <f>huishoudens!L8</f>
        <v>0</v>
      </c>
      <c r="N11" s="642">
        <f>huishoudens!M8</f>
        <v>0</v>
      </c>
      <c r="O11" s="642">
        <f>huishoudens!N8</f>
        <v>18019.644009470125</v>
      </c>
      <c r="P11" s="642">
        <f>huishoudens!O8</f>
        <v>406.71143497434156</v>
      </c>
      <c r="Q11" s="643">
        <f>huishoudens!P8</f>
        <v>863.78466323017187</v>
      </c>
      <c r="R11" s="645">
        <f>SUM(C11:Q11)</f>
        <v>360046.78086203925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3581.8561406397966</v>
      </c>
      <c r="D13" s="642">
        <f>industrie!C18</f>
        <v>345.21428571428578</v>
      </c>
      <c r="E13" s="642">
        <f>industrie!D18</f>
        <v>3915.5846025398441</v>
      </c>
      <c r="F13" s="642">
        <f>industrie!E18</f>
        <v>12.670501437740931</v>
      </c>
      <c r="G13" s="642">
        <f>industrie!F18</f>
        <v>1308.8021923463018</v>
      </c>
      <c r="H13" s="642">
        <f>industrie!G18</f>
        <v>0</v>
      </c>
      <c r="I13" s="642">
        <f>industrie!H18</f>
        <v>0</v>
      </c>
      <c r="J13" s="642">
        <f>industrie!I18</f>
        <v>0</v>
      </c>
      <c r="K13" s="642">
        <f>industrie!J18</f>
        <v>0.42622065248391805</v>
      </c>
      <c r="L13" s="642">
        <f>industrie!K18</f>
        <v>0</v>
      </c>
      <c r="M13" s="642">
        <f>industrie!L18</f>
        <v>0</v>
      </c>
      <c r="N13" s="642">
        <f>industrie!M18</f>
        <v>0</v>
      </c>
      <c r="O13" s="642">
        <f>industrie!N18</f>
        <v>83.104921056967314</v>
      </c>
      <c r="P13" s="642">
        <f>industrie!O18</f>
        <v>0</v>
      </c>
      <c r="Q13" s="643">
        <f>industrie!P18</f>
        <v>0</v>
      </c>
      <c r="R13" s="645">
        <f>SUM(C13:Q13)</f>
        <v>9247.6588643874202</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125266.87981695513</v>
      </c>
      <c r="D16" s="678">
        <f t="shared" ref="D16:R16" ca="1" si="0">SUM(D9:D15)</f>
        <v>1245.214285714286</v>
      </c>
      <c r="E16" s="678">
        <f t="shared" ca="1" si="0"/>
        <v>323016.84838147525</v>
      </c>
      <c r="F16" s="678">
        <f t="shared" si="0"/>
        <v>2347.1324255929917</v>
      </c>
      <c r="G16" s="678">
        <f t="shared" ca="1" si="0"/>
        <v>48133.435472320372</v>
      </c>
      <c r="H16" s="678">
        <f t="shared" si="0"/>
        <v>0</v>
      </c>
      <c r="I16" s="678">
        <f t="shared" si="0"/>
        <v>0</v>
      </c>
      <c r="J16" s="678">
        <f t="shared" si="0"/>
        <v>0</v>
      </c>
      <c r="K16" s="678">
        <f t="shared" si="0"/>
        <v>198.16875404700528</v>
      </c>
      <c r="L16" s="678">
        <f t="shared" si="0"/>
        <v>0</v>
      </c>
      <c r="M16" s="678">
        <f t="shared" ca="1" si="0"/>
        <v>0</v>
      </c>
      <c r="N16" s="678">
        <f t="shared" si="0"/>
        <v>0</v>
      </c>
      <c r="O16" s="678">
        <f t="shared" ca="1" si="0"/>
        <v>20679.13337984656</v>
      </c>
      <c r="P16" s="678">
        <f t="shared" si="0"/>
        <v>411.60869574018272</v>
      </c>
      <c r="Q16" s="678">
        <f t="shared" si="0"/>
        <v>1021.402078149657</v>
      </c>
      <c r="R16" s="678">
        <f t="shared" ca="1" si="0"/>
        <v>522319.82328984147</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46.402283481967906</v>
      </c>
      <c r="D19" s="642">
        <f>transport!C54</f>
        <v>0</v>
      </c>
      <c r="E19" s="642">
        <f>transport!D54</f>
        <v>0</v>
      </c>
      <c r="F19" s="642">
        <f>transport!E54</f>
        <v>0</v>
      </c>
      <c r="G19" s="642">
        <f>transport!F54</f>
        <v>0</v>
      </c>
      <c r="H19" s="642">
        <f>transport!G54</f>
        <v>3312.1113938084509</v>
      </c>
      <c r="I19" s="642">
        <f>transport!H54</f>
        <v>0</v>
      </c>
      <c r="J19" s="642">
        <f>transport!I54</f>
        <v>0</v>
      </c>
      <c r="K19" s="642">
        <f>transport!J54</f>
        <v>0</v>
      </c>
      <c r="L19" s="642">
        <f>transport!K54</f>
        <v>0</v>
      </c>
      <c r="M19" s="642">
        <f>transport!L54</f>
        <v>0</v>
      </c>
      <c r="N19" s="642">
        <f>transport!M54</f>
        <v>182.89013394399103</v>
      </c>
      <c r="O19" s="642">
        <f>transport!N54</f>
        <v>0</v>
      </c>
      <c r="P19" s="642">
        <f>transport!O54</f>
        <v>0</v>
      </c>
      <c r="Q19" s="643">
        <f>transport!P54</f>
        <v>0</v>
      </c>
      <c r="R19" s="645">
        <f>SUM(C19:Q19)</f>
        <v>3541.4038112344097</v>
      </c>
      <c r="S19" s="67"/>
    </row>
    <row r="20" spans="1:19" s="441" customFormat="1">
      <c r="A20" s="762" t="s">
        <v>296</v>
      </c>
      <c r="B20" s="767"/>
      <c r="C20" s="642">
        <f>transport!B14</f>
        <v>312.98629352474961</v>
      </c>
      <c r="D20" s="642">
        <f>transport!C14</f>
        <v>0</v>
      </c>
      <c r="E20" s="642">
        <f>transport!D14</f>
        <v>575.85257694992151</v>
      </c>
      <c r="F20" s="642">
        <f>transport!E14</f>
        <v>320.20666154163314</v>
      </c>
      <c r="G20" s="642">
        <f>transport!F14</f>
        <v>0</v>
      </c>
      <c r="H20" s="642">
        <f>transport!G14</f>
        <v>130024.21079398112</v>
      </c>
      <c r="I20" s="642">
        <f>transport!H14</f>
        <v>38037.863874280454</v>
      </c>
      <c r="J20" s="642">
        <f>transport!I14</f>
        <v>0</v>
      </c>
      <c r="K20" s="642">
        <f>transport!J14</f>
        <v>0</v>
      </c>
      <c r="L20" s="642">
        <f>transport!K14</f>
        <v>0</v>
      </c>
      <c r="M20" s="642">
        <f>transport!L14</f>
        <v>0</v>
      </c>
      <c r="N20" s="642">
        <f>transport!M14</f>
        <v>9964.8150478913594</v>
      </c>
      <c r="O20" s="642">
        <f>transport!N14</f>
        <v>0</v>
      </c>
      <c r="P20" s="642">
        <f>transport!O14</f>
        <v>0</v>
      </c>
      <c r="Q20" s="643">
        <f>transport!P14</f>
        <v>0</v>
      </c>
      <c r="R20" s="645">
        <f>SUM(C20:Q20)</f>
        <v>179235.93524816923</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359.38857700671753</v>
      </c>
      <c r="D22" s="765">
        <f t="shared" ref="D22:R22" si="1">SUM(D18:D21)</f>
        <v>0</v>
      </c>
      <c r="E22" s="765">
        <f t="shared" si="1"/>
        <v>575.85257694992151</v>
      </c>
      <c r="F22" s="765">
        <f t="shared" si="1"/>
        <v>320.20666154163314</v>
      </c>
      <c r="G22" s="765">
        <f t="shared" si="1"/>
        <v>0</v>
      </c>
      <c r="H22" s="765">
        <f t="shared" si="1"/>
        <v>133336.32218778957</v>
      </c>
      <c r="I22" s="765">
        <f t="shared" si="1"/>
        <v>38037.863874280454</v>
      </c>
      <c r="J22" s="765">
        <f t="shared" si="1"/>
        <v>0</v>
      </c>
      <c r="K22" s="765">
        <f t="shared" si="1"/>
        <v>0</v>
      </c>
      <c r="L22" s="765">
        <f t="shared" si="1"/>
        <v>0</v>
      </c>
      <c r="M22" s="765">
        <f t="shared" si="1"/>
        <v>0</v>
      </c>
      <c r="N22" s="765">
        <f t="shared" si="1"/>
        <v>10147.70518183535</v>
      </c>
      <c r="O22" s="765">
        <f t="shared" si="1"/>
        <v>0</v>
      </c>
      <c r="P22" s="765">
        <f t="shared" si="1"/>
        <v>0</v>
      </c>
      <c r="Q22" s="765">
        <f t="shared" si="1"/>
        <v>0</v>
      </c>
      <c r="R22" s="765">
        <f t="shared" si="1"/>
        <v>182777.33905940363</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137.67790368255299</v>
      </c>
      <c r="D24" s="642">
        <f>+landbouw!C8</f>
        <v>0</v>
      </c>
      <c r="E24" s="642">
        <f>+landbouw!D8</f>
        <v>274.34336761092976</v>
      </c>
      <c r="F24" s="642">
        <f>+landbouw!E8</f>
        <v>4.0591338338713738</v>
      </c>
      <c r="G24" s="642">
        <f>+landbouw!F8</f>
        <v>437.58930713708656</v>
      </c>
      <c r="H24" s="642">
        <f>+landbouw!G8</f>
        <v>0</v>
      </c>
      <c r="I24" s="642">
        <f>+landbouw!H8</f>
        <v>0</v>
      </c>
      <c r="J24" s="642">
        <f>+landbouw!I8</f>
        <v>0</v>
      </c>
      <c r="K24" s="642">
        <f>+landbouw!J8</f>
        <v>34.721521863644099</v>
      </c>
      <c r="L24" s="642">
        <f>+landbouw!K8</f>
        <v>0</v>
      </c>
      <c r="M24" s="642">
        <f>+landbouw!L8</f>
        <v>0</v>
      </c>
      <c r="N24" s="642">
        <f>+landbouw!M8</f>
        <v>0</v>
      </c>
      <c r="O24" s="642">
        <f>+landbouw!N8</f>
        <v>0</v>
      </c>
      <c r="P24" s="642">
        <f>+landbouw!O8</f>
        <v>0</v>
      </c>
      <c r="Q24" s="643">
        <f>+landbouw!P8</f>
        <v>0</v>
      </c>
      <c r="R24" s="645">
        <f>SUM(C24:Q24)</f>
        <v>888.39123412808476</v>
      </c>
      <c r="S24" s="67"/>
    </row>
    <row r="25" spans="1:19" s="441" customFormat="1" ht="15" thickBot="1">
      <c r="A25" s="784" t="s">
        <v>672</v>
      </c>
      <c r="B25" s="895"/>
      <c r="C25" s="896">
        <f>IF(Onbekend_ele_kWh="---",0,Onbekend_ele_kWh)/1000+IF(REST_rest_ele_kWh="---",0,REST_rest_ele_kWh)/1000</f>
        <v>3302.8563586567302</v>
      </c>
      <c r="D25" s="896"/>
      <c r="E25" s="896">
        <f>IF(onbekend_gas_kWh="---",0,onbekend_gas_kWh)/1000+IF(REST_rest_gas_kWh="---",0,REST_rest_gas_kWh)/1000</f>
        <v>8769.7988384452801</v>
      </c>
      <c r="F25" s="896"/>
      <c r="G25" s="896"/>
      <c r="H25" s="896"/>
      <c r="I25" s="896"/>
      <c r="J25" s="896"/>
      <c r="K25" s="896"/>
      <c r="L25" s="896"/>
      <c r="M25" s="896"/>
      <c r="N25" s="896"/>
      <c r="O25" s="896"/>
      <c r="P25" s="896"/>
      <c r="Q25" s="897"/>
      <c r="R25" s="645">
        <f>SUM(C25:Q25)</f>
        <v>12072.655197102011</v>
      </c>
      <c r="S25" s="67"/>
    </row>
    <row r="26" spans="1:19" s="441" customFormat="1" ht="15.75" thickBot="1">
      <c r="A26" s="650" t="s">
        <v>673</v>
      </c>
      <c r="B26" s="770"/>
      <c r="C26" s="765">
        <f>SUM(C24:C25)</f>
        <v>3440.534262339283</v>
      </c>
      <c r="D26" s="765">
        <f t="shared" ref="D26:R26" si="2">SUM(D24:D25)</f>
        <v>0</v>
      </c>
      <c r="E26" s="765">
        <f t="shared" si="2"/>
        <v>9044.142206056209</v>
      </c>
      <c r="F26" s="765">
        <f t="shared" si="2"/>
        <v>4.0591338338713738</v>
      </c>
      <c r="G26" s="765">
        <f t="shared" si="2"/>
        <v>437.58930713708656</v>
      </c>
      <c r="H26" s="765">
        <f t="shared" si="2"/>
        <v>0</v>
      </c>
      <c r="I26" s="765">
        <f t="shared" si="2"/>
        <v>0</v>
      </c>
      <c r="J26" s="765">
        <f t="shared" si="2"/>
        <v>0</v>
      </c>
      <c r="K26" s="765">
        <f t="shared" si="2"/>
        <v>34.721521863644099</v>
      </c>
      <c r="L26" s="765">
        <f t="shared" si="2"/>
        <v>0</v>
      </c>
      <c r="M26" s="765">
        <f t="shared" si="2"/>
        <v>0</v>
      </c>
      <c r="N26" s="765">
        <f t="shared" si="2"/>
        <v>0</v>
      </c>
      <c r="O26" s="765">
        <f t="shared" si="2"/>
        <v>0</v>
      </c>
      <c r="P26" s="765">
        <f t="shared" si="2"/>
        <v>0</v>
      </c>
      <c r="Q26" s="765">
        <f t="shared" si="2"/>
        <v>0</v>
      </c>
      <c r="R26" s="765">
        <f t="shared" si="2"/>
        <v>12961.046431230096</v>
      </c>
      <c r="S26" s="67"/>
    </row>
    <row r="27" spans="1:19" s="441" customFormat="1" ht="17.25" thickTop="1" thickBot="1">
      <c r="A27" s="651" t="s">
        <v>109</v>
      </c>
      <c r="B27" s="757"/>
      <c r="C27" s="652">
        <f ca="1">C22+C16+C26</f>
        <v>129066.80265630112</v>
      </c>
      <c r="D27" s="652">
        <f t="shared" ref="D27:R27" ca="1" si="3">D22+D16+D26</f>
        <v>1245.214285714286</v>
      </c>
      <c r="E27" s="652">
        <f t="shared" ca="1" si="3"/>
        <v>332636.8431644814</v>
      </c>
      <c r="F27" s="652">
        <f t="shared" si="3"/>
        <v>2671.3982209684959</v>
      </c>
      <c r="G27" s="652">
        <f t="shared" ca="1" si="3"/>
        <v>48571.024779457461</v>
      </c>
      <c r="H27" s="652">
        <f t="shared" si="3"/>
        <v>133336.32218778957</v>
      </c>
      <c r="I27" s="652">
        <f t="shared" si="3"/>
        <v>38037.863874280454</v>
      </c>
      <c r="J27" s="652">
        <f t="shared" si="3"/>
        <v>0</v>
      </c>
      <c r="K27" s="652">
        <f t="shared" si="3"/>
        <v>232.89027591064939</v>
      </c>
      <c r="L27" s="652">
        <f t="shared" si="3"/>
        <v>0</v>
      </c>
      <c r="M27" s="652">
        <f t="shared" ca="1" si="3"/>
        <v>0</v>
      </c>
      <c r="N27" s="652">
        <f t="shared" si="3"/>
        <v>10147.70518183535</v>
      </c>
      <c r="O27" s="652">
        <f t="shared" ca="1" si="3"/>
        <v>20679.13337984656</v>
      </c>
      <c r="P27" s="652">
        <f t="shared" si="3"/>
        <v>411.60869574018272</v>
      </c>
      <c r="Q27" s="652">
        <f t="shared" si="3"/>
        <v>1021.402078149657</v>
      </c>
      <c r="R27" s="652">
        <f t="shared" ca="1" si="3"/>
        <v>718058.20878047519</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11254.831503691965</v>
      </c>
      <c r="D40" s="642">
        <f ca="1">tertiair!C20</f>
        <v>213.88235294117658</v>
      </c>
      <c r="E40" s="642">
        <f ca="1">tertiair!D20</f>
        <v>17112.725647896121</v>
      </c>
      <c r="F40" s="642">
        <f>tertiair!E20</f>
        <v>33.844502311333976</v>
      </c>
      <c r="G40" s="642">
        <f ca="1">tertiair!F20</f>
        <v>2940.07870221441</v>
      </c>
      <c r="H40" s="642">
        <f>tertiair!G20</f>
        <v>0</v>
      </c>
      <c r="I40" s="642">
        <f>tertiair!H20</f>
        <v>0</v>
      </c>
      <c r="J40" s="642">
        <f>tertiair!I20</f>
        <v>0</v>
      </c>
      <c r="K40" s="642">
        <f>tertiair!J20</f>
        <v>2.5543262092885089E-2</v>
      </c>
      <c r="L40" s="642">
        <f>tertiair!K20</f>
        <v>0</v>
      </c>
      <c r="M40" s="642">
        <f ca="1">tertiair!L20</f>
        <v>0</v>
      </c>
      <c r="N40" s="642">
        <f>tertiair!M20</f>
        <v>0</v>
      </c>
      <c r="O40" s="642">
        <f ca="1">tertiair!N20</f>
        <v>0</v>
      </c>
      <c r="P40" s="642">
        <f>tertiair!O20</f>
        <v>0</v>
      </c>
      <c r="Q40" s="725">
        <f>tertiair!P20</f>
        <v>0</v>
      </c>
      <c r="R40" s="803">
        <f t="shared" ca="1" si="4"/>
        <v>31555.388252317101</v>
      </c>
    </row>
    <row r="41" spans="1:18">
      <c r="A41" s="775" t="s">
        <v>214</v>
      </c>
      <c r="B41" s="782"/>
      <c r="C41" s="642">
        <f ca="1">huishoudens!B12</f>
        <v>14339.669700931383</v>
      </c>
      <c r="D41" s="642">
        <f ca="1">huishoudens!C12</f>
        <v>0</v>
      </c>
      <c r="E41" s="642">
        <f>huishoudens!D12</f>
        <v>47345.729635448843</v>
      </c>
      <c r="F41" s="642">
        <f>huishoudens!E12</f>
        <v>496.07835447190803</v>
      </c>
      <c r="G41" s="642">
        <f>huishoudens!F12</f>
        <v>9562.0983835386669</v>
      </c>
      <c r="H41" s="642">
        <f>huishoudens!G12</f>
        <v>0</v>
      </c>
      <c r="I41" s="642">
        <f>huishoudens!H12</f>
        <v>0</v>
      </c>
      <c r="J41" s="642">
        <f>huishoudens!I12</f>
        <v>0</v>
      </c>
      <c r="K41" s="642">
        <f>huishoudens!J12</f>
        <v>69.975313559567681</v>
      </c>
      <c r="L41" s="642">
        <f>huishoudens!K12</f>
        <v>0</v>
      </c>
      <c r="M41" s="642">
        <f>huishoudens!L12</f>
        <v>0</v>
      </c>
      <c r="N41" s="642">
        <f>huishoudens!M12</f>
        <v>0</v>
      </c>
      <c r="O41" s="642">
        <f>huishoudens!N12</f>
        <v>0</v>
      </c>
      <c r="P41" s="642">
        <f>huishoudens!O12</f>
        <v>0</v>
      </c>
      <c r="Q41" s="725">
        <f>huishoudens!P12</f>
        <v>0</v>
      </c>
      <c r="R41" s="803">
        <f t="shared" ca="1" si="4"/>
        <v>71813.551387950371</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753.38623058703081</v>
      </c>
      <c r="D43" s="642">
        <f ca="1">industrie!C22</f>
        <v>82.039159663865576</v>
      </c>
      <c r="E43" s="642">
        <f>industrie!D22</f>
        <v>790.9480897130486</v>
      </c>
      <c r="F43" s="642">
        <f>industrie!E22</f>
        <v>2.8762038263671914</v>
      </c>
      <c r="G43" s="642">
        <f>industrie!F22</f>
        <v>349.45018535646261</v>
      </c>
      <c r="H43" s="642">
        <f>industrie!G22</f>
        <v>0</v>
      </c>
      <c r="I43" s="642">
        <f>industrie!H22</f>
        <v>0</v>
      </c>
      <c r="J43" s="642">
        <f>industrie!I22</f>
        <v>0</v>
      </c>
      <c r="K43" s="642">
        <f>industrie!J22</f>
        <v>0.15088211097930698</v>
      </c>
      <c r="L43" s="642">
        <f>industrie!K22</f>
        <v>0</v>
      </c>
      <c r="M43" s="642">
        <f>industrie!L22</f>
        <v>0</v>
      </c>
      <c r="N43" s="642">
        <f>industrie!M22</f>
        <v>0</v>
      </c>
      <c r="O43" s="642">
        <f>industrie!N22</f>
        <v>0</v>
      </c>
      <c r="P43" s="642">
        <f>industrie!O22</f>
        <v>0</v>
      </c>
      <c r="Q43" s="725">
        <f>industrie!P22</f>
        <v>0</v>
      </c>
      <c r="R43" s="802">
        <f t="shared" ca="1" si="4"/>
        <v>1978.8507512577542</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26347.887435210378</v>
      </c>
      <c r="D46" s="678">
        <f t="shared" ref="D46:Q46" ca="1" si="5">SUM(D39:D45)</f>
        <v>295.92151260504215</v>
      </c>
      <c r="E46" s="678">
        <f t="shared" ca="1" si="5"/>
        <v>65249.403373058012</v>
      </c>
      <c r="F46" s="678">
        <f t="shared" si="5"/>
        <v>532.79906060960911</v>
      </c>
      <c r="G46" s="678">
        <f t="shared" ca="1" si="5"/>
        <v>12851.627271109541</v>
      </c>
      <c r="H46" s="678">
        <f t="shared" si="5"/>
        <v>0</v>
      </c>
      <c r="I46" s="678">
        <f t="shared" si="5"/>
        <v>0</v>
      </c>
      <c r="J46" s="678">
        <f t="shared" si="5"/>
        <v>0</v>
      </c>
      <c r="K46" s="678">
        <f t="shared" si="5"/>
        <v>70.151738932639873</v>
      </c>
      <c r="L46" s="678">
        <f t="shared" si="5"/>
        <v>0</v>
      </c>
      <c r="M46" s="678">
        <f t="shared" ca="1" si="5"/>
        <v>0</v>
      </c>
      <c r="N46" s="678">
        <f t="shared" si="5"/>
        <v>0</v>
      </c>
      <c r="O46" s="678">
        <f t="shared" ca="1" si="5"/>
        <v>0</v>
      </c>
      <c r="P46" s="678">
        <f t="shared" si="5"/>
        <v>0</v>
      </c>
      <c r="Q46" s="678">
        <f t="shared" si="5"/>
        <v>0</v>
      </c>
      <c r="R46" s="678">
        <f ca="1">SUM(R39:R45)</f>
        <v>105347.79039152522</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9.7599792036500492</v>
      </c>
      <c r="D49" s="642">
        <f ca="1">transport!C58</f>
        <v>0</v>
      </c>
      <c r="E49" s="642">
        <f>transport!D58</f>
        <v>0</v>
      </c>
      <c r="F49" s="642">
        <f>transport!E58</f>
        <v>0</v>
      </c>
      <c r="G49" s="642">
        <f>transport!F58</f>
        <v>0</v>
      </c>
      <c r="H49" s="642">
        <f>transport!G58</f>
        <v>884.33374214685648</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894.09372135050648</v>
      </c>
    </row>
    <row r="50" spans="1:18">
      <c r="A50" s="778" t="s">
        <v>296</v>
      </c>
      <c r="B50" s="788"/>
      <c r="C50" s="648">
        <f ca="1">transport!B18</f>
        <v>65.831667896605765</v>
      </c>
      <c r="D50" s="648">
        <f>transport!C18</f>
        <v>0</v>
      </c>
      <c r="E50" s="648">
        <f>transport!D18</f>
        <v>116.32222054388416</v>
      </c>
      <c r="F50" s="648">
        <f>transport!E18</f>
        <v>72.68691216995073</v>
      </c>
      <c r="G50" s="648">
        <f>transport!F18</f>
        <v>0</v>
      </c>
      <c r="H50" s="648">
        <f>transport!G18</f>
        <v>34716.464281992965</v>
      </c>
      <c r="I50" s="648">
        <f>transport!H18</f>
        <v>9471.4281046958331</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44442.733187299244</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75.591647100255813</v>
      </c>
      <c r="D52" s="678">
        <f t="shared" ref="D52:Q52" ca="1" si="6">SUM(D48:D51)</f>
        <v>0</v>
      </c>
      <c r="E52" s="678">
        <f t="shared" si="6"/>
        <v>116.32222054388416</v>
      </c>
      <c r="F52" s="678">
        <f t="shared" si="6"/>
        <v>72.68691216995073</v>
      </c>
      <c r="G52" s="678">
        <f t="shared" si="6"/>
        <v>0</v>
      </c>
      <c r="H52" s="678">
        <f t="shared" si="6"/>
        <v>35600.798024139818</v>
      </c>
      <c r="I52" s="678">
        <f t="shared" si="6"/>
        <v>9471.4281046958331</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45336.826908649753</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28.958348079271389</v>
      </c>
      <c r="D54" s="648">
        <f ca="1">+landbouw!C12</f>
        <v>0</v>
      </c>
      <c r="E54" s="648">
        <f>+landbouw!D12</f>
        <v>55.417360257407815</v>
      </c>
      <c r="F54" s="648">
        <f>+landbouw!E12</f>
        <v>0.92142338028880189</v>
      </c>
      <c r="G54" s="648">
        <f>+landbouw!F12</f>
        <v>116.83634500560211</v>
      </c>
      <c r="H54" s="648">
        <f>+landbouw!G12</f>
        <v>0</v>
      </c>
      <c r="I54" s="648">
        <f>+landbouw!H12</f>
        <v>0</v>
      </c>
      <c r="J54" s="648">
        <f>+landbouw!I12</f>
        <v>0</v>
      </c>
      <c r="K54" s="648">
        <f>+landbouw!J12</f>
        <v>12.291418739730011</v>
      </c>
      <c r="L54" s="648">
        <f>+landbouw!K12</f>
        <v>0</v>
      </c>
      <c r="M54" s="648">
        <f>+landbouw!L12</f>
        <v>0</v>
      </c>
      <c r="N54" s="648">
        <f>+landbouw!M12</f>
        <v>0</v>
      </c>
      <c r="O54" s="648">
        <f>+landbouw!N12</f>
        <v>0</v>
      </c>
      <c r="P54" s="648">
        <f>+landbouw!O12</f>
        <v>0</v>
      </c>
      <c r="Q54" s="649">
        <f>+landbouw!P12</f>
        <v>0</v>
      </c>
      <c r="R54" s="677">
        <f ca="1">SUM(C54:Q54)</f>
        <v>214.4248954623001</v>
      </c>
    </row>
    <row r="55" spans="1:18" ht="15" thickBot="1">
      <c r="A55" s="778" t="s">
        <v>672</v>
      </c>
      <c r="B55" s="788"/>
      <c r="C55" s="648">
        <f ca="1">C25*'EF ele_warmte'!B12</f>
        <v>694.7030825683388</v>
      </c>
      <c r="D55" s="648"/>
      <c r="E55" s="648">
        <f>E25*EF_CO2_aardgas</f>
        <v>1771.4993653659467</v>
      </c>
      <c r="F55" s="648"/>
      <c r="G55" s="648"/>
      <c r="H55" s="648"/>
      <c r="I55" s="648"/>
      <c r="J55" s="648"/>
      <c r="K55" s="648"/>
      <c r="L55" s="648"/>
      <c r="M55" s="648"/>
      <c r="N55" s="648"/>
      <c r="O55" s="648"/>
      <c r="P55" s="648"/>
      <c r="Q55" s="649"/>
      <c r="R55" s="677">
        <f ca="1">SUM(C55:Q55)</f>
        <v>2466.2024479342854</v>
      </c>
    </row>
    <row r="56" spans="1:18" ht="15.75" thickBot="1">
      <c r="A56" s="776" t="s">
        <v>673</v>
      </c>
      <c r="B56" s="789"/>
      <c r="C56" s="678">
        <f ca="1">SUM(C54:C55)</f>
        <v>723.66143064761013</v>
      </c>
      <c r="D56" s="678">
        <f t="shared" ref="D56:Q56" ca="1" si="7">SUM(D54:D55)</f>
        <v>0</v>
      </c>
      <c r="E56" s="678">
        <f t="shared" si="7"/>
        <v>1826.9167256233545</v>
      </c>
      <c r="F56" s="678">
        <f t="shared" si="7"/>
        <v>0.92142338028880189</v>
      </c>
      <c r="G56" s="678">
        <f t="shared" si="7"/>
        <v>116.83634500560211</v>
      </c>
      <c r="H56" s="678">
        <f t="shared" si="7"/>
        <v>0</v>
      </c>
      <c r="I56" s="678">
        <f t="shared" si="7"/>
        <v>0</v>
      </c>
      <c r="J56" s="678">
        <f t="shared" si="7"/>
        <v>0</v>
      </c>
      <c r="K56" s="678">
        <f t="shared" si="7"/>
        <v>12.291418739730011</v>
      </c>
      <c r="L56" s="678">
        <f t="shared" si="7"/>
        <v>0</v>
      </c>
      <c r="M56" s="678">
        <f t="shared" si="7"/>
        <v>0</v>
      </c>
      <c r="N56" s="678">
        <f t="shared" si="7"/>
        <v>0</v>
      </c>
      <c r="O56" s="678">
        <f t="shared" si="7"/>
        <v>0</v>
      </c>
      <c r="P56" s="678">
        <f t="shared" si="7"/>
        <v>0</v>
      </c>
      <c r="Q56" s="679">
        <f t="shared" si="7"/>
        <v>0</v>
      </c>
      <c r="R56" s="680">
        <f ca="1">SUM(R54:R55)</f>
        <v>2680.6273433965853</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27147.140512958245</v>
      </c>
      <c r="D61" s="686">
        <f t="shared" ref="D61:Q61" ca="1" si="8">D46+D52+D56</f>
        <v>295.92151260504215</v>
      </c>
      <c r="E61" s="686">
        <f t="shared" ca="1" si="8"/>
        <v>67192.642319225255</v>
      </c>
      <c r="F61" s="686">
        <f t="shared" si="8"/>
        <v>606.40739615984864</v>
      </c>
      <c r="G61" s="686">
        <f t="shared" ca="1" si="8"/>
        <v>12968.463616115143</v>
      </c>
      <c r="H61" s="686">
        <f t="shared" si="8"/>
        <v>35600.798024139818</v>
      </c>
      <c r="I61" s="686">
        <f t="shared" si="8"/>
        <v>9471.4281046958331</v>
      </c>
      <c r="J61" s="686">
        <f t="shared" si="8"/>
        <v>0</v>
      </c>
      <c r="K61" s="686">
        <f t="shared" si="8"/>
        <v>82.443157672369878</v>
      </c>
      <c r="L61" s="686">
        <f t="shared" si="8"/>
        <v>0</v>
      </c>
      <c r="M61" s="686">
        <f t="shared" ca="1" si="8"/>
        <v>0</v>
      </c>
      <c r="N61" s="686">
        <f t="shared" si="8"/>
        <v>0</v>
      </c>
      <c r="O61" s="686">
        <f t="shared" ca="1" si="8"/>
        <v>0</v>
      </c>
      <c r="P61" s="686">
        <f t="shared" si="8"/>
        <v>0</v>
      </c>
      <c r="Q61" s="686">
        <f t="shared" si="8"/>
        <v>0</v>
      </c>
      <c r="R61" s="686">
        <f ca="1">R46+R52+R56</f>
        <v>153365.24464357158</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0.21033402822606379</v>
      </c>
      <c r="D63" s="732">
        <f t="shared" ca="1" si="9"/>
        <v>0.23764705882352946</v>
      </c>
      <c r="E63" s="921">
        <f t="shared" ca="1" si="9"/>
        <v>0.20200000000000004</v>
      </c>
      <c r="F63" s="732">
        <f t="shared" si="9"/>
        <v>0.22700000000000004</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6294.7207371395371</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871.65000000000009</v>
      </c>
      <c r="D76" s="904">
        <f>'lokale energieproductie'!C8</f>
        <v>1025.4705882352944</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207.14505882352947</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6294.7207371395371</v>
      </c>
      <c r="C78" s="704">
        <f>SUM(C72:C77)</f>
        <v>871.65000000000009</v>
      </c>
      <c r="D78" s="705">
        <f t="shared" ref="D78:H78" si="10">SUM(D76:D77)</f>
        <v>1025.4705882352944</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207.14505882352947</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1245.214285714286</v>
      </c>
      <c r="D87" s="728">
        <f>'lokale energieproductie'!C17</f>
        <v>1464.9579831932779</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295.92151260504215</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1245.214285714286</v>
      </c>
      <c r="D90" s="704">
        <f t="shared" ref="D90:H90" si="12">SUM(D87:D89)</f>
        <v>1464.9579831932779</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295.92151260504215</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68175.700441201683</v>
      </c>
      <c r="C4" s="445">
        <f>huishoudens!C8</f>
        <v>0</v>
      </c>
      <c r="D4" s="445">
        <f>huishoudens!D8</f>
        <v>234384.8001754893</v>
      </c>
      <c r="E4" s="445">
        <f>huishoudens!E8</f>
        <v>2185.3672003167753</v>
      </c>
      <c r="F4" s="445">
        <f>huishoudens!F8</f>
        <v>35813.102560069914</v>
      </c>
      <c r="G4" s="445">
        <f>huishoudens!G8</f>
        <v>0</v>
      </c>
      <c r="H4" s="445">
        <f>huishoudens!H8</f>
        <v>0</v>
      </c>
      <c r="I4" s="445">
        <f>huishoudens!I8</f>
        <v>0</v>
      </c>
      <c r="J4" s="445">
        <f>huishoudens!J8</f>
        <v>197.67037728691434</v>
      </c>
      <c r="K4" s="445">
        <f>huishoudens!K8</f>
        <v>0</v>
      </c>
      <c r="L4" s="445">
        <f>huishoudens!L8</f>
        <v>0</v>
      </c>
      <c r="M4" s="445">
        <f>huishoudens!M8</f>
        <v>0</v>
      </c>
      <c r="N4" s="445">
        <f>huishoudens!N8</f>
        <v>18019.644009470125</v>
      </c>
      <c r="O4" s="445">
        <f>huishoudens!O8</f>
        <v>406.71143497434156</v>
      </c>
      <c r="P4" s="446">
        <f>huishoudens!P8</f>
        <v>863.78466323017187</v>
      </c>
      <c r="Q4" s="447">
        <f>SUM(B4:P4)</f>
        <v>360046.78086203925</v>
      </c>
    </row>
    <row r="5" spans="1:17">
      <c r="A5" s="444" t="s">
        <v>149</v>
      </c>
      <c r="B5" s="445">
        <f ca="1">tertiair!B16</f>
        <v>51705.084235113653</v>
      </c>
      <c r="C5" s="445">
        <f ca="1">tertiair!C16</f>
        <v>900.00000000000023</v>
      </c>
      <c r="D5" s="445">
        <f ca="1">tertiair!D16</f>
        <v>84716.463603446144</v>
      </c>
      <c r="E5" s="445">
        <f>tertiair!E16</f>
        <v>149.09472383847566</v>
      </c>
      <c r="F5" s="445">
        <f ca="1">tertiair!F16</f>
        <v>11011.530719904156</v>
      </c>
      <c r="G5" s="445">
        <f>tertiair!G16</f>
        <v>0</v>
      </c>
      <c r="H5" s="445">
        <f>tertiair!H16</f>
        <v>0</v>
      </c>
      <c r="I5" s="445">
        <f>tertiair!I16</f>
        <v>0</v>
      </c>
      <c r="J5" s="445">
        <f>tertiair!J16</f>
        <v>7.2156107607020029E-2</v>
      </c>
      <c r="K5" s="445">
        <f>tertiair!K16</f>
        <v>0</v>
      </c>
      <c r="L5" s="445">
        <f ca="1">tertiair!L16</f>
        <v>0</v>
      </c>
      <c r="M5" s="445">
        <f>tertiair!M16</f>
        <v>0</v>
      </c>
      <c r="N5" s="445">
        <f ca="1">tertiair!N16</f>
        <v>2576.3844493194679</v>
      </c>
      <c r="O5" s="445">
        <f>tertiair!O16</f>
        <v>4.8972607658411542</v>
      </c>
      <c r="P5" s="446">
        <f>tertiair!P16</f>
        <v>157.61741491948504</v>
      </c>
      <c r="Q5" s="444">
        <f t="shared" ref="Q5:Q14" ca="1" si="0">SUM(B5:P5)</f>
        <v>151221.1445634148</v>
      </c>
    </row>
    <row r="6" spans="1:17">
      <c r="A6" s="444" t="s">
        <v>187</v>
      </c>
      <c r="B6" s="445">
        <f>'openbare verlichting'!B8</f>
        <v>1804.239</v>
      </c>
      <c r="C6" s="445"/>
      <c r="D6" s="445"/>
      <c r="E6" s="445"/>
      <c r="F6" s="445"/>
      <c r="G6" s="445"/>
      <c r="H6" s="445"/>
      <c r="I6" s="445"/>
      <c r="J6" s="445"/>
      <c r="K6" s="445"/>
      <c r="L6" s="445"/>
      <c r="M6" s="445"/>
      <c r="N6" s="445"/>
      <c r="O6" s="445"/>
      <c r="P6" s="446"/>
      <c r="Q6" s="444">
        <f t="shared" si="0"/>
        <v>1804.239</v>
      </c>
    </row>
    <row r="7" spans="1:17">
      <c r="A7" s="444" t="s">
        <v>105</v>
      </c>
      <c r="B7" s="445">
        <f>landbouw!B8</f>
        <v>137.67790368255299</v>
      </c>
      <c r="C7" s="445">
        <f>landbouw!C8</f>
        <v>0</v>
      </c>
      <c r="D7" s="445">
        <f>landbouw!D8</f>
        <v>274.34336761092976</v>
      </c>
      <c r="E7" s="445">
        <f>landbouw!E8</f>
        <v>4.0591338338713738</v>
      </c>
      <c r="F7" s="445">
        <f>landbouw!F8</f>
        <v>437.58930713708656</v>
      </c>
      <c r="G7" s="445">
        <f>landbouw!G8</f>
        <v>0</v>
      </c>
      <c r="H7" s="445">
        <f>landbouw!H8</f>
        <v>0</v>
      </c>
      <c r="I7" s="445">
        <f>landbouw!I8</f>
        <v>0</v>
      </c>
      <c r="J7" s="445">
        <f>landbouw!J8</f>
        <v>34.721521863644099</v>
      </c>
      <c r="K7" s="445">
        <f>landbouw!K8</f>
        <v>0</v>
      </c>
      <c r="L7" s="445">
        <f>landbouw!L8</f>
        <v>0</v>
      </c>
      <c r="M7" s="445">
        <f>landbouw!M8</f>
        <v>0</v>
      </c>
      <c r="N7" s="445">
        <f>landbouw!N8</f>
        <v>0</v>
      </c>
      <c r="O7" s="445">
        <f>landbouw!O8</f>
        <v>0</v>
      </c>
      <c r="P7" s="446">
        <f>landbouw!P8</f>
        <v>0</v>
      </c>
      <c r="Q7" s="444">
        <f t="shared" si="0"/>
        <v>888.39123412808476</v>
      </c>
    </row>
    <row r="8" spans="1:17">
      <c r="A8" s="444" t="s">
        <v>587</v>
      </c>
      <c r="B8" s="445">
        <f>industrie!B18</f>
        <v>3581.8561406397966</v>
      </c>
      <c r="C8" s="445">
        <f>industrie!C18</f>
        <v>345.21428571428578</v>
      </c>
      <c r="D8" s="445">
        <f>industrie!D18</f>
        <v>3915.5846025398441</v>
      </c>
      <c r="E8" s="445">
        <f>industrie!E18</f>
        <v>12.670501437740931</v>
      </c>
      <c r="F8" s="445">
        <f>industrie!F18</f>
        <v>1308.8021923463018</v>
      </c>
      <c r="G8" s="445">
        <f>industrie!G18</f>
        <v>0</v>
      </c>
      <c r="H8" s="445">
        <f>industrie!H18</f>
        <v>0</v>
      </c>
      <c r="I8" s="445">
        <f>industrie!I18</f>
        <v>0</v>
      </c>
      <c r="J8" s="445">
        <f>industrie!J18</f>
        <v>0.42622065248391805</v>
      </c>
      <c r="K8" s="445">
        <f>industrie!K18</f>
        <v>0</v>
      </c>
      <c r="L8" s="445">
        <f>industrie!L18</f>
        <v>0</v>
      </c>
      <c r="M8" s="445">
        <f>industrie!M18</f>
        <v>0</v>
      </c>
      <c r="N8" s="445">
        <f>industrie!N18</f>
        <v>83.104921056967314</v>
      </c>
      <c r="O8" s="445">
        <f>industrie!O18</f>
        <v>0</v>
      </c>
      <c r="P8" s="446">
        <f>industrie!P18</f>
        <v>0</v>
      </c>
      <c r="Q8" s="444">
        <f t="shared" si="0"/>
        <v>9247.6588643874202</v>
      </c>
    </row>
    <row r="9" spans="1:17" s="450" customFormat="1">
      <c r="A9" s="448" t="s">
        <v>536</v>
      </c>
      <c r="B9" s="449">
        <f>transport!B14</f>
        <v>312.98629352474961</v>
      </c>
      <c r="C9" s="449">
        <f>transport!C14</f>
        <v>0</v>
      </c>
      <c r="D9" s="449">
        <f>transport!D14</f>
        <v>575.85257694992151</v>
      </c>
      <c r="E9" s="449">
        <f>transport!E14</f>
        <v>320.20666154163314</v>
      </c>
      <c r="F9" s="449">
        <f>transport!F14</f>
        <v>0</v>
      </c>
      <c r="G9" s="449">
        <f>transport!G14</f>
        <v>130024.21079398112</v>
      </c>
      <c r="H9" s="449">
        <f>transport!H14</f>
        <v>38037.863874280454</v>
      </c>
      <c r="I9" s="449">
        <f>transport!I14</f>
        <v>0</v>
      </c>
      <c r="J9" s="449">
        <f>transport!J14</f>
        <v>0</v>
      </c>
      <c r="K9" s="449">
        <f>transport!K14</f>
        <v>0</v>
      </c>
      <c r="L9" s="449">
        <f>transport!L14</f>
        <v>0</v>
      </c>
      <c r="M9" s="449">
        <f>transport!M14</f>
        <v>9964.8150478913594</v>
      </c>
      <c r="N9" s="449">
        <f>transport!N14</f>
        <v>0</v>
      </c>
      <c r="O9" s="449">
        <f>transport!O14</f>
        <v>0</v>
      </c>
      <c r="P9" s="449">
        <f>transport!P14</f>
        <v>0</v>
      </c>
      <c r="Q9" s="448">
        <f>SUM(B9:P9)</f>
        <v>179235.93524816923</v>
      </c>
    </row>
    <row r="10" spans="1:17">
      <c r="A10" s="444" t="s">
        <v>526</v>
      </c>
      <c r="B10" s="445">
        <f>transport!B54</f>
        <v>46.402283481967906</v>
      </c>
      <c r="C10" s="445">
        <f>transport!C54</f>
        <v>0</v>
      </c>
      <c r="D10" s="445">
        <f>transport!D54</f>
        <v>0</v>
      </c>
      <c r="E10" s="445">
        <f>transport!E54</f>
        <v>0</v>
      </c>
      <c r="F10" s="445">
        <f>transport!F54</f>
        <v>0</v>
      </c>
      <c r="G10" s="445">
        <f>transport!G54</f>
        <v>3312.1113938084509</v>
      </c>
      <c r="H10" s="445">
        <f>transport!H54</f>
        <v>0</v>
      </c>
      <c r="I10" s="445">
        <f>transport!I54</f>
        <v>0</v>
      </c>
      <c r="J10" s="445">
        <f>transport!J54</f>
        <v>0</v>
      </c>
      <c r="K10" s="445">
        <f>transport!K54</f>
        <v>0</v>
      </c>
      <c r="L10" s="445">
        <f>transport!L54</f>
        <v>0</v>
      </c>
      <c r="M10" s="445">
        <f>transport!M54</f>
        <v>182.89013394399103</v>
      </c>
      <c r="N10" s="445">
        <f>transport!N54</f>
        <v>0</v>
      </c>
      <c r="O10" s="445">
        <f>transport!O54</f>
        <v>0</v>
      </c>
      <c r="P10" s="446">
        <f>transport!P54</f>
        <v>0</v>
      </c>
      <c r="Q10" s="444">
        <f t="shared" si="0"/>
        <v>3541.4038112344097</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3302.8563586567302</v>
      </c>
      <c r="C14" s="452"/>
      <c r="D14" s="452">
        <f>'SEAP template'!E25</f>
        <v>8769.7988384452801</v>
      </c>
      <c r="E14" s="452"/>
      <c r="F14" s="452"/>
      <c r="G14" s="452"/>
      <c r="H14" s="452"/>
      <c r="I14" s="452"/>
      <c r="J14" s="452"/>
      <c r="K14" s="452"/>
      <c r="L14" s="452"/>
      <c r="M14" s="452"/>
      <c r="N14" s="452"/>
      <c r="O14" s="452"/>
      <c r="P14" s="453"/>
      <c r="Q14" s="444">
        <f t="shared" si="0"/>
        <v>12072.655197102011</v>
      </c>
    </row>
    <row r="15" spans="1:17" s="456" customFormat="1">
      <c r="A15" s="454" t="s">
        <v>530</v>
      </c>
      <c r="B15" s="455">
        <f ca="1">SUM(B4:B14)</f>
        <v>129066.80265630112</v>
      </c>
      <c r="C15" s="455">
        <f t="shared" ref="C15:Q15" ca="1" si="1">SUM(C4:C14)</f>
        <v>1245.214285714286</v>
      </c>
      <c r="D15" s="455">
        <f t="shared" ca="1" si="1"/>
        <v>332636.8431644814</v>
      </c>
      <c r="E15" s="455">
        <f t="shared" si="1"/>
        <v>2671.3982209684964</v>
      </c>
      <c r="F15" s="455">
        <f t="shared" ca="1" si="1"/>
        <v>48571.024779457461</v>
      </c>
      <c r="G15" s="455">
        <f t="shared" si="1"/>
        <v>133336.32218778957</v>
      </c>
      <c r="H15" s="455">
        <f t="shared" si="1"/>
        <v>38037.863874280454</v>
      </c>
      <c r="I15" s="455">
        <f t="shared" si="1"/>
        <v>0</v>
      </c>
      <c r="J15" s="455">
        <f t="shared" si="1"/>
        <v>232.89027591064936</v>
      </c>
      <c r="K15" s="455">
        <f t="shared" si="1"/>
        <v>0</v>
      </c>
      <c r="L15" s="455">
        <f t="shared" ca="1" si="1"/>
        <v>0</v>
      </c>
      <c r="M15" s="455">
        <f t="shared" si="1"/>
        <v>10147.70518183535</v>
      </c>
      <c r="N15" s="455">
        <f t="shared" ca="1" si="1"/>
        <v>20679.13337984656</v>
      </c>
      <c r="O15" s="455">
        <f t="shared" si="1"/>
        <v>411.60869574018272</v>
      </c>
      <c r="P15" s="455">
        <f t="shared" si="1"/>
        <v>1021.402078149657</v>
      </c>
      <c r="Q15" s="455">
        <f t="shared" ca="1" si="1"/>
        <v>718058.20878047519</v>
      </c>
    </row>
    <row r="17" spans="1:17">
      <c r="A17" s="457" t="s">
        <v>531</v>
      </c>
      <c r="B17" s="737">
        <f ca="1">huishoudens!B10</f>
        <v>0.21033402822606376</v>
      </c>
      <c r="C17" s="737">
        <f ca="1">huishoudens!C10</f>
        <v>0.23764705882352946</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14339.669700931383</v>
      </c>
      <c r="C22" s="445">
        <f t="shared" ref="C22:C32" ca="1" si="3">C4*$C$17</f>
        <v>0</v>
      </c>
      <c r="D22" s="445">
        <f t="shared" ref="D22:D32" si="4">D4*$D$17</f>
        <v>47345.729635448843</v>
      </c>
      <c r="E22" s="445">
        <f t="shared" ref="E22:E32" si="5">E4*$E$17</f>
        <v>496.07835447190803</v>
      </c>
      <c r="F22" s="445">
        <f t="shared" ref="F22:F32" si="6">F4*$F$17</f>
        <v>9562.0983835386669</v>
      </c>
      <c r="G22" s="445">
        <f t="shared" ref="G22:G32" si="7">G4*$G$17</f>
        <v>0</v>
      </c>
      <c r="H22" s="445">
        <f t="shared" ref="H22:H32" si="8">H4*$H$17</f>
        <v>0</v>
      </c>
      <c r="I22" s="445">
        <f t="shared" ref="I22:I32" si="9">I4*$I$17</f>
        <v>0</v>
      </c>
      <c r="J22" s="445">
        <f t="shared" ref="J22:J32" si="10">J4*$J$17</f>
        <v>69.975313559567681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71813.551387950371</v>
      </c>
    </row>
    <row r="23" spans="1:17">
      <c r="A23" s="444" t="s">
        <v>149</v>
      </c>
      <c r="B23" s="445">
        <f t="shared" ca="1" si="2"/>
        <v>10875.338646939399</v>
      </c>
      <c r="C23" s="445">
        <f t="shared" ca="1" si="3"/>
        <v>213.88235294117658</v>
      </c>
      <c r="D23" s="445">
        <f t="shared" ca="1" si="4"/>
        <v>17112.725647896121</v>
      </c>
      <c r="E23" s="445">
        <f t="shared" si="5"/>
        <v>33.844502311333976</v>
      </c>
      <c r="F23" s="445">
        <f t="shared" ca="1" si="6"/>
        <v>2940.07870221441</v>
      </c>
      <c r="G23" s="445">
        <f t="shared" si="7"/>
        <v>0</v>
      </c>
      <c r="H23" s="445">
        <f t="shared" si="8"/>
        <v>0</v>
      </c>
      <c r="I23" s="445">
        <f t="shared" si="9"/>
        <v>0</v>
      </c>
      <c r="J23" s="445">
        <f t="shared" si="10"/>
        <v>2.5543262092885089E-2</v>
      </c>
      <c r="K23" s="445">
        <f t="shared" si="11"/>
        <v>0</v>
      </c>
      <c r="L23" s="445">
        <f t="shared" ca="1" si="12"/>
        <v>0</v>
      </c>
      <c r="M23" s="445">
        <f t="shared" si="13"/>
        <v>0</v>
      </c>
      <c r="N23" s="445">
        <f t="shared" ca="1" si="14"/>
        <v>0</v>
      </c>
      <c r="O23" s="445">
        <f t="shared" si="15"/>
        <v>0</v>
      </c>
      <c r="P23" s="446">
        <f t="shared" si="16"/>
        <v>0</v>
      </c>
      <c r="Q23" s="444">
        <f t="shared" ref="Q23:Q31" ca="1" si="17">SUM(B23:P23)</f>
        <v>31175.895395564537</v>
      </c>
    </row>
    <row r="24" spans="1:17">
      <c r="A24" s="444" t="s">
        <v>187</v>
      </c>
      <c r="B24" s="445">
        <f t="shared" ca="1" si="2"/>
        <v>379.49285675256505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379.49285675256505</v>
      </c>
    </row>
    <row r="25" spans="1:17">
      <c r="A25" s="444" t="s">
        <v>105</v>
      </c>
      <c r="B25" s="445">
        <f t="shared" ca="1" si="2"/>
        <v>28.958348079271389</v>
      </c>
      <c r="C25" s="445">
        <f t="shared" ca="1" si="3"/>
        <v>0</v>
      </c>
      <c r="D25" s="445">
        <f t="shared" si="4"/>
        <v>55.417360257407815</v>
      </c>
      <c r="E25" s="445">
        <f t="shared" si="5"/>
        <v>0.92142338028880189</v>
      </c>
      <c r="F25" s="445">
        <f t="shared" si="6"/>
        <v>116.83634500560211</v>
      </c>
      <c r="G25" s="445">
        <f t="shared" si="7"/>
        <v>0</v>
      </c>
      <c r="H25" s="445">
        <f t="shared" si="8"/>
        <v>0</v>
      </c>
      <c r="I25" s="445">
        <f t="shared" si="9"/>
        <v>0</v>
      </c>
      <c r="J25" s="445">
        <f t="shared" si="10"/>
        <v>12.291418739730011</v>
      </c>
      <c r="K25" s="445">
        <f t="shared" si="11"/>
        <v>0</v>
      </c>
      <c r="L25" s="445">
        <f t="shared" si="12"/>
        <v>0</v>
      </c>
      <c r="M25" s="445">
        <f t="shared" si="13"/>
        <v>0</v>
      </c>
      <c r="N25" s="445">
        <f t="shared" si="14"/>
        <v>0</v>
      </c>
      <c r="O25" s="445">
        <f t="shared" si="15"/>
        <v>0</v>
      </c>
      <c r="P25" s="446">
        <f t="shared" si="16"/>
        <v>0</v>
      </c>
      <c r="Q25" s="444">
        <f t="shared" ca="1" si="17"/>
        <v>214.4248954623001</v>
      </c>
    </row>
    <row r="26" spans="1:17">
      <c r="A26" s="444" t="s">
        <v>587</v>
      </c>
      <c r="B26" s="445">
        <f t="shared" ca="1" si="2"/>
        <v>753.38623058703081</v>
      </c>
      <c r="C26" s="445">
        <f t="shared" ca="1" si="3"/>
        <v>82.039159663865576</v>
      </c>
      <c r="D26" s="445">
        <f t="shared" si="4"/>
        <v>790.9480897130486</v>
      </c>
      <c r="E26" s="445">
        <f t="shared" si="5"/>
        <v>2.8762038263671914</v>
      </c>
      <c r="F26" s="445">
        <f t="shared" si="6"/>
        <v>349.45018535646261</v>
      </c>
      <c r="G26" s="445">
        <f t="shared" si="7"/>
        <v>0</v>
      </c>
      <c r="H26" s="445">
        <f t="shared" si="8"/>
        <v>0</v>
      </c>
      <c r="I26" s="445">
        <f t="shared" si="9"/>
        <v>0</v>
      </c>
      <c r="J26" s="445">
        <f t="shared" si="10"/>
        <v>0.15088211097930698</v>
      </c>
      <c r="K26" s="445">
        <f t="shared" si="11"/>
        <v>0</v>
      </c>
      <c r="L26" s="445">
        <f t="shared" si="12"/>
        <v>0</v>
      </c>
      <c r="M26" s="445">
        <f t="shared" si="13"/>
        <v>0</v>
      </c>
      <c r="N26" s="445">
        <f t="shared" si="14"/>
        <v>0</v>
      </c>
      <c r="O26" s="445">
        <f t="shared" si="15"/>
        <v>0</v>
      </c>
      <c r="P26" s="446">
        <f t="shared" si="16"/>
        <v>0</v>
      </c>
      <c r="Q26" s="444">
        <f t="shared" ca="1" si="17"/>
        <v>1978.8507512577542</v>
      </c>
    </row>
    <row r="27" spans="1:17" s="450" customFormat="1">
      <c r="A27" s="448" t="s">
        <v>536</v>
      </c>
      <c r="B27" s="731">
        <f t="shared" ca="1" si="2"/>
        <v>65.831667896605765</v>
      </c>
      <c r="C27" s="449">
        <f t="shared" ca="1" si="3"/>
        <v>0</v>
      </c>
      <c r="D27" s="449">
        <f t="shared" si="4"/>
        <v>116.32222054388416</v>
      </c>
      <c r="E27" s="449">
        <f t="shared" si="5"/>
        <v>72.68691216995073</v>
      </c>
      <c r="F27" s="449">
        <f t="shared" si="6"/>
        <v>0</v>
      </c>
      <c r="G27" s="449">
        <f t="shared" si="7"/>
        <v>34716.464281992965</v>
      </c>
      <c r="H27" s="449">
        <f t="shared" si="8"/>
        <v>9471.4281046958331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44442.733187299244</v>
      </c>
    </row>
    <row r="28" spans="1:17" ht="16.5" customHeight="1">
      <c r="A28" s="444" t="s">
        <v>526</v>
      </c>
      <c r="B28" s="445">
        <f t="shared" ca="1" si="2"/>
        <v>9.7599792036500492</v>
      </c>
      <c r="C28" s="445">
        <f t="shared" ca="1" si="3"/>
        <v>0</v>
      </c>
      <c r="D28" s="445">
        <f t="shared" si="4"/>
        <v>0</v>
      </c>
      <c r="E28" s="445">
        <f t="shared" si="5"/>
        <v>0</v>
      </c>
      <c r="F28" s="445">
        <f t="shared" si="6"/>
        <v>0</v>
      </c>
      <c r="G28" s="445">
        <f t="shared" si="7"/>
        <v>884.33374214685648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894.09372135050648</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694.7030825683388</v>
      </c>
      <c r="C32" s="445">
        <f t="shared" ca="1" si="3"/>
        <v>0</v>
      </c>
      <c r="D32" s="445">
        <f t="shared" si="4"/>
        <v>1771.4993653659467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2466.2024479342854</v>
      </c>
    </row>
    <row r="33" spans="1:17" s="456" customFormat="1">
      <c r="A33" s="454" t="s">
        <v>530</v>
      </c>
      <c r="B33" s="455">
        <f ca="1">SUM(B22:B32)</f>
        <v>27147.140512958245</v>
      </c>
      <c r="C33" s="455">
        <f t="shared" ref="C33:Q33" ca="1" si="19">SUM(C22:C32)</f>
        <v>295.92151260504215</v>
      </c>
      <c r="D33" s="455">
        <f t="shared" ca="1" si="19"/>
        <v>67192.642319225255</v>
      </c>
      <c r="E33" s="455">
        <f t="shared" si="19"/>
        <v>606.40739615984864</v>
      </c>
      <c r="F33" s="455">
        <f t="shared" ca="1" si="19"/>
        <v>12968.463616115143</v>
      </c>
      <c r="G33" s="455">
        <f t="shared" si="19"/>
        <v>35600.798024139818</v>
      </c>
      <c r="H33" s="455">
        <f t="shared" si="19"/>
        <v>9471.4281046958331</v>
      </c>
      <c r="I33" s="455">
        <f t="shared" si="19"/>
        <v>0</v>
      </c>
      <c r="J33" s="455">
        <f t="shared" si="19"/>
        <v>82.443157672369878</v>
      </c>
      <c r="K33" s="455">
        <f t="shared" si="19"/>
        <v>0</v>
      </c>
      <c r="L33" s="455">
        <f t="shared" ca="1" si="19"/>
        <v>0</v>
      </c>
      <c r="M33" s="455">
        <f t="shared" si="19"/>
        <v>0</v>
      </c>
      <c r="N33" s="455">
        <f t="shared" ca="1" si="19"/>
        <v>0</v>
      </c>
      <c r="O33" s="455">
        <f t="shared" si="19"/>
        <v>0</v>
      </c>
      <c r="P33" s="455">
        <f t="shared" si="19"/>
        <v>0</v>
      </c>
      <c r="Q33" s="455">
        <f t="shared" ca="1" si="19"/>
        <v>153365.24464357155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6294.7207371395371</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871.65000000000009</v>
      </c>
      <c r="D8" s="972">
        <f>'SEAP template'!D76</f>
        <v>1025.4705882352944</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207.14505882352947</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6294.7207371395371</v>
      </c>
      <c r="C10" s="974">
        <f>SUM(C4:C9)</f>
        <v>871.65000000000009</v>
      </c>
      <c r="D10" s="974">
        <f t="shared" ref="D10:H10" si="0">SUM(D8:D9)</f>
        <v>1025.4705882352944</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207.14505882352947</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0.21033402822606376</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1245.214285714286</v>
      </c>
      <c r="D17" s="973">
        <f>'SEAP template'!D87</f>
        <v>1464.9579831932779</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295.92151260504215</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1245.214285714286</v>
      </c>
      <c r="D20" s="974">
        <f t="shared" ref="D20:H20" si="2">SUM(D17:D19)</f>
        <v>1464.9579831932779</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295.92151260504215</v>
      </c>
    </row>
    <row r="21" spans="1:16">
      <c r="B21" s="841"/>
    </row>
    <row r="22" spans="1:16">
      <c r="A22" s="457" t="s">
        <v>730</v>
      </c>
      <c r="B22" s="737" t="s">
        <v>728</v>
      </c>
      <c r="C22" s="737">
        <f ca="1">'EF ele_warmte'!B22</f>
        <v>0.23764705882352946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0.21033402822606376</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2022-07-26T09:37:11Z</dcterms:modified>
</cp:coreProperties>
</file>