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727F1033-67ED-4A23-BF2A-7B3FF1192C1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<sst xmlns="http://schemas.openxmlformats.org/spreadsheetml/2006/main" count="2405" uniqueCount="883">
  <si>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</si>
  <si>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</si>
  <si>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</si>
  <si>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</si>
  <si>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</si>
  <si>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</si>
  <si>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</si>
  <si>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</si>
  <si>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</si>
  <si>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</si>
  <si>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</si>
  <si>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</si>
  <si>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</si>
  <si>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</si>
  <si>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</si>
  <si>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</si>
  <si>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</si>
  <si>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</si>
  <si>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</si>
  <si>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</si>
  <si>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</si>
  <si>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</si>
  <si>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</si>
  <si>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</si>
  <si>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</si>
  <si>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</si>
  <si>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</si>
  <si>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</si>
  <si>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</si>
  <si>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</si>
  <si>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</si>
  <si>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</si>
  <si>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</si>
  <si>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</si>
  <si>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</si>
  <si>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</si>
  <si>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</si>
  <si>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</si>
  <si>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</si>
  <si>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</si>
  <si>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</si>
  <si>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</si>
  <si>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</si>
  <si>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</si>
  <si>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</si>
  <si>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</si>
  <si>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</si>
  <si>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</si>
  <si>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</si>
  <si>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</si>
  <si>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</si>
  <si>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</si>
  <si>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</si>
  <si>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</si>
  <si>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</si>
  <si>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</si>
  <si>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</si>
  <si>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</si>
  <si>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</si>
  <si>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</si>
  <si>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</si>
  <si>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</si>
  <si>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</si>
  <si>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</si>
  <si>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</si>
  <si>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</si>
  <si>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</si>
  <si>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</si>
  <si>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</si>
  <si>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</si>
  <si>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</si>
  <si>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</si>
  <si>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</si>
  <si>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</si>
  <si>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</si>
  <si>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</si>
  <si>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</si>
  <si>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</si>
  <si>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</si>
  <si>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</si>
  <si>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</si>
  <si>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</si>
  <si>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</si>
  <si>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</si>
  <si>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</si>
  <si>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</si>
  <si>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</si>
  <si>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</si>
  <si>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</si>
  <si>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</si>
  <si>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</si>
  <si>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</si>
  <si>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</si>
  <si>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</si>
  <si>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</si>
  <si>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</si>
  <si>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</si>
  <si>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</si>
  <si>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</si>
  <si>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</si>
  <si>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</si>
  <si>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</si>
  <si>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</si>
  <si>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</si>
  <si>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</si>
  <si>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</si>
  <si>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</si>
  <si>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</si>
  <si>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</si>
  <si>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</si>
  <si>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</si>
  <si>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</si>
  <si>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</si>
  <si>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</si>
  <si>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</si>
  <si>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</si>
  <si>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</si>
  <si>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</si>
  <si>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</si>
  <si>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</si>
  <si>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</si>
  <si>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</si>
  <si>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</si>
  <si>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</si>
  <si>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</si>
  <si>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</si>
  <si>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</si>
  <si>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</si>
  <si>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</si>
  <si>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</si>
  <si>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</si>
  <si>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</si>
  <si>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</si>
  <si>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</si>
  <si>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</si>
  <si>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</si>
  <si>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</si>
  <si>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</si>
  <si>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</si>
  <si>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</si>
  <si>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</si>
  <si>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</si>
  <si>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</si>
  <si>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</si>
  <si>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</si>
  <si>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</si>
  <si>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</si>
  <si>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</si>
  <si>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</si>
  <si>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</si>
  <si>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</si>
  <si>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</si>
  <si>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</si>
  <si>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</si>
  <si>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</si>
  <si>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</si>
  <si>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</si>
  <si>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</si>
  <si>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</si>
  <si>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</si>
  <si>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</si>
  <si>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</si>
  <si>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</si>
  <si>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</si>
  <si>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</si>
  <si>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</si>
  <si>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</si>
  <si>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</si>
  <si>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</si>
  <si>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</si>
  <si>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</si>
  <si>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</si>
  <si>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</si>
  <si>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</si>
  <si>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</si>
  <si>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</si>
  <si>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</si>
  <si>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</si>
  <si>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</si>
  <si>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</si>
  <si>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</si>
  <si>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</si>
  <si>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</si>
  <si>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</si>
  <si>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</si>
  <si>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</si>
  <si>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</si>
  <si>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</si>
  <si>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</si>
  <si>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</si>
  <si>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</si>
  <si>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</si>
  <si>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</si>
  <si>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</si>
  <si>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</si>
  <si>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</si>
  <si>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</si>
  <si>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</si>
  <si>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</si>
  <si>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</si>
  <si>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</si>
  <si>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</si>
  <si>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</si>
  <si>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</si>
  <si>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</si>
  <si>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</si>
  <si>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</si>
  <si>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</si>
  <si>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</si>
  <si>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</si>
  <si>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</si>
  <si>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</si>
  <si>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</si>
  <si>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</si>
  <si>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</si>
  <si>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</si>
  <si>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</si>
  <si>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</si>
  <si>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</si>
  <si>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</si>
  <si>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</si>
  <si>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</si>
  <si>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</si>
  <si>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</si>
  <si>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</si>
  <si>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</si>
  <si>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</si>
  <si>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</si>
  <si>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</si>
  <si>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</si>
  <si>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</si>
  <si>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</si>
  <si>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</si>
  <si>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</si>
  <si>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</si>
  <si>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</si>
  <si>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</si>
  <si>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</si>
  <si>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</si>
  <si>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</si>
  <si>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</si>
  <si>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</si>
  <si>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</si>
  <si>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</si>
  <si>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</si>
  <si>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</si>
  <si>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</si>
  <si>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</si>
  <si>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</si>
  <si>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</si>
  <si>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</si>
  <si>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</si>
  <si>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</si>
  <si>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</si>
  <si>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</si>
  <si>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</si>
  <si>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</si>
  <si>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</si>
  <si>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</si>
  <si>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</si>
  <si>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</si>
  <si>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</si>
  <si>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</si>
  <si>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</si>
  <si>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</si>
  <si>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</si>
  <si>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</si>
  <si>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</si>
  <si>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</si>
  <si>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</si>
  <si>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</si>
  <si>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</si>
  <si>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</si>
  <si>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</si>
  <si>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</si>
  <si>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</si>
  <si>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</si>
  <si>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</si>
  <si>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</si>
  <si>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</si>
  <si>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</si>
  <si>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</si>
  <si>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</si>
  <si>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</si>
  <si>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</si>
  <si>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</si>
  <si>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</si>
  <si>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</si>
  <si>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</si>
  <si>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</si>
  <si>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</si>
  <si>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</si>
  <si>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</si>
  <si>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</si>
  <si>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</si>
  <si>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</si>
  <si>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</si>
  <si>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</si>
  <si>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</si>
  <si>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</si>
  <si>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</si>
  <si>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</si>
  <si>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</si>
  <si>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</si>
  <si>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</si>
  <si>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</si>
  <si>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</si>
  <si>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</si>
  <si>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</si>
  <si>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</si>
  <si>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</si>
  <si>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</si>
  <si>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</si>
  <si>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</si>
  <si>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</si>
  <si>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</si>
  <si>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</si>
  <si>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</si>
  <si>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</si>
  <si>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</si>
  <si>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</si>
  <si>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</si>
  <si>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</si>
  <si>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</si>
  <si>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</si>
  <si>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</si>
  <si>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</si>
  <si>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</si>
  <si>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</si>
  <si>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</si>
  <si>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</si>
  <si>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</si>
  <si>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</si>
  <si>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</si>
  <si>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</si>
  <si>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</si>
  <si>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</si>
  <si>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</si>
  <si>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</si>
  <si>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</si>
  <si>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</si>
  <si>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</si>
  <si>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</si>
  <si>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</si>
  <si>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</si>
  <si>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</si>
  <si>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</si>
  <si>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</si>
  <si>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</si>
  <si>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</si>
  <si>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</si>
  <si>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</si>
  <si>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</si>
  <si>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</si>
  <si>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</si>
  <si>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</si>
  <si>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</si>
  <si>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</si>
  <si>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</si>
  <si>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</si>
  <si>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</si>
  <si>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</si>
  <si>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</si>
  <si>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</si>
  <si>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</si>
  <si>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</si>
  <si>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</si>
  <si>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</si>
  <si>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</si>
  <si>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</si>
  <si>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</si>
  <si>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</si>
  <si>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</si>
  <si>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</si>
  <si>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</si>
  <si>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</si>
  <si>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</si>
  <si>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</si>
  <si>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</si>
  <si>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</si>
  <si>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</si>
  <si>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</si>
  <si>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</si>
  <si>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</si>
  <si>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</si>
  <si>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</si>
  <si>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</si>
  <si>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</si>
  <si>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</si>
  <si>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</si>
  <si>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</si>
  <si>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</si>
  <si>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</si>
  <si>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</si>
  <si>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</si>
  <si>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</si>
  <si>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</si>
  <si>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</si>
  <si>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</si>
  <si>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</si>
  <si>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</si>
  <si>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</si>
  <si>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</si>
  <si>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</si>
  <si>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</si>
  <si>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</si>
  <si>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</si>
  <si>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</si>
  <si>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</si>
  <si>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</si>
  <si>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</si>
  <si>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</si>
  <si>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</si>
  <si>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</si>
  <si>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</si>
  <si>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</si>
  <si>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</si>
  <si>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</si>
  <si>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</si>
  <si>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</si>
  <si>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</si>
  <si>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</si>
  <si>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</si>
  <si>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</si>
  <si>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</si>
  <si>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</si>
  <si>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</si>
  <si>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</si>
  <si>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</si>
  <si>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</si>
  <si>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</si>
  <si>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</si>
  <si>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</si>
  <si>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</si>
  <si>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</si>
  <si>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</si>
  <si>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</si>
  <si>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</si>
  <si>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</si>
  <si>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</si>
  <si>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</si>
  <si>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</si>
  <si>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</si>
  <si>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</si>
  <si>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</si>
  <si>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</si>
  <si>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</si>
  <si>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</si>
  <si>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</si>
  <si>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</si>
  <si>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</si>
  <si>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</si>
  <si>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</si>
  <si>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</si>
  <si>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</si>
  <si>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</si>
  <si>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</si>
  <si>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</si>
  <si>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</si>
  <si>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</si>
  <si>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</si>
  <si>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</si>
  <si>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</si>
  <si>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</si>
  <si>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</si>
  <si>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</si>
  <si>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</si>
  <si>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</si>
  <si>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</si>
  <si>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</si>
  <si>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</si>
  <si>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</si>
  <si>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</si>
  <si>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</si>
  <si>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</si>
  <si>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</si>
  <si>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</si>
  <si>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</si>
  <si>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</si>
  <si>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</si>
  <si>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</si>
  <si>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</si>
  <si>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</si>
  <si>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</si>
  <si>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</si>
  <si>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</si>
  <si>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</si>
  <si>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</si>
  <si>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</si>
  <si>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</si>
  <si>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</si>
  <si>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</si>
  <si>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</si>
  <si>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</si>
  <si>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</si>
  <si>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</si>
  <si>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</si>
  <si>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</si>
  <si>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</si>
  <si>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</si>
  <si>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</si>
  <si>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</si>
  <si>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</si>
  <si>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</si>
  <si>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</si>
  <si>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</si>
  <si>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</si>
  <si>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</si>
  <si>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</si>
  <si>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</si>
  <si>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</si>
  <si>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</si>
  <si>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</si>
  <si>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</si>
  <si>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</si>
  <si>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</si>
  <si>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</si>
  <si>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</si>
  <si>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</si>
  <si>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</si>
  <si>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</si>
  <si>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</si>
  <si>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</si>
  <si>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</si>
  <si>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</si>
  <si>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</si>
  <si>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</si>
  <si>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</si>
  <si>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</si>
  <si>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</si>
  <si>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</si>
  <si>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</si>
  <si>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</si>
  <si>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</si>
  <si>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</si>
  <si>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</si>
  <si>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</si>
  <si>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</si>
  <si>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</si>
  <si>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</si>
  <si>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</si>
  <si>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</si>
  <si>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</si>
  <si>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</si>
  <si>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</si>
  <si>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</si>
  <si>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</si>
  <si>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</si>
  <si>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</si>
  <si>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</si>
  <si>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</si>
  <si>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</si>
  <si>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</si>
  <si>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</si>
  <si>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</si>
  <si>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</si>
  <si>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</si>
  <si>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</si>
  <si>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</si>
  <si>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</si>
  <si>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</si>
  <si>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</si>
  <si>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</si>
  <si>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</si>
  <si>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</si>
  <si>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</si>
  <si>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</si>
  <si>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</si>
  <si>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</si>
  <si>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</si>
  <si>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</si>
  <si>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</si>
  <si>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</si>
  <si>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</si>
  <si>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</si>
  <si>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</si>
  <si>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</si>
  <si>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</si>
  <si>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</si>
  <si>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</si>
  <si>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</si>
  <si>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</si>
  <si>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</si>
  <si>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</si>
  <si>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</si>
  <si>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</si>
  <si>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</si>
  <si>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</si>
  <si>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</si>
  <si>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</si>
  <si>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</si>
  <si>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</si>
  <si>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</si>
  <si>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</si>
  <si>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</si>
  <si>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</si>
  <si>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</si>
  <si>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</si>
  <si>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</si>
  <si>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</si>
  <si>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</si>
  <si>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</si>
  <si>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</si>
  <si>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</si>
  <si>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</si>
  <si>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</si>
  <si>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</si>
  <si>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</si>
  <si>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</si>
  <si>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</si>
  <si>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</si>
  <si>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</si>
  <si>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</si>
  <si>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</si>
  <si>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</si>
  <si>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</si>
  <si>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</si>
  <si>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</si>
  <si>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</si>
  <si>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</si>
  <si>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</si>
  <si>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</si>
  <si>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</si>
  <si>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</si>
  <si>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</si>
  <si>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</si>
  <si>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</si>
  <si>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</si>
  <si>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</si>
  <si>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</si>
  <si>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</si>
  <si>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</si>
  <si>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</si>
  <si>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</si>
  <si>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</si>
  <si>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</si>
  <si>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</si>
  <si>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</si>
  <si>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</si>
  <si>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</si>
  <si>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</si>
  <si>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</si>
  <si>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</si>
  <si>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</si>
  <si>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</si>
  <si>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</si>
  <si>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</si>
  <si>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</si>
  <si>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</si>
  <si>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</si>
  <si>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</si>
  <si>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</si>
  <si>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</si>
  <si>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</si>
  <si>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</si>
  <si>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</si>
  <si>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</si>
  <si>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</si>
  <si>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</si>
  <si>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</si>
  <si>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</si>
  <si>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</si>
  <si>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</si>
  <si>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</si>
  <si>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</si>
  <si>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</si>
  <si>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</si>
  <si>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</si>
  <si>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</si>
  <si>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</si>
  <si>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</si>
  <si>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</si>
  <si>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</si>
  <si>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</si>
  <si>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</si>
  <si>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</si>
  <si>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</si>
  <si>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</si>
  <si>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</si>
  <si>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</si>
  <si>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</si>
  <si>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</si>
  <si>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</si>
  <si>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</si>
  <si>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</si>
  <si>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</si>
  <si>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</si>
  <si>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</si>
  <si>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</si>
  <si>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</si>
  <si>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</si>
  <si>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</si>
  <si>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</si>
  <si>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</si>
  <si>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</si>
  <si>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</si>
  <si>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</si>
  <si>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</si>
  <si>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</si>
  <si>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</si>
  <si>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</si>
  <si>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</si>
  <si>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</si>
  <si>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</si>
  <si>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</si>
  <si>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</si>
  <si>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</si>
  <si>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</si>
  <si>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</si>
  <si>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</si>
  <si>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</si>
  <si>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</si>
  <si>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</si>
  <si>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</si>
  <si>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</si>
  <si>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</si>
  <si>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</si>
  <si>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</si>
  <si>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</si>
  <si>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</si>
  <si>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</si>
  <si>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</si>
  <si>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</si>
  <si>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</si>
  <si>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</si>
  <si>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</si>
  <si>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</si>
  <si>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</si>
  <si>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</si>
  <si>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</si>
  <si>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</si>
  <si>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</si>
  <si>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</si>
  <si>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</si>
  <si>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</si>
  <si>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</si>
  <si>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</si>
  <si>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</si>
  <si>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</si>
  <si>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</si>
  <si>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</si>
  <si>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</si>
  <si>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</si>
  <si>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</si>
  <si>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</si>
  <si>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</si>
  <si>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</si>
  <si>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</si>
  <si>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</si>
  <si>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</si>
  <si>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</si>
  <si>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</si>
  <si>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</si>
  <si>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</si>
  <si>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</si>
  <si>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</si>
  <si>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</si>
  <si>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</si>
  <si>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</si>
  <si>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</si>
  <si>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</si>
  <si>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</si>
  <si>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</si>
  <si>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</si>
  <si>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</si>
  <si>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</si>
  <si>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</si>
  <si>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</si>
  <si>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</si>
  <si>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</si>
  <si>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</si>
  <si>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</si>
  <si>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</si>
  <si>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</si>
  <si>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</si>
  <si>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</si>
  <si>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</si>
  <si>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</si>
  <si>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</si>
  <si>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</si>
  <si>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</si>
  <si>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</si>
  <si>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</si>
  <si>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</si>
  <si>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</si>
  <si>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</si>
  <si>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</si>
  <si>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</si>
  <si>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</si>
  <si>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</si>
  <si>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</si>
  <si>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</si>
  <si>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</si>
  <si>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</si>
  <si>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</si>
  <si>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</si>
  <si>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</si>
  <si>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</si>
  <si>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</si>
  <si>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</si>
  <si>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</si>
  <si>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</si>
  <si>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</si>
  <si>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</si>
  <si>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</si>
  <si>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</si>
  <si>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</si>
  <si>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</si>
  <si>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</si>
  <si>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</si>
  <si>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</si>
  <si>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</si>
  <si>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</si>
  <si>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</si>
  <si>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</si>
  <si>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</si>
  <si>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</si>
  <si>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</si>
  <si>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</si>
  <si>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</si>
  <si>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</si>
  <si>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</si>
  <si>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</si>
  <si>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</si>
  <si>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</si>
  <si>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</si>
  <si>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</si>
  <si>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</si>
  <si>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</si>
  <si>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</si>
  <si>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</si>
  <si>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</si>
  <si>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</si>
  <si>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</si>
  <si>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</si>
  <si>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</si>
  <si>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</si>
  <si>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</si>
  <si>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</si>
  <si>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</si>
  <si>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</si>
  <si>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</si>
  <si>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</si>
  <si>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</si>
  <si>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</si>
  <si>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</si>
  <si>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</si>
  <si>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</si>
  <si>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</si>
  <si>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</si>
  <si>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</si>
  <si>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</si>
  <si>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</si>
  <si>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</si>
  <si>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</si>
  <si>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</si>
  <si>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</si>
  <si>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</si>
  <si>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</si>
  <si>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</si>
  <si>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</si>
  <si>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</si>
  <si>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</si>
  <si>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</si>
  <si>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</si>
  <si>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</si>
  <si>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</si>
  <si>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</si>
  <si>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</si>
  <si>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</si>
  <si>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</si>
  <si>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</si>
  <si>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</si>
  <si>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</si>
  <si>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</si>
  <si>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</si>
  <si>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</si>
  <si>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</si>
  <si>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</si>
  <si>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</si>
  <si>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73022</t>
  </si>
  <si>
    <t>HEERS</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</si>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</sst>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69393B81-0DDA-46D2-89C6-7DD025E7D6A1}"/>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60182.626252327573</c:v>
                </c:pt>
                <c:pt idx="1">
                  <c:v>10430.206383955985</c:v>
                </c:pt>
                <c:pt idx="2">
                  <c:v>377.62700000000001</c:v>
                </c:pt>
                <c:pt idx="3">
                  <c:v>12144.172681693773</c:v>
                </c:pt>
                <c:pt idx="4">
                  <c:v>1041.357366566835</c:v>
                </c:pt>
                <c:pt idx="5">
                  <c:v>46711.363756804094</c:v>
                </c:pt>
                <c:pt idx="6">
                  <c:v>382.07021937531999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60182.626252327573</c:v>
                </c:pt>
                <c:pt idx="1">
                  <c:v>10430.206383955985</c:v>
                </c:pt>
                <c:pt idx="2">
                  <c:v>377.62700000000001</c:v>
                </c:pt>
                <c:pt idx="3">
                  <c:v>12144.172681693773</c:v>
                </c:pt>
                <c:pt idx="4">
                  <c:v>1041.357366566835</c:v>
                </c:pt>
                <c:pt idx="5">
                  <c:v>46711.363756804094</c:v>
                </c:pt>
                <c:pt idx="6">
                  <c:v>382.07021937531999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12774.52711592669</c:v>
                </c:pt>
                <c:pt idx="1">
                  <c:v>2077.535699675585</c:v>
                </c:pt>
                <c:pt idx="2">
                  <c:v>74.428662413044989</c:v>
                </c:pt>
                <c:pt idx="3">
                  <c:v>2991.5603116362699</c:v>
                </c:pt>
                <c:pt idx="4">
                  <c:v>214.10245207060458</c:v>
                </c:pt>
                <c:pt idx="5">
                  <c:v>11602.719568934259</c:v>
                </c:pt>
                <c:pt idx="6">
                  <c:v>96.277526833799328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12774.52711592669</c:v>
                </c:pt>
                <c:pt idx="1">
                  <c:v>2077.535699675585</c:v>
                </c:pt>
                <c:pt idx="2">
                  <c:v>74.428662413044989</c:v>
                </c:pt>
                <c:pt idx="3">
                  <c:v>2991.5603116362699</c:v>
                </c:pt>
                <c:pt idx="4">
                  <c:v>214.10245207060458</c:v>
                </c:pt>
                <c:pt idx="5">
                  <c:v>11602.719568934259</c:v>
                </c:pt>
                <c:pt idx="6">
                  <c:v>96.277526833799328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73022</v>
      </c>
      <c r="B6" s="382"/>
      <c r="C6" s="383"/>
    </row>
    <row r="7" spans="1:7" s="380" customFormat="1" ht="15.75" customHeight="1">
      <c r="A7" s="384" t="str">
        <f>txtMunicipality</f>
        <v>HEERS</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0.19709571194073777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0.19709571194073777</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2957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3956.59</v>
      </c>
      <c r="C14" s="324"/>
      <c r="D14" s="324"/>
      <c r="E14" s="324"/>
      <c r="F14" s="324"/>
    </row>
    <row r="15" spans="1:6">
      <c r="A15" s="1257" t="s">
        <v>177</v>
      </c>
      <c r="B15" s="1258">
        <v>695</v>
      </c>
      <c r="C15" s="324"/>
      <c r="D15" s="324"/>
      <c r="E15" s="324"/>
      <c r="F15" s="324"/>
    </row>
    <row r="16" spans="1:6">
      <c r="A16" s="1257" t="s">
        <v>6</v>
      </c>
      <c r="B16" s="1258">
        <v>520</v>
      </c>
      <c r="C16" s="324"/>
      <c r="D16" s="324"/>
      <c r="E16" s="324"/>
      <c r="F16" s="324"/>
    </row>
    <row r="17" spans="1:6">
      <c r="A17" s="1257" t="s">
        <v>7</v>
      </c>
      <c r="B17" s="1258">
        <v>893</v>
      </c>
      <c r="C17" s="324"/>
      <c r="D17" s="324"/>
      <c r="E17" s="324"/>
      <c r="F17" s="324"/>
    </row>
    <row r="18" spans="1:6">
      <c r="A18" s="1257" t="s">
        <v>8</v>
      </c>
      <c r="B18" s="1258">
        <v>1053</v>
      </c>
      <c r="C18" s="324"/>
      <c r="D18" s="324"/>
      <c r="E18" s="324"/>
      <c r="F18" s="324"/>
    </row>
    <row r="19" spans="1:6">
      <c r="A19" s="1257" t="s">
        <v>9</v>
      </c>
      <c r="B19" s="1258">
        <v>921</v>
      </c>
      <c r="C19" s="324"/>
      <c r="D19" s="324"/>
      <c r="E19" s="324"/>
      <c r="F19" s="324"/>
    </row>
    <row r="20" spans="1:6">
      <c r="A20" s="1257" t="s">
        <v>10</v>
      </c>
      <c r="B20" s="1258">
        <v>757</v>
      </c>
      <c r="C20" s="324"/>
      <c r="D20" s="324"/>
      <c r="E20" s="324"/>
      <c r="F20" s="324"/>
    </row>
    <row r="21" spans="1:6">
      <c r="A21" s="1257" t="s">
        <v>11</v>
      </c>
      <c r="B21" s="1258">
        <v>1799</v>
      </c>
      <c r="C21" s="324"/>
      <c r="D21" s="324"/>
      <c r="E21" s="324"/>
      <c r="F21" s="324"/>
    </row>
    <row r="22" spans="1:6">
      <c r="A22" s="1257" t="s">
        <v>12</v>
      </c>
      <c r="B22" s="1258">
        <v>5455</v>
      </c>
      <c r="C22" s="324"/>
      <c r="D22" s="324"/>
      <c r="E22" s="324"/>
      <c r="F22" s="324"/>
    </row>
    <row r="23" spans="1:6">
      <c r="A23" s="1257" t="s">
        <v>13</v>
      </c>
      <c r="B23" s="1258">
        <v>50</v>
      </c>
      <c r="C23" s="324"/>
      <c r="D23" s="324"/>
      <c r="E23" s="324"/>
      <c r="F23" s="324"/>
    </row>
    <row r="24" spans="1:6">
      <c r="A24" s="1257" t="s">
        <v>14</v>
      </c>
      <c r="B24" s="1258">
        <v>3</v>
      </c>
      <c r="C24" s="324"/>
      <c r="D24" s="324"/>
      <c r="E24" s="324"/>
      <c r="F24" s="324"/>
    </row>
    <row r="25" spans="1:6">
      <c r="A25" s="1257" t="s">
        <v>15</v>
      </c>
      <c r="B25" s="1258">
        <v>356</v>
      </c>
      <c r="C25" s="324"/>
      <c r="D25" s="324"/>
      <c r="E25" s="324"/>
      <c r="F25" s="324"/>
    </row>
    <row r="26" spans="1:6">
      <c r="A26" s="1257" t="s">
        <v>16</v>
      </c>
      <c r="B26" s="1258">
        <v>78</v>
      </c>
      <c r="C26" s="324"/>
      <c r="D26" s="324"/>
      <c r="E26" s="324"/>
      <c r="F26" s="324"/>
    </row>
    <row r="27" spans="1:6">
      <c r="A27" s="1257" t="s">
        <v>17</v>
      </c>
      <c r="B27" s="1258">
        <v>4</v>
      </c>
      <c r="C27" s="324"/>
      <c r="D27" s="324"/>
      <c r="E27" s="324"/>
      <c r="F27" s="324"/>
    </row>
    <row r="28" spans="1:6">
      <c r="A28" s="1257" t="s">
        <v>18</v>
      </c>
      <c r="B28" s="1259">
        <v>13837</v>
      </c>
      <c r="C28" s="324"/>
      <c r="D28" s="324"/>
      <c r="E28" s="324"/>
      <c r="F28" s="324"/>
    </row>
    <row r="29" spans="1:6">
      <c r="A29" s="1257" t="s">
        <v>664</v>
      </c>
      <c r="B29" s="1259">
        <v>37</v>
      </c>
      <c r="C29" s="324"/>
      <c r="D29" s="324"/>
      <c r="E29" s="324"/>
      <c r="F29" s="324"/>
    </row>
    <row r="30" spans="1:6">
      <c r="A30" s="1252" t="s">
        <v>665</v>
      </c>
      <c r="B30" s="1260">
        <v>7</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1</v>
      </c>
      <c r="D38" s="1258">
        <v>26719</v>
      </c>
      <c r="E38" s="1258">
        <v>4</v>
      </c>
      <c r="F38" s="1258">
        <v>4135</v>
      </c>
    </row>
    <row r="39" spans="1:6">
      <c r="A39" s="1257" t="s">
        <v>29</v>
      </c>
      <c r="B39" s="1257" t="s">
        <v>30</v>
      </c>
      <c r="C39" s="1258">
        <v>1096</v>
      </c>
      <c r="D39" s="1258">
        <v>17672513.550000001</v>
      </c>
      <c r="E39" s="1258">
        <v>2939</v>
      </c>
      <c r="F39" s="1258">
        <v>10399782.9</v>
      </c>
    </row>
    <row r="40" spans="1:6">
      <c r="A40" s="1257" t="s">
        <v>29</v>
      </c>
      <c r="B40" s="1257" t="s">
        <v>28</v>
      </c>
      <c r="C40" s="1258">
        <v>0</v>
      </c>
      <c r="D40" s="1258">
        <v>0</v>
      </c>
      <c r="E40" s="1258">
        <v>0</v>
      </c>
      <c r="F40" s="1258">
        <v>0</v>
      </c>
    </row>
    <row r="41" spans="1:6">
      <c r="A41" s="1257" t="s">
        <v>31</v>
      </c>
      <c r="B41" s="1257" t="s">
        <v>32</v>
      </c>
      <c r="C41" s="1258">
        <v>15</v>
      </c>
      <c r="D41" s="1258">
        <v>201055</v>
      </c>
      <c r="E41" s="1258">
        <v>45</v>
      </c>
      <c r="F41" s="1258">
        <v>217355</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3</v>
      </c>
      <c r="D44" s="1258">
        <v>67757</v>
      </c>
      <c r="E44" s="1258">
        <v>7</v>
      </c>
      <c r="F44" s="1258">
        <v>116484</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3</v>
      </c>
      <c r="F47" s="1258">
        <v>11509</v>
      </c>
    </row>
    <row r="48" spans="1:6">
      <c r="A48" s="1257" t="s">
        <v>31</v>
      </c>
      <c r="B48" s="1257" t="s">
        <v>28</v>
      </c>
      <c r="C48" s="1258">
        <v>4</v>
      </c>
      <c r="D48" s="1258">
        <v>114029</v>
      </c>
      <c r="E48" s="1258">
        <v>1</v>
      </c>
      <c r="F48" s="1258">
        <v>9387</v>
      </c>
    </row>
    <row r="49" spans="1:6">
      <c r="A49" s="1257" t="s">
        <v>31</v>
      </c>
      <c r="B49" s="1257" t="s">
        <v>39</v>
      </c>
      <c r="C49" s="1258">
        <v>0</v>
      </c>
      <c r="D49" s="1258">
        <v>0</v>
      </c>
      <c r="E49" s="1258">
        <v>0</v>
      </c>
      <c r="F49" s="1258">
        <v>0</v>
      </c>
    </row>
    <row r="50" spans="1:6">
      <c r="A50" s="1257" t="s">
        <v>31</v>
      </c>
      <c r="B50" s="1257" t="s">
        <v>40</v>
      </c>
      <c r="C50" s="1258">
        <v>0</v>
      </c>
      <c r="D50" s="1258">
        <v>0</v>
      </c>
      <c r="E50" s="1258">
        <v>3</v>
      </c>
      <c r="F50" s="1258">
        <v>155416</v>
      </c>
    </row>
    <row r="51" spans="1:6">
      <c r="A51" s="1257" t="s">
        <v>41</v>
      </c>
      <c r="B51" s="1257" t="s">
        <v>42</v>
      </c>
      <c r="C51" s="1258">
        <v>16</v>
      </c>
      <c r="D51" s="1258">
        <v>2683173.4169999999</v>
      </c>
      <c r="E51" s="1258">
        <v>101</v>
      </c>
      <c r="F51" s="1258">
        <v>1999949.8330000001</v>
      </c>
    </row>
    <row r="52" spans="1:6">
      <c r="A52" s="1257" t="s">
        <v>41</v>
      </c>
      <c r="B52" s="1257" t="s">
        <v>28</v>
      </c>
      <c r="C52" s="1258">
        <v>0</v>
      </c>
      <c r="D52" s="1258">
        <v>0</v>
      </c>
      <c r="E52" s="1258">
        <v>0</v>
      </c>
      <c r="F52" s="1258">
        <v>0</v>
      </c>
    </row>
    <row r="53" spans="1:6">
      <c r="A53" s="1257" t="s">
        <v>43</v>
      </c>
      <c r="B53" s="1257" t="s">
        <v>44</v>
      </c>
      <c r="C53" s="1258">
        <v>20</v>
      </c>
      <c r="D53" s="1258">
        <v>393395.20000000001</v>
      </c>
      <c r="E53" s="1258">
        <v>60</v>
      </c>
      <c r="F53" s="1258">
        <v>225677.65</v>
      </c>
    </row>
    <row r="54" spans="1:6">
      <c r="A54" s="1257" t="s">
        <v>45</v>
      </c>
      <c r="B54" s="1257" t="s">
        <v>46</v>
      </c>
      <c r="C54" s="1258">
        <v>0</v>
      </c>
      <c r="D54" s="1258">
        <v>0</v>
      </c>
      <c r="E54" s="1258">
        <v>2</v>
      </c>
      <c r="F54" s="1258">
        <v>377627</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7</v>
      </c>
      <c r="D57" s="1258">
        <v>164468</v>
      </c>
      <c r="E57" s="1258">
        <v>28</v>
      </c>
      <c r="F57" s="1258">
        <v>1226619</v>
      </c>
    </row>
    <row r="58" spans="1:6">
      <c r="A58" s="1257" t="s">
        <v>48</v>
      </c>
      <c r="B58" s="1257" t="s">
        <v>50</v>
      </c>
      <c r="C58" s="1258">
        <v>6</v>
      </c>
      <c r="D58" s="1258">
        <v>124843</v>
      </c>
      <c r="E58" s="1258">
        <v>19</v>
      </c>
      <c r="F58" s="1258">
        <v>197359</v>
      </c>
    </row>
    <row r="59" spans="1:6">
      <c r="A59" s="1257" t="s">
        <v>48</v>
      </c>
      <c r="B59" s="1257" t="s">
        <v>51</v>
      </c>
      <c r="C59" s="1258">
        <v>16</v>
      </c>
      <c r="D59" s="1258">
        <v>428996.05</v>
      </c>
      <c r="E59" s="1258">
        <v>70</v>
      </c>
      <c r="F59" s="1258">
        <v>1737174.584</v>
      </c>
    </row>
    <row r="60" spans="1:6">
      <c r="A60" s="1257" t="s">
        <v>48</v>
      </c>
      <c r="B60" s="1257" t="s">
        <v>52</v>
      </c>
      <c r="C60" s="1258">
        <v>18</v>
      </c>
      <c r="D60" s="1258">
        <v>647096</v>
      </c>
      <c r="E60" s="1258">
        <v>56</v>
      </c>
      <c r="F60" s="1258">
        <v>824071</v>
      </c>
    </row>
    <row r="61" spans="1:6">
      <c r="A61" s="1257" t="s">
        <v>48</v>
      </c>
      <c r="B61" s="1257" t="s">
        <v>53</v>
      </c>
      <c r="C61" s="1258">
        <v>48</v>
      </c>
      <c r="D61" s="1258">
        <v>2145127.0329999998</v>
      </c>
      <c r="E61" s="1258">
        <v>121</v>
      </c>
      <c r="F61" s="1258">
        <v>1036750.2</v>
      </c>
    </row>
    <row r="62" spans="1:6">
      <c r="A62" s="1257" t="s">
        <v>48</v>
      </c>
      <c r="B62" s="1257" t="s">
        <v>54</v>
      </c>
      <c r="C62" s="1258">
        <v>4</v>
      </c>
      <c r="D62" s="1258">
        <v>421937</v>
      </c>
      <c r="E62" s="1258">
        <v>6</v>
      </c>
      <c r="F62" s="1258">
        <v>64258</v>
      </c>
    </row>
    <row r="63" spans="1:6">
      <c r="A63" s="1257" t="s">
        <v>48</v>
      </c>
      <c r="B63" s="1257" t="s">
        <v>28</v>
      </c>
      <c r="C63" s="1258">
        <v>0</v>
      </c>
      <c r="D63" s="1258">
        <v>0</v>
      </c>
      <c r="E63" s="1258">
        <v>0</v>
      </c>
      <c r="F63" s="1258">
        <v>0</v>
      </c>
    </row>
    <row r="64" spans="1:6">
      <c r="A64" s="1257" t="s">
        <v>55</v>
      </c>
      <c r="B64" s="1257" t="s">
        <v>56</v>
      </c>
      <c r="C64" s="1258">
        <v>0</v>
      </c>
      <c r="D64" s="1258">
        <v>0</v>
      </c>
      <c r="E64" s="1258">
        <v>0</v>
      </c>
      <c r="F64" s="1258">
        <v>0</v>
      </c>
    </row>
    <row r="65" spans="1:6">
      <c r="A65" s="1257" t="s">
        <v>55</v>
      </c>
      <c r="B65" s="1257" t="s">
        <v>28</v>
      </c>
      <c r="C65" s="1258">
        <v>0</v>
      </c>
      <c r="D65" s="1258">
        <v>0</v>
      </c>
      <c r="E65" s="1258">
        <v>0</v>
      </c>
      <c r="F65" s="1258">
        <v>0</v>
      </c>
    </row>
    <row r="66" spans="1:6">
      <c r="A66" s="1257" t="s">
        <v>55</v>
      </c>
      <c r="B66" s="1257" t="s">
        <v>57</v>
      </c>
      <c r="C66" s="1258">
        <v>0</v>
      </c>
      <c r="D66" s="1258">
        <v>0</v>
      </c>
      <c r="E66" s="1258">
        <v>6</v>
      </c>
      <c r="F66" s="1258">
        <v>178121.584</v>
      </c>
    </row>
    <row r="67" spans="1:6">
      <c r="A67" s="1257" t="s">
        <v>55</v>
      </c>
      <c r="B67" s="1257" t="s">
        <v>58</v>
      </c>
      <c r="C67" s="1258">
        <v>0</v>
      </c>
      <c r="D67" s="1258">
        <v>0</v>
      </c>
      <c r="E67" s="1258">
        <v>0</v>
      </c>
      <c r="F67" s="1258">
        <v>0</v>
      </c>
    </row>
    <row r="68" spans="1:6">
      <c r="A68" s="1252" t="s">
        <v>55</v>
      </c>
      <c r="B68" s="1252" t="s">
        <v>59</v>
      </c>
      <c r="C68" s="1260">
        <v>5</v>
      </c>
      <c r="D68" s="1260">
        <v>80301</v>
      </c>
      <c r="E68" s="1260">
        <v>16</v>
      </c>
      <c r="F68" s="1260">
        <v>62078</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46144987</v>
      </c>
      <c r="E73" s="442"/>
      <c r="F73" s="324"/>
    </row>
    <row r="74" spans="1:6">
      <c r="A74" s="1257" t="s">
        <v>63</v>
      </c>
      <c r="B74" s="1257" t="s">
        <v>608</v>
      </c>
      <c r="C74" s="1270" t="s">
        <v>610</v>
      </c>
      <c r="D74" s="1258">
        <v>3422156.5</v>
      </c>
      <c r="E74" s="442"/>
      <c r="F74" s="324"/>
    </row>
    <row r="75" spans="1:6">
      <c r="A75" s="1257" t="s">
        <v>64</v>
      </c>
      <c r="B75" s="1257" t="s">
        <v>607</v>
      </c>
      <c r="C75" s="1270" t="s">
        <v>611</v>
      </c>
      <c r="D75" s="1258">
        <v>8691228</v>
      </c>
      <c r="E75" s="442"/>
      <c r="F75" s="324"/>
    </row>
    <row r="76" spans="1:6">
      <c r="A76" s="1257" t="s">
        <v>64</v>
      </c>
      <c r="B76" s="1257" t="s">
        <v>608</v>
      </c>
      <c r="C76" s="1270" t="s">
        <v>612</v>
      </c>
      <c r="D76" s="1258">
        <v>265181.5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104695</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1961.8623673701918</v>
      </c>
      <c r="C91" s="324"/>
      <c r="D91" s="324"/>
      <c r="E91" s="324"/>
      <c r="F91" s="324"/>
    </row>
    <row r="92" spans="1:6">
      <c r="A92" s="1252" t="s">
        <v>68</v>
      </c>
      <c r="B92" s="1253">
        <v>268.31868144299006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176</v>
      </c>
      <c r="C97" s="324"/>
      <c r="D97" s="324"/>
      <c r="E97" s="324"/>
      <c r="F97" s="324"/>
    </row>
    <row r="98" spans="1:6">
      <c r="A98" s="1257" t="s">
        <v>71</v>
      </c>
      <c r="B98" s="1258">
        <v>2</v>
      </c>
      <c r="C98" s="324"/>
      <c r="D98" s="324"/>
      <c r="E98" s="324"/>
      <c r="F98" s="324"/>
    </row>
    <row r="99" spans="1:6">
      <c r="A99" s="1257" t="s">
        <v>72</v>
      </c>
      <c r="B99" s="1258">
        <v>23</v>
      </c>
      <c r="C99" s="324"/>
      <c r="D99" s="324"/>
      <c r="E99" s="324"/>
      <c r="F99" s="324"/>
    </row>
    <row r="100" spans="1:6">
      <c r="A100" s="1257" t="s">
        <v>73</v>
      </c>
      <c r="B100" s="1258">
        <v>74</v>
      </c>
      <c r="C100" s="324"/>
      <c r="D100" s="324"/>
      <c r="E100" s="324"/>
      <c r="F100" s="324"/>
    </row>
    <row r="101" spans="1:6">
      <c r="A101" s="1257" t="s">
        <v>74</v>
      </c>
      <c r="B101" s="1258">
        <v>31</v>
      </c>
      <c r="C101" s="324"/>
      <c r="D101" s="324"/>
      <c r="E101" s="324"/>
      <c r="F101" s="324"/>
    </row>
    <row r="102" spans="1:6">
      <c r="A102" s="1257" t="s">
        <v>75</v>
      </c>
      <c r="B102" s="1258">
        <v>20</v>
      </c>
      <c r="C102" s="324"/>
      <c r="D102" s="324"/>
      <c r="E102" s="324"/>
      <c r="F102" s="324"/>
    </row>
    <row r="103" spans="1:6">
      <c r="A103" s="1257" t="s">
        <v>76</v>
      </c>
      <c r="B103" s="1258">
        <v>117</v>
      </c>
      <c r="C103" s="324"/>
      <c r="D103" s="324"/>
      <c r="E103" s="324"/>
      <c r="F103" s="324"/>
    </row>
    <row r="104" spans="1:6">
      <c r="A104" s="1257" t="s">
        <v>77</v>
      </c>
      <c r="B104" s="1258">
        <v>2117</v>
      </c>
      <c r="C104" s="324"/>
      <c r="D104" s="324"/>
      <c r="E104" s="324"/>
      <c r="F104" s="324"/>
    </row>
    <row r="105" spans="1:6">
      <c r="A105" s="1252" t="s">
        <v>78</v>
      </c>
      <c r="B105" s="1260">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15</v>
      </c>
      <c r="C123" s="1258">
        <v>15</v>
      </c>
      <c r="D123" s="324"/>
      <c r="E123" s="324"/>
      <c r="F123" s="324"/>
    </row>
    <row r="124" spans="1:6">
      <c r="A124" s="1257" t="s">
        <v>88</v>
      </c>
      <c r="B124" s="1258">
        <v>0</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52</v>
      </c>
      <c r="C129" s="324"/>
      <c r="D129" s="324"/>
      <c r="E129" s="324"/>
      <c r="F129" s="324"/>
    </row>
    <row r="130" spans="1:6">
      <c r="A130" s="1257" t="s">
        <v>283</v>
      </c>
      <c r="B130" s="1258">
        <v>1</v>
      </c>
      <c r="C130" s="324"/>
      <c r="D130" s="324"/>
      <c r="E130" s="324"/>
      <c r="F130" s="324"/>
    </row>
    <row r="131" spans="1:6">
      <c r="A131" s="1257" t="s">
        <v>284</v>
      </c>
      <c r="B131" s="1258">
        <v>0</v>
      </c>
      <c r="C131" s="324"/>
      <c r="D131" s="324"/>
      <c r="E131" s="324"/>
      <c r="F131" s="324"/>
    </row>
    <row r="132" spans="1:6">
      <c r="A132" s="1252" t="s">
        <v>285</v>
      </c>
      <c r="B132" s="1253">
        <v>11</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20618.476926224135</v>
      </c>
      <c r="C3" s="43" t="s">
        <v>163</v>
      </c>
      <c r="D3" s="43"/>
      <c r="E3" s="153"/>
      <c r="F3" s="43"/>
      <c r="G3" s="43"/>
      <c r="H3" s="43"/>
      <c r="I3" s="43"/>
      <c r="J3" s="43"/>
      <c r="K3" s="96"/>
    </row>
    <row r="4" spans="1:11">
      <c r="A4" s="350" t="s">
        <v>164</v>
      </c>
      <c r="B4" s="49">
        <f>IF(ISERROR('SEAP template'!B78+'SEAP template'!C78),0,'SEAP template'!B78+'SEAP template'!C78)</f>
        <v>2230.1810488131819</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0.19709571194073777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377.62700000000001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377.62700000000001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0.19709571194073777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74.428662413044989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10399.7829</v>
      </c>
      <c r="C5" s="17">
        <f>IF(ISERROR('Eigen informatie GS &amp; warmtenet'!B59),0,'Eigen informatie GS &amp; warmtenet'!B59)</f>
        <v>0</v>
      </c>
      <c r="D5" s="30">
        <f>(SUM(HH_hh_gas_kWh,HH_rest_gas_kWh)/1000)*0.902</f>
        <v>15940.607222099999</v>
      </c>
      <c r="E5" s="17">
        <f>B32*B41</f>
        <v>1318.1447146109615</v>
      </c>
      <c r="F5" s="17">
        <f>B36*B45</f>
        <v>25366.76986069257</v>
      </c>
      <c r="G5" s="18"/>
      <c r="H5" s="17"/>
      <c r="I5" s="17"/>
      <c r="J5" s="17">
        <f>B35*B44+C35*C44</f>
        <v>129.8044613268502</v>
      </c>
      <c r="K5" s="17"/>
      <c r="L5" s="17"/>
      <c r="M5" s="17"/>
      <c r="N5" s="17">
        <f>B34*B43+C34*C43</f>
        <v>4658.8465835282641</v>
      </c>
      <c r="O5" s="17">
        <f>B52*B53*B54</f>
        <v>132.92520069893112</v>
      </c>
      <c r="P5" s="17">
        <f>B60*B61*B62/1000-B60*B61*B62/1000/B63</f>
        <v>273.88294199981061</v>
      </c>
    </row>
    <row r="6" spans="1:16">
      <c r="A6" s="16" t="s">
        <v>573</v>
      </c>
      <c r="B6" s="738">
        <f>kWh_PV_kleiner_dan_10kW</f>
        <v>1961.8623673701918</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12361.645267370192</v>
      </c>
      <c r="C8" s="21">
        <f>C5</f>
        <v>0</v>
      </c>
      <c r="D8" s="21">
        <f>D5</f>
        <v>15940.607222099999</v>
      </c>
      <c r="E8" s="21">
        <f>E5</f>
        <v>1318.1447146109615</v>
      </c>
      <c r="F8" s="21">
        <f>F5</f>
        <v>25366.76986069257</v>
      </c>
      <c r="G8" s="21"/>
      <c r="H8" s="21"/>
      <c r="I8" s="21"/>
      <c r="J8" s="21">
        <f>J5</f>
        <v>129.8044613268502</v>
      </c>
      <c r="K8" s="21"/>
      <c r="L8" s="21">
        <f>L5</f>
        <v>0</v>
      </c>
      <c r="M8" s="21">
        <f>M5</f>
        <v>0</v>
      </c>
      <c r="N8" s="21">
        <f>N5</f>
        <v>4658.8465835282641</v>
      </c>
      <c r="O8" s="21">
        <f>O5</f>
        <v>132.92520069893112</v>
      </c>
      <c r="P8" s="21">
        <f>P5</f>
        <v>273.88294199981061</v>
      </c>
    </row>
    <row r="9" spans="1:16">
      <c r="B9" s="19"/>
      <c r="C9" s="19"/>
      <c r="D9" s="255"/>
      <c r="E9" s="19"/>
      <c r="F9" s="19"/>
      <c r="G9" s="19"/>
      <c r="H9" s="19"/>
      <c r="I9" s="19"/>
      <c r="J9" s="19"/>
      <c r="K9" s="19"/>
      <c r="L9" s="19"/>
      <c r="M9" s="19"/>
      <c r="N9" s="19"/>
      <c r="O9" s="19"/>
      <c r="P9" s="19"/>
    </row>
    <row r="10" spans="1:16">
      <c r="A10" s="24" t="s">
        <v>207</v>
      </c>
      <c r="B10" s="25">
        <f ca="1">'EF ele_warmte'!B12</f>
        <v>0.19709571194073777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2436.4272747311798</v>
      </c>
      <c r="C12" s="23">
        <f ca="1">C10*C8</f>
        <v>0</v>
      </c>
      <c r="D12" s="23">
        <f>D8*D10</f>
        <v>3220.0026588641999</v>
      </c>
      <c r="E12" s="23">
        <f>E10*E8</f>
        <v>299.21885021668828</v>
      </c>
      <c r="F12" s="23">
        <f>F10*F8</f>
        <v>6772.9275528049166</v>
      </c>
      <c r="G12" s="23"/>
      <c r="H12" s="23"/>
      <c r="I12" s="23"/>
      <c r="J12" s="23">
        <f>J10*J8</f>
        <v>45.95077930970497</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2957</v>
      </c>
      <c r="C26" s="36"/>
      <c r="D26" s="225"/>
    </row>
    <row r="27" spans="1:7" s="15" customFormat="1">
      <c r="A27" s="227" t="s">
        <v>774</v>
      </c>
      <c r="B27" s="37">
        <f>SUM(HH_hh_gas_aantal,HH_rest_gas_aantal)</f>
        <v>1096</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1041.2</v>
      </c>
      <c r="C31" s="165" t="s">
        <v>104</v>
      </c>
      <c r="D31" s="230"/>
      <c r="G31" s="15"/>
    </row>
    <row r="32" spans="1:7">
      <c r="A32" s="168" t="s">
        <v>72</v>
      </c>
      <c r="B32" s="165">
        <f>IF((B21*($B$26-($B$27-0.05*$B$27)-$B$60))&lt;0,0,B21*($B$26-($B$27-0.05*$B$27)-$B$60))</f>
        <v>21.30403162062094</v>
      </c>
      <c r="C32" s="165" t="s">
        <v>104</v>
      </c>
      <c r="D32" s="230"/>
      <c r="G32" s="15"/>
    </row>
    <row r="33" spans="1:7">
      <c r="A33" s="168" t="s">
        <v>73</v>
      </c>
      <c r="B33" s="165">
        <f>IF((B22*($B$26-($B$27-0.05*$B$27)-$B$60))&lt;0,0,B22*($B$26-($B$27-0.05*$B$27)-$B$60))</f>
        <v>442.92870786407701</v>
      </c>
      <c r="C33" s="165" t="s">
        <v>104</v>
      </c>
      <c r="D33" s="230"/>
      <c r="G33" s="15"/>
    </row>
    <row r="34" spans="1:7">
      <c r="A34" s="168" t="s">
        <v>74</v>
      </c>
      <c r="B34" s="165">
        <f>IF((B24*($B$26-($B$27-0.05*$B$27)-$B$60))&lt;0,0,B24*($B$26-($B$27-0.05*$B$27)-$B$60))</f>
        <v>187.02403860406082</v>
      </c>
      <c r="C34" s="165">
        <f>B26*C24</f>
        <v>510.26718781110742</v>
      </c>
      <c r="D34" s="230"/>
      <c r="G34" s="15"/>
    </row>
    <row r="35" spans="1:7">
      <c r="A35" s="168" t="s">
        <v>76</v>
      </c>
      <c r="B35" s="165">
        <f>IF((B19*($B$26-($B$27-0.05*$B$27)-$B$60))&lt;0,0,B19*($B$26-($B$27-0.05*$B$27)-$B$60))</f>
        <v>16.124854708647224</v>
      </c>
      <c r="C35" s="165">
        <f>B35/2</f>
        <v>8.0624273543236118</v>
      </c>
      <c r="D35" s="231"/>
      <c r="G35" s="15"/>
    </row>
    <row r="36" spans="1:7">
      <c r="A36" s="168" t="s">
        <v>77</v>
      </c>
      <c r="B36" s="165">
        <f>IF((B18*($B$26-($B$27-0.05*$B$27)-$B$60))&lt;0,0,B18*($B$26-($B$27-0.05*$B$27)-$B$60))</f>
        <v>1222.418367202594</v>
      </c>
      <c r="C36" s="165" t="s">
        <v>104</v>
      </c>
      <c r="D36" s="231"/>
      <c r="G36" s="15"/>
    </row>
    <row r="37" spans="1:7">
      <c r="A37" s="168" t="s">
        <v>78</v>
      </c>
      <c r="B37" s="165">
        <f>B60</f>
        <v>26</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67</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26</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5086.2317839999996</v>
      </c>
      <c r="C5" s="17">
        <f>IF(ISERROR('Eigen informatie GS &amp; warmtenet'!B60),0,'Eigen informatie GS &amp; warmtenet'!B60)</f>
        <v>0</v>
      </c>
      <c r="D5" s="30">
        <f>SUM(D6:D12)</f>
        <v>3547.0853088659997</v>
      </c>
      <c r="E5" s="17">
        <f>SUM(E6:E12)</f>
        <v>17.778039909896826</v>
      </c>
      <c r="F5" s="17">
        <f>SUM(F6:F12)</f>
        <v>1327.7531083462015</v>
      </c>
      <c r="G5" s="18"/>
      <c r="H5" s="17"/>
      <c r="I5" s="17"/>
      <c r="J5" s="17">
        <f>SUM(J6:J12)</f>
        <v>1.2140490343407346E-2</v>
      </c>
      <c r="K5" s="17"/>
      <c r="L5" s="17"/>
      <c r="M5" s="17"/>
      <c r="N5" s="17">
        <f>SUM(N6:N12)</f>
        <v>446.44874157770045</v>
      </c>
      <c r="O5" s="17">
        <f>B38*B39*B40</f>
        <v>4.8972607658411542</v>
      </c>
      <c r="P5" s="17">
        <f>B46*B47*B48/1000-B46*B47*B48/1000/B49</f>
        <v>0</v>
      </c>
      <c r="R5" s="32"/>
    </row>
    <row r="6" spans="1:18">
      <c r="A6" s="32" t="s">
        <v>53</v>
      </c>
      <c r="B6" s="37">
        <f>B26</f>
        <v>1036.7501999999999</v>
      </c>
      <c r="C6" s="33"/>
      <c r="D6" s="37">
        <f>IF(ISERROR(TER_kantoor_gas_kWh/1000),0,TER_kantoor_gas_kWh/1000)*0.902</f>
        <v>1934.9045837659999</v>
      </c>
      <c r="E6" s="33">
        <f>$C$26*'E Balans VL '!I12/100/3.6*1000000</f>
        <v>0.27072520474066486</v>
      </c>
      <c r="F6" s="33">
        <f>$C$26*('E Balans VL '!L12+'E Balans VL '!N12)/100/3.6*1000000</f>
        <v>103.58813931840483</v>
      </c>
      <c r="G6" s="34"/>
      <c r="H6" s="33"/>
      <c r="I6" s="33"/>
      <c r="J6" s="33">
        <f>$C$26*('E Balans VL '!D12+'E Balans VL '!E12)/100/3.6*1000000</f>
        <v>0</v>
      </c>
      <c r="K6" s="33"/>
      <c r="L6" s="33"/>
      <c r="M6" s="33"/>
      <c r="N6" s="33">
        <f>$C$26*'E Balans VL '!Y12/100/3.6*1000000</f>
        <v>0.73505048465001088</v>
      </c>
      <c r="O6" s="33"/>
      <c r="P6" s="33"/>
      <c r="R6" s="32"/>
    </row>
    <row r="7" spans="1:18">
      <c r="A7" s="32" t="s">
        <v>52</v>
      </c>
      <c r="B7" s="37">
        <f t="shared" ref="B7:B12" si="0">B27</f>
        <v>824.07100000000003</v>
      </c>
      <c r="C7" s="33"/>
      <c r="D7" s="37">
        <f>IF(ISERROR(TER_horeca_gas_kWh/1000),0,TER_horeca_gas_kWh/1000)*0.902</f>
        <v>583.68059200000005</v>
      </c>
      <c r="E7" s="33">
        <f>$C$27*'E Balans VL '!I9/100/3.6*1000000</f>
        <v>0</v>
      </c>
      <c r="F7" s="33">
        <f>$C$27*('E Balans VL '!L9+'E Balans VL '!N9)/100/3.6*1000000</f>
        <v>67.678043889619644</v>
      </c>
      <c r="G7" s="34"/>
      <c r="H7" s="33"/>
      <c r="I7" s="33"/>
      <c r="J7" s="33">
        <f>$C$27*('E Balans VL '!D9+'E Balans VL '!E9)/100/3.6*1000000</f>
        <v>0</v>
      </c>
      <c r="K7" s="33"/>
      <c r="L7" s="33"/>
      <c r="M7" s="33"/>
      <c r="N7" s="33">
        <f>$C$27*'E Balans VL '!Y9/100/3.6*1000000</f>
        <v>10.413844879711897</v>
      </c>
      <c r="O7" s="33"/>
      <c r="P7" s="33"/>
      <c r="R7" s="32"/>
    </row>
    <row r="8" spans="1:18">
      <c r="A8" s="6" t="s">
        <v>51</v>
      </c>
      <c r="B8" s="37">
        <f t="shared" si="0"/>
        <v>1737.1745840000001</v>
      </c>
      <c r="C8" s="33"/>
      <c r="D8" s="37">
        <f>IF(ISERROR(TER_handel_gas_kWh/1000),0,TER_handel_gas_kWh/1000)*0.902</f>
        <v>386.95443710000001</v>
      </c>
      <c r="E8" s="33">
        <f>$C$28*'E Balans VL '!I13/100/3.6*1000000</f>
        <v>6.3845724474490639</v>
      </c>
      <c r="F8" s="33">
        <f>$C$28*('E Balans VL '!L13+'E Balans VL '!N13)/100/3.6*1000000</f>
        <v>165.92944500560327</v>
      </c>
      <c r="G8" s="34"/>
      <c r="H8" s="33"/>
      <c r="I8" s="33"/>
      <c r="J8" s="33">
        <f>$C$28*('E Balans VL '!D13+'E Balans VL '!E13)/100/3.6*1000000</f>
        <v>0</v>
      </c>
      <c r="K8" s="33"/>
      <c r="L8" s="33"/>
      <c r="M8" s="33"/>
      <c r="N8" s="33">
        <f>$C$28*'E Balans VL '!Y13/100/3.6*1000000</f>
        <v>0.68735916359576743</v>
      </c>
      <c r="O8" s="33"/>
      <c r="P8" s="33"/>
      <c r="R8" s="32"/>
    </row>
    <row r="9" spans="1:18">
      <c r="A9" s="32" t="s">
        <v>50</v>
      </c>
      <c r="B9" s="37">
        <f t="shared" si="0"/>
        <v>197.35900000000001</v>
      </c>
      <c r="C9" s="33"/>
      <c r="D9" s="37">
        <f>IF(ISERROR(TER_gezond_gas_kWh/1000),0,TER_gezond_gas_kWh/1000)*0.902</f>
        <v>112.60838600000001</v>
      </c>
      <c r="E9" s="33">
        <f>$C$29*'E Balans VL '!I10/100/3.6*1000000</f>
        <v>0</v>
      </c>
      <c r="F9" s="33">
        <f>$C$29*('E Balans VL '!L10+'E Balans VL '!N10)/100/3.6*1000000</f>
        <v>13.332519547445354</v>
      </c>
      <c r="G9" s="34"/>
      <c r="H9" s="33"/>
      <c r="I9" s="33"/>
      <c r="J9" s="33">
        <f>$C$29*('E Balans VL '!D10+'E Balans VL '!E10)/100/3.6*1000000</f>
        <v>0</v>
      </c>
      <c r="K9" s="33"/>
      <c r="L9" s="33"/>
      <c r="M9" s="33"/>
      <c r="N9" s="33">
        <f>$C$29*'E Balans VL '!Y10/100/3.6*1000000</f>
        <v>1.5356002709720438</v>
      </c>
      <c r="O9" s="33"/>
      <c r="P9" s="33"/>
      <c r="R9" s="32"/>
    </row>
    <row r="10" spans="1:18">
      <c r="A10" s="32" t="s">
        <v>49</v>
      </c>
      <c r="B10" s="37">
        <f t="shared" si="0"/>
        <v>1226.6189999999999</v>
      </c>
      <c r="C10" s="33"/>
      <c r="D10" s="37">
        <f>IF(ISERROR(TER_ander_gas_kWh/1000),0,TER_ander_gas_kWh/1000)*0.902</f>
        <v>148.35013599999999</v>
      </c>
      <c r="E10" s="33">
        <f>$C$30*'E Balans VL '!I14/100/3.6*1000000</f>
        <v>11.122742257707097</v>
      </c>
      <c r="F10" s="33">
        <f>$C$30*('E Balans VL '!L14+'E Balans VL '!N14)/100/3.6*1000000</f>
        <v>969.57739461998619</v>
      </c>
      <c r="G10" s="34"/>
      <c r="H10" s="33"/>
      <c r="I10" s="33"/>
      <c r="J10" s="33">
        <f>$C$30*('E Balans VL '!D14+'E Balans VL '!E14)/100/3.6*1000000</f>
        <v>1.2140490343407346E-2</v>
      </c>
      <c r="K10" s="33"/>
      <c r="L10" s="33"/>
      <c r="M10" s="33"/>
      <c r="N10" s="33">
        <f>$C$30*'E Balans VL '!Y14/100/3.6*1000000</f>
        <v>432.93397855467947</v>
      </c>
      <c r="O10" s="33"/>
      <c r="P10" s="33"/>
      <c r="R10" s="32"/>
    </row>
    <row r="11" spans="1:18">
      <c r="A11" s="32" t="s">
        <v>54</v>
      </c>
      <c r="B11" s="37">
        <f t="shared" si="0"/>
        <v>64.257999999999996</v>
      </c>
      <c r="C11" s="33"/>
      <c r="D11" s="37">
        <f>IF(ISERROR(TER_onderwijs_gas_kWh/1000),0,TER_onderwijs_gas_kWh/1000)*0.902</f>
        <v>380.587174</v>
      </c>
      <c r="E11" s="33">
        <f>$C$31*'E Balans VL '!I11/100/3.6*1000000</f>
        <v>0</v>
      </c>
      <c r="F11" s="33">
        <f>$C$31*('E Balans VL '!L11+'E Balans VL '!N11)/100/3.6*1000000</f>
        <v>7.6475659651422108</v>
      </c>
      <c r="G11" s="34"/>
      <c r="H11" s="33"/>
      <c r="I11" s="33"/>
      <c r="J11" s="33">
        <f>$C$31*('E Balans VL '!D11+'E Balans VL '!E11)/100/3.6*1000000</f>
        <v>0</v>
      </c>
      <c r="K11" s="33"/>
      <c r="L11" s="33"/>
      <c r="M11" s="33"/>
      <c r="N11" s="33">
        <f>$C$31*'E Balans VL '!Y11/100/3.6*1000000</f>
        <v>0.14290822409128981</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5086.2317839999996</v>
      </c>
      <c r="C16" s="21">
        <f t="shared" ca="1" si="1"/>
        <v>0</v>
      </c>
      <c r="D16" s="21">
        <f t="shared" ca="1" si="1"/>
        <v>3547.0853088659997</v>
      </c>
      <c r="E16" s="21">
        <f t="shared" si="1"/>
        <v>17.778039909896826</v>
      </c>
      <c r="F16" s="21">
        <f t="shared" ca="1" si="1"/>
        <v>1327.7531083462015</v>
      </c>
      <c r="G16" s="21">
        <f t="shared" si="1"/>
        <v>0</v>
      </c>
      <c r="H16" s="21">
        <f t="shared" si="1"/>
        <v>0</v>
      </c>
      <c r="I16" s="21">
        <f t="shared" si="1"/>
        <v>0</v>
      </c>
      <c r="J16" s="21">
        <f t="shared" si="1"/>
        <v>1.2140490343407346E-2</v>
      </c>
      <c r="K16" s="21">
        <f t="shared" si="1"/>
        <v>0</v>
      </c>
      <c r="L16" s="21">
        <f t="shared" ca="1" si="1"/>
        <v>0</v>
      </c>
      <c r="M16" s="21">
        <f t="shared" si="1"/>
        <v>0</v>
      </c>
      <c r="N16" s="21">
        <f t="shared" ca="1" si="1"/>
        <v>446.44874157770045</v>
      </c>
      <c r="O16" s="21">
        <f>O5</f>
        <v>4.8972607658411542</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0.19709571194073777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1002.4744745630887</v>
      </c>
      <c r="C20" s="23">
        <f t="shared" ref="C20:P20" ca="1" si="2">C16*C18</f>
        <v>0</v>
      </c>
      <c r="D20" s="23">
        <f t="shared" ca="1" si="2"/>
        <v>716.51123239093192</v>
      </c>
      <c r="E20" s="23">
        <f t="shared" si="2"/>
        <v>4.0356150595465801</v>
      </c>
      <c r="F20" s="23">
        <f t="shared" ca="1" si="2"/>
        <v>354.51007992843586</v>
      </c>
      <c r="G20" s="23">
        <f t="shared" si="2"/>
        <v>0</v>
      </c>
      <c r="H20" s="23">
        <f t="shared" si="2"/>
        <v>0</v>
      </c>
      <c r="I20" s="23">
        <f t="shared" si="2"/>
        <v>0</v>
      </c>
      <c r="J20" s="23">
        <f t="shared" si="2"/>
        <v>4.2977335815662003E-3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1036.7501999999999</v>
      </c>
      <c r="C26" s="39">
        <f>IF(ISERROR(B26*3.6/1000000/'E Balans VL '!Z12*100),0,B26*3.6/1000000/'E Balans VL '!Z12*100)</f>
        <v>2.9013678710541155E-2</v>
      </c>
      <c r="D26" s="234" t="s">
        <v>667</v>
      </c>
      <c r="F26" s="6"/>
    </row>
    <row r="27" spans="1:18">
      <c r="A27" s="228" t="s">
        <v>52</v>
      </c>
      <c r="B27" s="33">
        <f>IF(ISERROR(TER_horeca_ele_kWh/1000),0,TER_horeca_ele_kWh/1000)</f>
        <v>824.07100000000003</v>
      </c>
      <c r="C27" s="39">
        <f>IF(ISERROR(B27*3.6/1000000/'E Balans VL '!Z9*100),0,B27*3.6/1000000/'E Balans VL '!Z9*100)</f>
        <v>6.1420021281546555E-2</v>
      </c>
      <c r="D27" s="234" t="s">
        <v>667</v>
      </c>
      <c r="F27" s="6"/>
    </row>
    <row r="28" spans="1:18">
      <c r="A28" s="168" t="s">
        <v>51</v>
      </c>
      <c r="B28" s="33">
        <f>IF(ISERROR(TER_handel_ele_kWh/1000),0,TER_handel_ele_kWh/1000)</f>
        <v>1737.1745840000001</v>
      </c>
      <c r="C28" s="39">
        <f>IF(ISERROR(B28*3.6/1000000/'E Balans VL '!Z13*100),0,B28*3.6/1000000/'E Balans VL '!Z13*100)</f>
        <v>5.0330546765711283E-2</v>
      </c>
      <c r="D28" s="234" t="s">
        <v>667</v>
      </c>
      <c r="F28" s="6"/>
    </row>
    <row r="29" spans="1:18">
      <c r="A29" s="228" t="s">
        <v>50</v>
      </c>
      <c r="B29" s="33">
        <f>IF(ISERROR(TER_gezond_ele_kWh/1000),0,TER_gezond_ele_kWh/1000)</f>
        <v>197.35900000000001</v>
      </c>
      <c r="C29" s="39">
        <f>IF(ISERROR(B29*3.6/1000000/'E Balans VL '!Z10*100),0,B29*3.6/1000000/'E Balans VL '!Z10*100)</f>
        <v>1.9903890510193513E-2</v>
      </c>
      <c r="D29" s="234" t="s">
        <v>667</v>
      </c>
      <c r="F29" s="6"/>
    </row>
    <row r="30" spans="1:18">
      <c r="A30" s="228" t="s">
        <v>49</v>
      </c>
      <c r="B30" s="33">
        <f>IF(ISERROR(TER_ander_ele_kWh/1000),0,TER_ander_ele_kWh/1000)</f>
        <v>1226.6189999999999</v>
      </c>
      <c r="C30" s="39">
        <f>IF(ISERROR(B30*3.6/1000000/'E Balans VL '!Z14*100),0,B30*3.6/1000000/'E Balans VL '!Z14*100)</f>
        <v>4.9722144751156355E-2</v>
      </c>
      <c r="D30" s="234" t="s">
        <v>667</v>
      </c>
      <c r="F30" s="6"/>
    </row>
    <row r="31" spans="1:18">
      <c r="A31" s="228" t="s">
        <v>54</v>
      </c>
      <c r="B31" s="33">
        <f>IF(ISERROR(TER_onderwijs_ele_kWh/1000),0,TER_onderwijs_ele_kWh/1000)</f>
        <v>64.257999999999996</v>
      </c>
      <c r="C31" s="39">
        <f>IF(ISERROR(B31*3.6/1000000/'E Balans VL '!Z11*100),0,B31*3.6/1000000/'E Balans VL '!Z11*100)</f>
        <v>1.8316146707603391E-2</v>
      </c>
      <c r="D31" s="234" t="s">
        <v>667</v>
      </c>
    </row>
    <row r="32" spans="1:18">
      <c r="A32" s="228" t="s">
        <v>248</v>
      </c>
      <c r="B32" s="33">
        <f>IF(ISERROR(TER_rest_ele_kWh/1000),0,TER_rest_ele_kWh/1000)</f>
        <v>0</v>
      </c>
      <c r="C32" s="39">
        <f>IF(ISERROR(B32*3.6/1000000/'E Balans VL '!Z8*100),0,B32*3.6/1000000/'E Balans VL '!Z8*100)</f>
        <v>0</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1</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0</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510.15100000000001</v>
      </c>
      <c r="C5" s="17">
        <f>IF(ISERROR('Eigen informatie GS &amp; warmtenet'!B61),0,'Eigen informatie GS &amp; warmtenet'!B61)</f>
        <v>0</v>
      </c>
      <c r="D5" s="30">
        <f>SUM(D6:D15)</f>
        <v>345.32258200000001</v>
      </c>
      <c r="E5" s="17">
        <f>SUM(E6:E15)</f>
        <v>2.1582796446578429</v>
      </c>
      <c r="F5" s="17">
        <f>SUM(F6:F15)</f>
        <v>162.00847427700214</v>
      </c>
      <c r="G5" s="18"/>
      <c r="H5" s="17"/>
      <c r="I5" s="17"/>
      <c r="J5" s="17">
        <f>SUM(J6:J15)</f>
        <v>0.14837246618189234</v>
      </c>
      <c r="K5" s="17"/>
      <c r="L5" s="17"/>
      <c r="M5" s="17"/>
      <c r="N5" s="17">
        <f>SUM(N6:N15)</f>
        <v>21.568658178993243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116.48399999999999</v>
      </c>
      <c r="C8" s="33"/>
      <c r="D8" s="37">
        <f>IF( ISERROR(IND_metaal_Gas_kWH/1000),0,IND_metaal_Gas_kWH/1000)*0.902</f>
        <v>61.116814000000005</v>
      </c>
      <c r="E8" s="33">
        <f>C30*'E Balans VL '!I18/100/3.6*1000000</f>
        <v>0.83591699802267794</v>
      </c>
      <c r="F8" s="33">
        <f>C30*'E Balans VL '!L18/100/3.6*1000000+C30*'E Balans VL '!N18/100/3.6*1000000</f>
        <v>7.7530916483372616</v>
      </c>
      <c r="G8" s="34"/>
      <c r="H8" s="33"/>
      <c r="I8" s="33"/>
      <c r="J8" s="40">
        <f>C30*'E Balans VL '!D18/100/3.6*1000000+C30*'E Balans VL '!E18/100/3.6*1000000</f>
        <v>0.11229555698798491</v>
      </c>
      <c r="K8" s="33"/>
      <c r="L8" s="33"/>
      <c r="M8" s="33"/>
      <c r="N8" s="33">
        <f>C30*'E Balans VL '!Y18/100/3.6*1000000</f>
        <v>1.4115179383867966</v>
      </c>
      <c r="O8" s="33"/>
      <c r="P8" s="33"/>
      <c r="R8" s="32"/>
    </row>
    <row r="9" spans="1:18">
      <c r="A9" s="6" t="s">
        <v>32</v>
      </c>
      <c r="B9" s="37">
        <f t="shared" si="0"/>
        <v>217.35499999999999</v>
      </c>
      <c r="C9" s="33"/>
      <c r="D9" s="37">
        <f>IF( ISERROR(IND_andere_gas_kWh/1000),0,IND_andere_gas_kWh/1000)*0.902</f>
        <v>181.35161000000002</v>
      </c>
      <c r="E9" s="33">
        <f>C31*'E Balans VL '!I19/100/3.6*1000000</f>
        <v>0.57146464038739753</v>
      </c>
      <c r="F9" s="33">
        <f>C31*'E Balans VL '!L19/100/3.6*1000000+C31*'E Balans VL '!N19/100/3.6*1000000</f>
        <v>143.54225690360124</v>
      </c>
      <c r="G9" s="34"/>
      <c r="H9" s="33"/>
      <c r="I9" s="33"/>
      <c r="J9" s="40">
        <f>C31*'E Balans VL '!D19/100/3.6*1000000+C31*'E Balans VL '!E19/100/3.6*1000000</f>
        <v>0</v>
      </c>
      <c r="K9" s="33"/>
      <c r="L9" s="33"/>
      <c r="M9" s="33"/>
      <c r="N9" s="33">
        <f>C31*'E Balans VL '!Y19/100/3.6*1000000</f>
        <v>11.604237604234863</v>
      </c>
      <c r="O9" s="33"/>
      <c r="P9" s="33"/>
      <c r="R9" s="32"/>
    </row>
    <row r="10" spans="1:18">
      <c r="A10" s="6" t="s">
        <v>40</v>
      </c>
      <c r="B10" s="37">
        <f t="shared" si="0"/>
        <v>155.416</v>
      </c>
      <c r="C10" s="33"/>
      <c r="D10" s="37">
        <f>IF( ISERROR(IND_voed_gas_kWh/1000),0,IND_voed_gas_kWh/1000)*0.902</f>
        <v>0</v>
      </c>
      <c r="E10" s="33">
        <f>C32*'E Balans VL '!I20/100/3.6*1000000</f>
        <v>0.26237773625906896</v>
      </c>
      <c r="F10" s="33">
        <f>C32*'E Balans VL '!L20/100/3.6*1000000+C32*'E Balans VL '!N20/100/3.6*1000000</f>
        <v>9.1222409065014372</v>
      </c>
      <c r="G10" s="34"/>
      <c r="H10" s="33"/>
      <c r="I10" s="33"/>
      <c r="J10" s="40">
        <f>C32*'E Balans VL '!D20/100/3.6*1000000+C32*'E Balans VL '!E20/100/3.6*1000000</f>
        <v>0</v>
      </c>
      <c r="K10" s="33"/>
      <c r="L10" s="33"/>
      <c r="M10" s="33"/>
      <c r="N10" s="33">
        <f>C32*'E Balans VL '!Y20/100/3.6*1000000</f>
        <v>8.4616231873856691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11.509</v>
      </c>
      <c r="C13" s="33"/>
      <c r="D13" s="37">
        <f>IF( ISERROR(IND_papier_gas_kWh/1000),0,IND_papier_gas_kWh/1000)*0.902</f>
        <v>0</v>
      </c>
      <c r="E13" s="33">
        <f>C35*'E Balans VL '!I23/100/3.6*1000000</f>
        <v>4.0718953381058492E-2</v>
      </c>
      <c r="F13" s="33">
        <f>C35*'E Balans VL '!L23/100/3.6*1000000+C35*'E Balans VL '!N23/100/3.6*1000000</f>
        <v>0.10669728611220737</v>
      </c>
      <c r="G13" s="34"/>
      <c r="H13" s="33"/>
      <c r="I13" s="33"/>
      <c r="J13" s="40">
        <f>C35*'E Balans VL '!D23/100/3.6*1000000+C35*'E Balans VL '!E23/100/3.6*1000000</f>
        <v>0</v>
      </c>
      <c r="K13" s="33"/>
      <c r="L13" s="33"/>
      <c r="M13" s="33"/>
      <c r="N13" s="33">
        <f>C35*'E Balans VL '!Y23/100/3.6*1000000</f>
        <v>-0.2507088636461362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9.3870000000000005</v>
      </c>
      <c r="C15" s="33"/>
      <c r="D15" s="37">
        <f>IF( ISERROR(IND_rest_gas_kWh/1000),0,IND_rest_gas_kWh/1000)*0.902</f>
        <v>102.854158</v>
      </c>
      <c r="E15" s="33">
        <f>C37*'E Balans VL '!I15/100/3.6*1000000</f>
        <v>0.44780131660763983</v>
      </c>
      <c r="F15" s="33">
        <f>C37*'E Balans VL '!L15/100/3.6*1000000+C37*'E Balans VL '!N15/100/3.6*1000000</f>
        <v>1.4841875324499965</v>
      </c>
      <c r="G15" s="34"/>
      <c r="H15" s="33"/>
      <c r="I15" s="33"/>
      <c r="J15" s="40">
        <f>C37*'E Balans VL '!D15/100/3.6*1000000+C37*'E Balans VL '!E15/100/3.6*1000000</f>
        <v>3.6076909193907436E-2</v>
      </c>
      <c r="K15" s="33"/>
      <c r="L15" s="33"/>
      <c r="M15" s="33"/>
      <c r="N15" s="33">
        <f>C37*'E Balans VL '!Y15/100/3.6*1000000</f>
        <v>0.34198831263205148</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510.15100000000001</v>
      </c>
      <c r="C18" s="21">
        <f>C5+C16</f>
        <v>0</v>
      </c>
      <c r="D18" s="21">
        <f>MAX((D5+D16),0)</f>
        <v>345.32258200000001</v>
      </c>
      <c r="E18" s="21">
        <f>MAX((E5+E16),0)</f>
        <v>2.1582796446578429</v>
      </c>
      <c r="F18" s="21">
        <f>MAX((F5+F16),0)</f>
        <v>162.00847427700214</v>
      </c>
      <c r="G18" s="21"/>
      <c r="H18" s="21"/>
      <c r="I18" s="21"/>
      <c r="J18" s="21">
        <f>MAX((J5+J16),0)</f>
        <v>0.14837246618189234</v>
      </c>
      <c r="K18" s="21"/>
      <c r="L18" s="21">
        <f>MAX((L5+L16),0)</f>
        <v>0</v>
      </c>
      <c r="M18" s="21"/>
      <c r="N18" s="21">
        <f>MAX((N5+N16),0)</f>
        <v>21.568658178993243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0.19709571194073777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100.54857454227931</v>
      </c>
      <c r="C22" s="23">
        <f ca="1">C18*C20</f>
        <v>0</v>
      </c>
      <c r="D22" s="23">
        <f>D18*D20</f>
        <v>69.755161564000005</v>
      </c>
      <c r="E22" s="23">
        <f>E18*E20</f>
        <v>0.48992947933733039</v>
      </c>
      <c r="F22" s="23">
        <f>F18*F20</f>
        <v>43.256262631959572</v>
      </c>
      <c r="G22" s="23"/>
      <c r="H22" s="23"/>
      <c r="I22" s="23"/>
      <c r="J22" s="23">
        <f>J18*J20</f>
        <v>5.252385302838989E-2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116.48399999999999</v>
      </c>
      <c r="C30" s="39">
        <f>IF(ISERROR(B30*3.6/1000000/'E Balans VL '!Z18*100),0,B30*3.6/1000000/'E Balans VL '!Z18*100)</f>
        <v>6.4452275107495958E-3</v>
      </c>
      <c r="D30" s="234" t="s">
        <v>667</v>
      </c>
    </row>
    <row r="31" spans="1:18">
      <c r="A31" s="6" t="s">
        <v>32</v>
      </c>
      <c r="B31" s="37">
        <f>IF( ISERROR(IND_ander_ele_kWh/1000),0,IND_ander_ele_kWh/1000)</f>
        <v>217.35499999999999</v>
      </c>
      <c r="C31" s="39">
        <f>IF(ISERROR(B31*3.6/1000000/'E Balans VL '!Z19*100),0,B31*3.6/1000000/'E Balans VL '!Z19*100)</f>
        <v>9.4817042421072775E-3</v>
      </c>
      <c r="D31" s="234" t="s">
        <v>667</v>
      </c>
    </row>
    <row r="32" spans="1:18">
      <c r="A32" s="168" t="s">
        <v>40</v>
      </c>
      <c r="B32" s="37">
        <f>IF( ISERROR(IND_voed_ele_kWh/1000),0,IND_voed_ele_kWh/1000)</f>
        <v>155.416</v>
      </c>
      <c r="C32" s="39">
        <f>IF(ISERROR(B32*3.6/1000000/'E Balans VL '!Z20*100),0,B32*3.6/1000000/'E Balans VL '!Z20*100)</f>
        <v>4.8783979844145521E-3</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11.509</v>
      </c>
      <c r="C35" s="39">
        <f>IF(ISERROR(B35*3.6/1000000/'E Balans VL '!Z22*100),0,B35*3.6/1000000/'E Balans VL '!Z22*100)</f>
        <v>5.1622620836587552E-3</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9.3870000000000005</v>
      </c>
      <c r="C37" s="39">
        <f>IF(ISERROR(B37*3.6/1000000/'E Balans VL '!Z15*100),0,B37*3.6/1000000/'E Balans VL '!Z15*100)</f>
        <v>7.6395329524886276E-5</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1999.9498330000001</v>
      </c>
      <c r="C5" s="17">
        <f>'Eigen informatie GS &amp; warmtenet'!B62</f>
        <v>0</v>
      </c>
      <c r="D5" s="30">
        <f>IF(ISERROR(SUM(LB_lb_gas_kWh,LB_rest_gas_kWh)/1000),0,SUM(LB_lb_gas_kWh,LB_rest_gas_kWh)/1000)*0.902</f>
        <v>2420.2224221340002</v>
      </c>
      <c r="E5" s="17">
        <f>B17*'E Balans VL '!I25/3.6*1000000/100</f>
        <v>81.250861707685729</v>
      </c>
      <c r="F5" s="17">
        <f>B17*('E Balans VL '!L25/3.6*1000000+'E Balans VL '!N25/3.6*1000000)/100</f>
        <v>7074.5223607008802</v>
      </c>
      <c r="G5" s="18"/>
      <c r="H5" s="17"/>
      <c r="I5" s="17"/>
      <c r="J5" s="17">
        <f>('E Balans VL '!D25+'E Balans VL '!E25)/3.6*1000000*landbouw!B17/100</f>
        <v>568.22720415120773</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1999.9498330000001</v>
      </c>
      <c r="C8" s="21">
        <f>C5+C6</f>
        <v>0</v>
      </c>
      <c r="D8" s="21">
        <f>MAX((D5+D6),0)</f>
        <v>2420.2224221340002</v>
      </c>
      <c r="E8" s="21">
        <f>MAX((E5+E6),0)</f>
        <v>81.250861707685729</v>
      </c>
      <c r="F8" s="21">
        <f>MAX((F5+F6),0)</f>
        <v>7074.5223607008802</v>
      </c>
      <c r="G8" s="21"/>
      <c r="H8" s="21"/>
      <c r="I8" s="21"/>
      <c r="J8" s="21">
        <f>MAX((J5+J6),0)</f>
        <v>568.22720415120773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0.19709571194073777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394.18153618089462</v>
      </c>
      <c r="C12" s="23">
        <f ca="1">C8*C10</f>
        <v>0</v>
      </c>
      <c r="D12" s="23">
        <f>D8*D10</f>
        <v>488.88492927106807</v>
      </c>
      <c r="E12" s="23">
        <f>E8*E10</f>
        <v>18.443945607644661</v>
      </c>
      <c r="F12" s="23">
        <f>F8*F10</f>
        <v>1888.8974703071351</v>
      </c>
      <c r="G12" s="23"/>
      <c r="H12" s="23"/>
      <c r="I12" s="23"/>
      <c r="J12" s="23">
        <f>J8*J10</f>
        <v>201.15243026952751</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0.29730687967388464</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254.29148639404934</v>
      </c>
      <c r="C26" s="244">
        <f>B26*'GWP N2O_CH4'!B5</f>
        <v>5340.1212142750364</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64.318045869091023</v>
      </c>
      <c r="C27" s="244">
        <f>B27*'GWP N2O_CH4'!B5</f>
        <v>1350.6789632509115</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4.58647468380956</v>
      </c>
      <c r="C28" s="244">
        <f>B28*'GWP N2O_CH4'!B4</f>
        <v>1421.8071519809637</v>
      </c>
      <c r="D28" s="50"/>
    </row>
    <row r="29" spans="1:4">
      <c r="A29" s="41" t="s">
        <v>265</v>
      </c>
      <c r="B29" s="244">
        <f>B34*'ha_N2O bodem landbouw'!B4</f>
        <v>26.714336337956752</v>
      </c>
      <c r="C29" s="244">
        <f>B29*'GWP N2O_CH4'!B4</f>
        <v>8281.4442647665928</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5.8579729781029159E-3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1.8816337952729548E-4</v>
      </c>
      <c r="C5" s="429" t="s">
        <v>204</v>
      </c>
      <c r="D5" s="414">
        <f>SUM(D6:D11)</f>
        <v>3.3518074529071448E-4</v>
      </c>
      <c r="E5" s="414">
        <f>SUM(E6:E11)</f>
        <v>2.8704663321761772E-4</v>
      </c>
      <c r="F5" s="427" t="s">
        <v>204</v>
      </c>
      <c r="G5" s="414">
        <f>SUM(G6:G11)</f>
        <v>0.12585484836914698</v>
      </c>
      <c r="H5" s="414">
        <f>SUM(H6:H11)</f>
        <v>3.2114833903866886E-2</v>
      </c>
      <c r="I5" s="429" t="s">
        <v>204</v>
      </c>
      <c r="J5" s="429" t="s">
        <v>204</v>
      </c>
      <c r="K5" s="429" t="s">
        <v>204</v>
      </c>
      <c r="L5" s="429" t="s">
        <v>204</v>
      </c>
      <c r="M5" s="414">
        <f>SUM(M6:M11)</f>
        <v>9.3808364934452135E-3</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1.4970957888587374E-4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2.5399021669219912E-4</v>
      </c>
      <c r="E6" s="843">
        <f>vkm_GW_PW*SUMIFS(TableVerdeelsleutelVkm[LPG],TableVerdeelsleutelVkm[Voertuigtype],"Lichte voertuigen")*SUMIFS(TableECFTransport[EnergieConsumptieFactor (PJ per km)],TableECFTransport[Index],CONCATENATE($A6,"_LPG_LPG"))</f>
        <v>2.1990711195579322E-4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7.024755192247821E-2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2.4438244742737949E-2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5.6672703651665275E-3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8.5080524906499702E-7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3.2472751743131315E-2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5.1753391646046619E-7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1.8718110727496005E-3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3.7537066843456392E-5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8.1190528598515342E-5</v>
      </c>
      <c r="E8" s="417">
        <f>vkm_NGW_PW*SUMIFS(TableVerdeelsleutelVkm[LPG],TableVerdeelsleutelVkm[Voertuigtype],"Lichte voertuigen")*SUMIFS(TableECFTransport[EnergieConsumptieFactor (PJ per km)],TableECFTransport[Index],CONCATENATE($A8,"_LPG_LPG"))</f>
        <v>6.7139521261824512E-5</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1.9899646318043845E-2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7.676023221276842E-3</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1.6552875860670849E-3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6.5928548900358458E-8</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3.234898385493607E-3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4.8405935635977145E-8</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1.8646746946200044E-4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52.267605424248742</v>
      </c>
      <c r="C14" s="21"/>
      <c r="D14" s="21">
        <f t="shared" ref="D14:M14" si="0">((D5)*10^9/3600)+D12</f>
        <v>93.105762580754032</v>
      </c>
      <c r="E14" s="21">
        <f t="shared" si="0"/>
        <v>79.735175893782696</v>
      </c>
      <c r="F14" s="21"/>
      <c r="G14" s="21">
        <f t="shared" si="0"/>
        <v>34959.680102540828</v>
      </c>
      <c r="H14" s="21">
        <f t="shared" si="0"/>
        <v>8920.7871955185801</v>
      </c>
      <c r="I14" s="21"/>
      <c r="J14" s="21"/>
      <c r="K14" s="21"/>
      <c r="L14" s="21"/>
      <c r="M14" s="21">
        <f t="shared" si="0"/>
        <v>2605.7879148458928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0.19709571194073777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10.301720902529873</v>
      </c>
      <c r="C18" s="23"/>
      <c r="D18" s="23">
        <f t="shared" ref="D18:M18" si="1">D14*D16</f>
        <v>18.807364041312315</v>
      </c>
      <c r="E18" s="23">
        <f t="shared" si="1"/>
        <v>18.099884927888674</v>
      </c>
      <c r="F18" s="23"/>
      <c r="G18" s="23">
        <f t="shared" si="1"/>
        <v>9334.2345873784016</v>
      </c>
      <c r="H18" s="23">
        <f t="shared" si="1"/>
        <v>2221.2760116841264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1.7736431146901947E-5</v>
      </c>
      <c r="C50" s="313">
        <f t="shared" ref="C50:P50" si="2">SUM(C51:C52)</f>
        <v>0</v>
      </c>
      <c r="D50" s="313">
        <f t="shared" si="2"/>
        <v>0</v>
      </c>
      <c r="E50" s="313">
        <f t="shared" si="2"/>
        <v>0</v>
      </c>
      <c r="F50" s="313">
        <f t="shared" si="2"/>
        <v>0</v>
      </c>
      <c r="G50" s="313">
        <f t="shared" si="2"/>
        <v>1.2850311688295546E-3</v>
      </c>
      <c r="H50" s="313">
        <f t="shared" si="2"/>
        <v>0</v>
      </c>
      <c r="I50" s="313">
        <f t="shared" si="2"/>
        <v>0</v>
      </c>
      <c r="J50" s="313">
        <f t="shared" si="2"/>
        <v>0</v>
      </c>
      <c r="K50" s="313">
        <f t="shared" si="2"/>
        <v>0</v>
      </c>
      <c r="L50" s="313">
        <f t="shared" si="2"/>
        <v>0</v>
      </c>
      <c r="M50" s="313">
        <f t="shared" si="2"/>
        <v>7.2685189774695551E-5</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1.7736431146901947E-5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1.2850311688295546E-3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7.2685189774695551E-5</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4.9267864296949853</v>
      </c>
      <c r="C54" s="21">
        <f t="shared" ref="C54:P54" si="3">(C50)*10^9/3600</f>
        <v>0</v>
      </c>
      <c r="D54" s="21">
        <f t="shared" si="3"/>
        <v>0</v>
      </c>
      <c r="E54" s="21">
        <f t="shared" si="3"/>
        <v>0</v>
      </c>
      <c r="F54" s="21">
        <f t="shared" si="3"/>
        <v>0</v>
      </c>
      <c r="G54" s="21">
        <f t="shared" si="3"/>
        <v>356.95310245265404</v>
      </c>
      <c r="H54" s="21">
        <f t="shared" si="3"/>
        <v>0</v>
      </c>
      <c r="I54" s="21">
        <f t="shared" si="3"/>
        <v>0</v>
      </c>
      <c r="J54" s="21">
        <f t="shared" si="3"/>
        <v>0</v>
      </c>
      <c r="K54" s="21">
        <f t="shared" si="3"/>
        <v>0</v>
      </c>
      <c r="L54" s="21">
        <f t="shared" si="3"/>
        <v>0</v>
      </c>
      <c r="M54" s="21">
        <f t="shared" si="3"/>
        <v>20.190330492970986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0.19709571194073777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0.97104847894069868</v>
      </c>
      <c r="C58" s="23">
        <f t="shared" ref="C58:P58" ca="1" si="4">C54*C56</f>
        <v>0</v>
      </c>
      <c r="D58" s="23">
        <f t="shared" si="4"/>
        <v>0</v>
      </c>
      <c r="E58" s="23">
        <f t="shared" si="4"/>
        <v>0</v>
      </c>
      <c r="F58" s="23">
        <f t="shared" si="4"/>
        <v>0</v>
      </c>
      <c r="G58" s="23">
        <f t="shared" si="4"/>
        <v>95.306478354858626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2230.1810488131819</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2230.1810488131819</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5463.858784</v>
      </c>
      <c r="D10" s="641">
        <f ca="1">tertiair!C16</f>
        <v>0</v>
      </c>
      <c r="E10" s="641">
        <f ca="1">tertiair!D16</f>
        <v>3547.0853088659997</v>
      </c>
      <c r="F10" s="641">
        <f>tertiair!E16</f>
        <v>17.778039909896826</v>
      </c>
      <c r="G10" s="641">
        <f ca="1">tertiair!F16</f>
        <v>1327.7531083462015</v>
      </c>
      <c r="H10" s="641">
        <f>tertiair!G16</f>
        <v>0</v>
      </c>
      <c r="I10" s="641">
        <f>tertiair!H16</f>
        <v>0</v>
      </c>
      <c r="J10" s="641">
        <f>tertiair!I16</f>
        <v>0</v>
      </c>
      <c r="K10" s="641">
        <f>tertiair!J16</f>
        <v>1.2140490343407346E-2</v>
      </c>
      <c r="L10" s="641">
        <f>tertiair!K16</f>
        <v>0</v>
      </c>
      <c r="M10" s="641">
        <f ca="1">tertiair!L16</f>
        <v>0</v>
      </c>
      <c r="N10" s="641">
        <f>tertiair!M16</f>
        <v>0</v>
      </c>
      <c r="O10" s="641">
        <f ca="1">tertiair!N16</f>
        <v>446.44874157770045</v>
      </c>
      <c r="P10" s="641">
        <f>tertiair!O16</f>
        <v>4.8972607658411542</v>
      </c>
      <c r="Q10" s="642">
        <f>tertiair!P16</f>
        <v>0</v>
      </c>
      <c r="R10" s="644">
        <f ca="1">SUM(C10:Q10)</f>
        <v>10807.833383955985</v>
      </c>
      <c r="S10" s="67"/>
    </row>
    <row r="11" spans="1:19" s="440" customFormat="1">
      <c r="A11" s="761" t="s">
        <v>213</v>
      </c>
      <c r="B11" s="766"/>
      <c r="C11" s="641">
        <f>huishoudens!B8</f>
        <v>12361.645267370192</v>
      </c>
      <c r="D11" s="641">
        <f>huishoudens!C8</f>
        <v>0</v>
      </c>
      <c r="E11" s="641">
        <f>huishoudens!D8</f>
        <v>15940.607222099999</v>
      </c>
      <c r="F11" s="641">
        <f>huishoudens!E8</f>
        <v>1318.1447146109615</v>
      </c>
      <c r="G11" s="641">
        <f>huishoudens!F8</f>
        <v>25366.76986069257</v>
      </c>
      <c r="H11" s="641">
        <f>huishoudens!G8</f>
        <v>0</v>
      </c>
      <c r="I11" s="641">
        <f>huishoudens!H8</f>
        <v>0</v>
      </c>
      <c r="J11" s="641">
        <f>huishoudens!I8</f>
        <v>0</v>
      </c>
      <c r="K11" s="641">
        <f>huishoudens!J8</f>
        <v>129.8044613268502</v>
      </c>
      <c r="L11" s="641">
        <f>huishoudens!K8</f>
        <v>0</v>
      </c>
      <c r="M11" s="641">
        <f>huishoudens!L8</f>
        <v>0</v>
      </c>
      <c r="N11" s="641">
        <f>huishoudens!M8</f>
        <v>0</v>
      </c>
      <c r="O11" s="641">
        <f>huishoudens!N8</f>
        <v>4658.8465835282641</v>
      </c>
      <c r="P11" s="641">
        <f>huishoudens!O8</f>
        <v>132.92520069893112</v>
      </c>
      <c r="Q11" s="642">
        <f>huishoudens!P8</f>
        <v>273.88294199981061</v>
      </c>
      <c r="R11" s="644">
        <f>SUM(C11:Q11)</f>
        <v>60182.626252327573</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510.15100000000001</v>
      </c>
      <c r="D13" s="641">
        <f>industrie!C18</f>
        <v>0</v>
      </c>
      <c r="E13" s="641">
        <f>industrie!D18</f>
        <v>345.32258200000001</v>
      </c>
      <c r="F13" s="641">
        <f>industrie!E18</f>
        <v>2.1582796446578429</v>
      </c>
      <c r="G13" s="641">
        <f>industrie!F18</f>
        <v>162.00847427700214</v>
      </c>
      <c r="H13" s="641">
        <f>industrie!G18</f>
        <v>0</v>
      </c>
      <c r="I13" s="641">
        <f>industrie!H18</f>
        <v>0</v>
      </c>
      <c r="J13" s="641">
        <f>industrie!I18</f>
        <v>0</v>
      </c>
      <c r="K13" s="641">
        <f>industrie!J18</f>
        <v>0.14837246618189234</v>
      </c>
      <c r="L13" s="641">
        <f>industrie!K18</f>
        <v>0</v>
      </c>
      <c r="M13" s="641">
        <f>industrie!L18</f>
        <v>0</v>
      </c>
      <c r="N13" s="641">
        <f>industrie!M18</f>
        <v>0</v>
      </c>
      <c r="O13" s="641">
        <f>industrie!N18</f>
        <v>21.568658178993243</v>
      </c>
      <c r="P13" s="641">
        <f>industrie!O18</f>
        <v>0</v>
      </c>
      <c r="Q13" s="642">
        <f>industrie!P18</f>
        <v>0</v>
      </c>
      <c r="R13" s="644">
        <f>SUM(C13:Q13)</f>
        <v>1041.357366566835</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18335.655051370191</v>
      </c>
      <c r="D16" s="677">
        <f t="shared" ref="D16:R16" ca="1" si="0">SUM(D9:D15)</f>
        <v>0</v>
      </c>
      <c r="E16" s="677">
        <f t="shared" ca="1" si="0"/>
        <v>19833.015112966001</v>
      </c>
      <c r="F16" s="677">
        <f t="shared" si="0"/>
        <v>1338.081034165516</v>
      </c>
      <c r="G16" s="677">
        <f t="shared" ca="1" si="0"/>
        <v>26856.531443315773</v>
      </c>
      <c r="H16" s="677">
        <f t="shared" si="0"/>
        <v>0</v>
      </c>
      <c r="I16" s="677">
        <f t="shared" si="0"/>
        <v>0</v>
      </c>
      <c r="J16" s="677">
        <f t="shared" si="0"/>
        <v>0</v>
      </c>
      <c r="K16" s="677">
        <f t="shared" si="0"/>
        <v>129.96497428337548</v>
      </c>
      <c r="L16" s="677">
        <f t="shared" si="0"/>
        <v>0</v>
      </c>
      <c r="M16" s="677">
        <f t="shared" ca="1" si="0"/>
        <v>0</v>
      </c>
      <c r="N16" s="677">
        <f t="shared" si="0"/>
        <v>0</v>
      </c>
      <c r="O16" s="677">
        <f t="shared" ca="1" si="0"/>
        <v>5126.8639832849576</v>
      </c>
      <c r="P16" s="677">
        <f t="shared" si="0"/>
        <v>137.82246146477229</v>
      </c>
      <c r="Q16" s="677">
        <f t="shared" si="0"/>
        <v>273.88294199981061</v>
      </c>
      <c r="R16" s="677">
        <f t="shared" ca="1" si="0"/>
        <v>72031.817002850396</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4.9267864296949853</v>
      </c>
      <c r="D19" s="641">
        <f>transport!C54</f>
        <v>0</v>
      </c>
      <c r="E19" s="641">
        <f>transport!D54</f>
        <v>0</v>
      </c>
      <c r="F19" s="641">
        <f>transport!E54</f>
        <v>0</v>
      </c>
      <c r="G19" s="641">
        <f>transport!F54</f>
        <v>0</v>
      </c>
      <c r="H19" s="641">
        <f>transport!G54</f>
        <v>356.95310245265404</v>
      </c>
      <c r="I19" s="641">
        <f>transport!H54</f>
        <v>0</v>
      </c>
      <c r="J19" s="641">
        <f>transport!I54</f>
        <v>0</v>
      </c>
      <c r="K19" s="641">
        <f>transport!J54</f>
        <v>0</v>
      </c>
      <c r="L19" s="641">
        <f>transport!K54</f>
        <v>0</v>
      </c>
      <c r="M19" s="641">
        <f>transport!L54</f>
        <v>0</v>
      </c>
      <c r="N19" s="641">
        <f>transport!M54</f>
        <v>20.190330492970986</v>
      </c>
      <c r="O19" s="641">
        <f>transport!N54</f>
        <v>0</v>
      </c>
      <c r="P19" s="641">
        <f>transport!O54</f>
        <v>0</v>
      </c>
      <c r="Q19" s="642">
        <f>transport!P54</f>
        <v>0</v>
      </c>
      <c r="R19" s="644">
        <f>SUM(C19:Q19)</f>
        <v>382.07021937531999</v>
      </c>
      <c r="S19" s="67"/>
    </row>
    <row r="20" spans="1:19" s="440" customFormat="1">
      <c r="A20" s="761" t="s">
        <v>295</v>
      </c>
      <c r="B20" s="766"/>
      <c r="C20" s="641">
        <f>transport!B14</f>
        <v>52.267605424248742</v>
      </c>
      <c r="D20" s="641">
        <f>transport!C14</f>
        <v>0</v>
      </c>
      <c r="E20" s="641">
        <f>transport!D14</f>
        <v>93.105762580754032</v>
      </c>
      <c r="F20" s="641">
        <f>transport!E14</f>
        <v>79.735175893782696</v>
      </c>
      <c r="G20" s="641">
        <f>transport!F14</f>
        <v>0</v>
      </c>
      <c r="H20" s="641">
        <f>transport!G14</f>
        <v>34959.680102540828</v>
      </c>
      <c r="I20" s="641">
        <f>transport!H14</f>
        <v>8920.7871955185801</v>
      </c>
      <c r="J20" s="641">
        <f>transport!I14</f>
        <v>0</v>
      </c>
      <c r="K20" s="641">
        <f>transport!J14</f>
        <v>0</v>
      </c>
      <c r="L20" s="641">
        <f>transport!K14</f>
        <v>0</v>
      </c>
      <c r="M20" s="641">
        <f>transport!L14</f>
        <v>0</v>
      </c>
      <c r="N20" s="641">
        <f>transport!M14</f>
        <v>2605.7879148458928</v>
      </c>
      <c r="O20" s="641">
        <f>transport!N14</f>
        <v>0</v>
      </c>
      <c r="P20" s="641">
        <f>transport!O14</f>
        <v>0</v>
      </c>
      <c r="Q20" s="642">
        <f>transport!P14</f>
        <v>0</v>
      </c>
      <c r="R20" s="644">
        <f>SUM(C20:Q20)</f>
        <v>46711.363756804094</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57.194391853943728</v>
      </c>
      <c r="D22" s="764">
        <f t="shared" ref="D22:R22" si="1">SUM(D18:D21)</f>
        <v>0</v>
      </c>
      <c r="E22" s="764">
        <f t="shared" si="1"/>
        <v>93.105762580754032</v>
      </c>
      <c r="F22" s="764">
        <f t="shared" si="1"/>
        <v>79.735175893782696</v>
      </c>
      <c r="G22" s="764">
        <f t="shared" si="1"/>
        <v>0</v>
      </c>
      <c r="H22" s="764">
        <f t="shared" si="1"/>
        <v>35316.633204993479</v>
      </c>
      <c r="I22" s="764">
        <f t="shared" si="1"/>
        <v>8920.7871955185801</v>
      </c>
      <c r="J22" s="764">
        <f t="shared" si="1"/>
        <v>0</v>
      </c>
      <c r="K22" s="764">
        <f t="shared" si="1"/>
        <v>0</v>
      </c>
      <c r="L22" s="764">
        <f t="shared" si="1"/>
        <v>0</v>
      </c>
      <c r="M22" s="764">
        <f t="shared" si="1"/>
        <v>0</v>
      </c>
      <c r="N22" s="764">
        <f t="shared" si="1"/>
        <v>2625.9782453388639</v>
      </c>
      <c r="O22" s="764">
        <f t="shared" si="1"/>
        <v>0</v>
      </c>
      <c r="P22" s="764">
        <f t="shared" si="1"/>
        <v>0</v>
      </c>
      <c r="Q22" s="764">
        <f t="shared" si="1"/>
        <v>0</v>
      </c>
      <c r="R22" s="764">
        <f t="shared" si="1"/>
        <v>47093.433976179411</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1999.9498330000001</v>
      </c>
      <c r="D24" s="641">
        <f>+landbouw!C8</f>
        <v>0</v>
      </c>
      <c r="E24" s="641">
        <f>+landbouw!D8</f>
        <v>2420.2224221340002</v>
      </c>
      <c r="F24" s="641">
        <f>+landbouw!E8</f>
        <v>81.250861707685729</v>
      </c>
      <c r="G24" s="641">
        <f>+landbouw!F8</f>
        <v>7074.5223607008802</v>
      </c>
      <c r="H24" s="641">
        <f>+landbouw!G8</f>
        <v>0</v>
      </c>
      <c r="I24" s="641">
        <f>+landbouw!H8</f>
        <v>0</v>
      </c>
      <c r="J24" s="641">
        <f>+landbouw!I8</f>
        <v>0</v>
      </c>
      <c r="K24" s="641">
        <f>+landbouw!J8</f>
        <v>568.22720415120773</v>
      </c>
      <c r="L24" s="641">
        <f>+landbouw!K8</f>
        <v>0</v>
      </c>
      <c r="M24" s="641">
        <f>+landbouw!L8</f>
        <v>0</v>
      </c>
      <c r="N24" s="641">
        <f>+landbouw!M8</f>
        <v>0</v>
      </c>
      <c r="O24" s="641">
        <f>+landbouw!N8</f>
        <v>0</v>
      </c>
      <c r="P24" s="641">
        <f>+landbouw!O8</f>
        <v>0</v>
      </c>
      <c r="Q24" s="642">
        <f>+landbouw!P8</f>
        <v>0</v>
      </c>
      <c r="R24" s="644">
        <f>SUM(C24:Q24)</f>
        <v>12144.172681693773</v>
      </c>
      <c r="S24" s="67"/>
    </row>
    <row r="25" spans="1:19" s="440" customFormat="1" ht="15" thickBot="1">
      <c r="A25" s="783" t="s">
        <v>683</v>
      </c>
      <c r="B25" s="901"/>
      <c r="C25" s="902">
        <f>IF(Onbekend_ele_kWh="---",0,Onbekend_ele_kWh)/1000+IF(REST_rest_ele_kWh="---",0,REST_rest_ele_kWh)/1000</f>
        <v>225.67765</v>
      </c>
      <c r="D25" s="902"/>
      <c r="E25" s="902">
        <f>IF(onbekend_gas_kWh="---",0,onbekend_gas_kWh)/1000+IF(REST_rest_gas_kWh="---",0,REST_rest_gas_kWh)/1000</f>
        <v>393.39519999999999</v>
      </c>
      <c r="F25" s="902"/>
      <c r="G25" s="902"/>
      <c r="H25" s="902"/>
      <c r="I25" s="902"/>
      <c r="J25" s="902"/>
      <c r="K25" s="902"/>
      <c r="L25" s="902"/>
      <c r="M25" s="902"/>
      <c r="N25" s="902"/>
      <c r="O25" s="902"/>
      <c r="P25" s="902"/>
      <c r="Q25" s="903"/>
      <c r="R25" s="644">
        <f>SUM(C25:Q25)</f>
        <v>619.07285000000002</v>
      </c>
      <c r="S25" s="67"/>
    </row>
    <row r="26" spans="1:19" s="440" customFormat="1" ht="15.75" thickBot="1">
      <c r="A26" s="649" t="s">
        <v>684</v>
      </c>
      <c r="B26" s="769"/>
      <c r="C26" s="764">
        <f>SUM(C24:C25)</f>
        <v>2225.6274830000002</v>
      </c>
      <c r="D26" s="764">
        <f t="shared" ref="D26:R26" si="2">SUM(D24:D25)</f>
        <v>0</v>
      </c>
      <c r="E26" s="764">
        <f t="shared" si="2"/>
        <v>2813.6176221340002</v>
      </c>
      <c r="F26" s="764">
        <f t="shared" si="2"/>
        <v>81.250861707685729</v>
      </c>
      <c r="G26" s="764">
        <f t="shared" si="2"/>
        <v>7074.5223607008802</v>
      </c>
      <c r="H26" s="764">
        <f t="shared" si="2"/>
        <v>0</v>
      </c>
      <c r="I26" s="764">
        <f t="shared" si="2"/>
        <v>0</v>
      </c>
      <c r="J26" s="764">
        <f t="shared" si="2"/>
        <v>0</v>
      </c>
      <c r="K26" s="764">
        <f t="shared" si="2"/>
        <v>568.22720415120773</v>
      </c>
      <c r="L26" s="764">
        <f t="shared" si="2"/>
        <v>0</v>
      </c>
      <c r="M26" s="764">
        <f t="shared" si="2"/>
        <v>0</v>
      </c>
      <c r="N26" s="764">
        <f t="shared" si="2"/>
        <v>0</v>
      </c>
      <c r="O26" s="764">
        <f t="shared" si="2"/>
        <v>0</v>
      </c>
      <c r="P26" s="764">
        <f t="shared" si="2"/>
        <v>0</v>
      </c>
      <c r="Q26" s="764">
        <f t="shared" si="2"/>
        <v>0</v>
      </c>
      <c r="R26" s="764">
        <f t="shared" si="2"/>
        <v>12763.245531693774</v>
      </c>
      <c r="S26" s="67"/>
    </row>
    <row r="27" spans="1:19" s="440" customFormat="1" ht="17.25" thickTop="1" thickBot="1">
      <c r="A27" s="650" t="s">
        <v>109</v>
      </c>
      <c r="B27" s="756"/>
      <c r="C27" s="651">
        <f ca="1">C22+C16+C26</f>
        <v>20618.476926224135</v>
      </c>
      <c r="D27" s="651">
        <f t="shared" ref="D27:R27" ca="1" si="3">D22+D16+D26</f>
        <v>0</v>
      </c>
      <c r="E27" s="651">
        <f t="shared" ca="1" si="3"/>
        <v>22739.738497680755</v>
      </c>
      <c r="F27" s="651">
        <f t="shared" si="3"/>
        <v>1499.0670717669846</v>
      </c>
      <c r="G27" s="651">
        <f t="shared" ca="1" si="3"/>
        <v>33931.05380401665</v>
      </c>
      <c r="H27" s="651">
        <f t="shared" si="3"/>
        <v>35316.633204993479</v>
      </c>
      <c r="I27" s="651">
        <f t="shared" si="3"/>
        <v>8920.7871955185801</v>
      </c>
      <c r="J27" s="651">
        <f t="shared" si="3"/>
        <v>0</v>
      </c>
      <c r="K27" s="651">
        <f t="shared" si="3"/>
        <v>698.19217843458318</v>
      </c>
      <c r="L27" s="651">
        <f t="shared" si="3"/>
        <v>0</v>
      </c>
      <c r="M27" s="651">
        <f t="shared" ca="1" si="3"/>
        <v>0</v>
      </c>
      <c r="N27" s="651">
        <f t="shared" si="3"/>
        <v>2625.9782453388639</v>
      </c>
      <c r="O27" s="651">
        <f t="shared" ca="1" si="3"/>
        <v>5126.8639832849576</v>
      </c>
      <c r="P27" s="651">
        <f t="shared" si="3"/>
        <v>137.82246146477229</v>
      </c>
      <c r="Q27" s="651">
        <f t="shared" si="3"/>
        <v>273.88294199981061</v>
      </c>
      <c r="R27" s="651">
        <f t="shared" ca="1" si="3"/>
        <v>131888.49651072358</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1076.9031369761337</v>
      </c>
      <c r="D40" s="641">
        <f ca="1">tertiair!C20</f>
        <v>0</v>
      </c>
      <c r="E40" s="641">
        <f ca="1">tertiair!D20</f>
        <v>716.51123239093192</v>
      </c>
      <c r="F40" s="641">
        <f>tertiair!E20</f>
        <v>4.0356150595465801</v>
      </c>
      <c r="G40" s="641">
        <f ca="1">tertiair!F20</f>
        <v>354.51007992843586</v>
      </c>
      <c r="H40" s="641">
        <f>tertiair!G20</f>
        <v>0</v>
      </c>
      <c r="I40" s="641">
        <f>tertiair!H20</f>
        <v>0</v>
      </c>
      <c r="J40" s="641">
        <f>tertiair!I20</f>
        <v>0</v>
      </c>
      <c r="K40" s="641">
        <f>tertiair!J20</f>
        <v>4.2977335815662003E-3</v>
      </c>
      <c r="L40" s="641">
        <f>tertiair!K20</f>
        <v>0</v>
      </c>
      <c r="M40" s="641">
        <f ca="1">tertiair!L20</f>
        <v>0</v>
      </c>
      <c r="N40" s="641">
        <f>tertiair!M20</f>
        <v>0</v>
      </c>
      <c r="O40" s="641">
        <f ca="1">tertiair!N20</f>
        <v>0</v>
      </c>
      <c r="P40" s="641">
        <f>tertiair!O20</f>
        <v>0</v>
      </c>
      <c r="Q40" s="724">
        <f>tertiair!P20</f>
        <v>0</v>
      </c>
      <c r="R40" s="802">
        <f t="shared" ca="1" si="4"/>
        <v>2151.96436208863</v>
      </c>
    </row>
    <row r="41" spans="1:18">
      <c r="A41" s="774" t="s">
        <v>213</v>
      </c>
      <c r="B41" s="781"/>
      <c r="C41" s="641">
        <f ca="1">huishoudens!B12</f>
        <v>2436.4272747311798</v>
      </c>
      <c r="D41" s="641">
        <f ca="1">huishoudens!C12</f>
        <v>0</v>
      </c>
      <c r="E41" s="641">
        <f>huishoudens!D12</f>
        <v>3220.0026588641999</v>
      </c>
      <c r="F41" s="641">
        <f>huishoudens!E12</f>
        <v>299.21885021668828</v>
      </c>
      <c r="G41" s="641">
        <f>huishoudens!F12</f>
        <v>6772.9275528049166</v>
      </c>
      <c r="H41" s="641">
        <f>huishoudens!G12</f>
        <v>0</v>
      </c>
      <c r="I41" s="641">
        <f>huishoudens!H12</f>
        <v>0</v>
      </c>
      <c r="J41" s="641">
        <f>huishoudens!I12</f>
        <v>0</v>
      </c>
      <c r="K41" s="641">
        <f>huishoudens!J12</f>
        <v>45.95077930970497</v>
      </c>
      <c r="L41" s="641">
        <f>huishoudens!K12</f>
        <v>0</v>
      </c>
      <c r="M41" s="641">
        <f>huishoudens!L12</f>
        <v>0</v>
      </c>
      <c r="N41" s="641">
        <f>huishoudens!M12</f>
        <v>0</v>
      </c>
      <c r="O41" s="641">
        <f>huishoudens!N12</f>
        <v>0</v>
      </c>
      <c r="P41" s="641">
        <f>huishoudens!O12</f>
        <v>0</v>
      </c>
      <c r="Q41" s="724">
        <f>huishoudens!P12</f>
        <v>0</v>
      </c>
      <c r="R41" s="802">
        <f t="shared" ca="1" si="4"/>
        <v>12774.52711592669</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100.54857454227931</v>
      </c>
      <c r="D43" s="641">
        <f ca="1">industrie!C22</f>
        <v>0</v>
      </c>
      <c r="E43" s="641">
        <f>industrie!D22</f>
        <v>69.755161564000005</v>
      </c>
      <c r="F43" s="641">
        <f>industrie!E22</f>
        <v>0.48992947933733039</v>
      </c>
      <c r="G43" s="641">
        <f>industrie!F22</f>
        <v>43.256262631959572</v>
      </c>
      <c r="H43" s="641">
        <f>industrie!G22</f>
        <v>0</v>
      </c>
      <c r="I43" s="641">
        <f>industrie!H22</f>
        <v>0</v>
      </c>
      <c r="J43" s="641">
        <f>industrie!I22</f>
        <v>0</v>
      </c>
      <c r="K43" s="641">
        <f>industrie!J22</f>
        <v>5.252385302838989E-2</v>
      </c>
      <c r="L43" s="641">
        <f>industrie!K22</f>
        <v>0</v>
      </c>
      <c r="M43" s="641">
        <f>industrie!L22</f>
        <v>0</v>
      </c>
      <c r="N43" s="641">
        <f>industrie!M22</f>
        <v>0</v>
      </c>
      <c r="O43" s="641">
        <f>industrie!N22</f>
        <v>0</v>
      </c>
      <c r="P43" s="641">
        <f>industrie!O22</f>
        <v>0</v>
      </c>
      <c r="Q43" s="724">
        <f>industrie!P22</f>
        <v>0</v>
      </c>
      <c r="R43" s="801">
        <f t="shared" ca="1" si="4"/>
        <v>214.10245207060458</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3613.8789862495928</v>
      </c>
      <c r="D46" s="677">
        <f t="shared" ref="D46:Q46" ca="1" si="5">SUM(D39:D45)</f>
        <v>0</v>
      </c>
      <c r="E46" s="677">
        <f t="shared" ca="1" si="5"/>
        <v>4006.269052819132</v>
      </c>
      <c r="F46" s="677">
        <f t="shared" si="5"/>
        <v>303.74439475557216</v>
      </c>
      <c r="G46" s="677">
        <f t="shared" ca="1" si="5"/>
        <v>7170.6938953653116</v>
      </c>
      <c r="H46" s="677">
        <f t="shared" si="5"/>
        <v>0</v>
      </c>
      <c r="I46" s="677">
        <f t="shared" si="5"/>
        <v>0</v>
      </c>
      <c r="J46" s="677">
        <f t="shared" si="5"/>
        <v>0</v>
      </c>
      <c r="K46" s="677">
        <f t="shared" si="5"/>
        <v>46.007600896314926</v>
      </c>
      <c r="L46" s="677">
        <f t="shared" si="5"/>
        <v>0</v>
      </c>
      <c r="M46" s="677">
        <f t="shared" ca="1" si="5"/>
        <v>0</v>
      </c>
      <c r="N46" s="677">
        <f t="shared" si="5"/>
        <v>0</v>
      </c>
      <c r="O46" s="677">
        <f t="shared" ca="1" si="5"/>
        <v>0</v>
      </c>
      <c r="P46" s="677">
        <f t="shared" si="5"/>
        <v>0</v>
      </c>
      <c r="Q46" s="677">
        <f t="shared" si="5"/>
        <v>0</v>
      </c>
      <c r="R46" s="677">
        <f ca="1">SUM(R39:R45)</f>
        <v>15140.593930085925</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0.97104847894069868</v>
      </c>
      <c r="D49" s="641">
        <f ca="1">transport!C58</f>
        <v>0</v>
      </c>
      <c r="E49" s="641">
        <f>transport!D58</f>
        <v>0</v>
      </c>
      <c r="F49" s="641">
        <f>transport!E58</f>
        <v>0</v>
      </c>
      <c r="G49" s="641">
        <f>transport!F58</f>
        <v>0</v>
      </c>
      <c r="H49" s="641">
        <f>transport!G58</f>
        <v>95.306478354858626</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96.277526833799328</v>
      </c>
    </row>
    <row r="50" spans="1:18">
      <c r="A50" s="777" t="s">
        <v>295</v>
      </c>
      <c r="B50" s="787"/>
      <c r="C50" s="647">
        <f ca="1">transport!B18</f>
        <v>10.301720902529873</v>
      </c>
      <c r="D50" s="647">
        <f>transport!C18</f>
        <v>0</v>
      </c>
      <c r="E50" s="647">
        <f>transport!D18</f>
        <v>18.807364041312315</v>
      </c>
      <c r="F50" s="647">
        <f>transport!E18</f>
        <v>18.099884927888674</v>
      </c>
      <c r="G50" s="647">
        <f>transport!F18</f>
        <v>0</v>
      </c>
      <c r="H50" s="647">
        <f>transport!G18</f>
        <v>9334.2345873784016</v>
      </c>
      <c r="I50" s="647">
        <f>transport!H18</f>
        <v>2221.2760116841264</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11602.719568934259</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11.272769381470571</v>
      </c>
      <c r="D52" s="677">
        <f t="shared" ref="D52:Q52" ca="1" si="6">SUM(D48:D51)</f>
        <v>0</v>
      </c>
      <c r="E52" s="677">
        <f t="shared" si="6"/>
        <v>18.807364041312315</v>
      </c>
      <c r="F52" s="677">
        <f t="shared" si="6"/>
        <v>18.099884927888674</v>
      </c>
      <c r="G52" s="677">
        <f t="shared" si="6"/>
        <v>0</v>
      </c>
      <c r="H52" s="677">
        <f t="shared" si="6"/>
        <v>9429.5410657332595</v>
      </c>
      <c r="I52" s="677">
        <f t="shared" si="6"/>
        <v>2221.2760116841264</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11698.997095768058</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394.18153618089462</v>
      </c>
      <c r="D54" s="647">
        <f ca="1">+landbouw!C12</f>
        <v>0</v>
      </c>
      <c r="E54" s="647">
        <f>+landbouw!D12</f>
        <v>488.88492927106807</v>
      </c>
      <c r="F54" s="647">
        <f>+landbouw!E12</f>
        <v>18.443945607644661</v>
      </c>
      <c r="G54" s="647">
        <f>+landbouw!F12</f>
        <v>1888.8974703071351</v>
      </c>
      <c r="H54" s="647">
        <f>+landbouw!G12</f>
        <v>0</v>
      </c>
      <c r="I54" s="647">
        <f>+landbouw!H12</f>
        <v>0</v>
      </c>
      <c r="J54" s="647">
        <f>+landbouw!I12</f>
        <v>0</v>
      </c>
      <c r="K54" s="647">
        <f>+landbouw!J12</f>
        <v>201.15243026952751</v>
      </c>
      <c r="L54" s="647">
        <f>+landbouw!K12</f>
        <v>0</v>
      </c>
      <c r="M54" s="647">
        <f>+landbouw!L12</f>
        <v>0</v>
      </c>
      <c r="N54" s="647">
        <f>+landbouw!M12</f>
        <v>0</v>
      </c>
      <c r="O54" s="647">
        <f>+landbouw!N12</f>
        <v>0</v>
      </c>
      <c r="P54" s="647">
        <f>+landbouw!O12</f>
        <v>0</v>
      </c>
      <c r="Q54" s="648">
        <f>+landbouw!P12</f>
        <v>0</v>
      </c>
      <c r="R54" s="676">
        <f ca="1">SUM(C54:Q54)</f>
        <v>2991.5603116362699</v>
      </c>
    </row>
    <row r="55" spans="1:18" ht="15" thickBot="1">
      <c r="A55" s="777" t="s">
        <v>683</v>
      </c>
      <c r="B55" s="787"/>
      <c r="C55" s="647">
        <f ca="1">C25*'EF ele_warmte'!B12</f>
        <v>44.480097095862639</v>
      </c>
      <c r="D55" s="647"/>
      <c r="E55" s="647">
        <f>E25*EF_CO2_aardgas</f>
        <v>79.465830400000002</v>
      </c>
      <c r="F55" s="647"/>
      <c r="G55" s="647"/>
      <c r="H55" s="647"/>
      <c r="I55" s="647"/>
      <c r="J55" s="647"/>
      <c r="K55" s="647"/>
      <c r="L55" s="647"/>
      <c r="M55" s="647"/>
      <c r="N55" s="647"/>
      <c r="O55" s="647"/>
      <c r="P55" s="647"/>
      <c r="Q55" s="648"/>
      <c r="R55" s="676">
        <f ca="1">SUM(C55:Q55)</f>
        <v>123.94592749586263</v>
      </c>
    </row>
    <row r="56" spans="1:18" ht="15.75" thickBot="1">
      <c r="A56" s="775" t="s">
        <v>684</v>
      </c>
      <c r="B56" s="788"/>
      <c r="C56" s="677">
        <f ca="1">SUM(C54:C55)</f>
        <v>438.66163327675724</v>
      </c>
      <c r="D56" s="677">
        <f t="shared" ref="D56:Q56" ca="1" si="7">SUM(D54:D55)</f>
        <v>0</v>
      </c>
      <c r="E56" s="677">
        <f t="shared" si="7"/>
        <v>568.35075967106809</v>
      </c>
      <c r="F56" s="677">
        <f t="shared" si="7"/>
        <v>18.443945607644661</v>
      </c>
      <c r="G56" s="677">
        <f t="shared" si="7"/>
        <v>1888.8974703071351</v>
      </c>
      <c r="H56" s="677">
        <f t="shared" si="7"/>
        <v>0</v>
      </c>
      <c r="I56" s="677">
        <f t="shared" si="7"/>
        <v>0</v>
      </c>
      <c r="J56" s="677">
        <f t="shared" si="7"/>
        <v>0</v>
      </c>
      <c r="K56" s="677">
        <f t="shared" si="7"/>
        <v>201.15243026952751</v>
      </c>
      <c r="L56" s="677">
        <f t="shared" si="7"/>
        <v>0</v>
      </c>
      <c r="M56" s="677">
        <f t="shared" si="7"/>
        <v>0</v>
      </c>
      <c r="N56" s="677">
        <f t="shared" si="7"/>
        <v>0</v>
      </c>
      <c r="O56" s="677">
        <f t="shared" si="7"/>
        <v>0</v>
      </c>
      <c r="P56" s="677">
        <f t="shared" si="7"/>
        <v>0</v>
      </c>
      <c r="Q56" s="678">
        <f t="shared" si="7"/>
        <v>0</v>
      </c>
      <c r="R56" s="679">
        <f ca="1">SUM(R54:R55)</f>
        <v>3115.5062391321326</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4063.8133889078204</v>
      </c>
      <c r="D61" s="685">
        <f t="shared" ref="D61:Q61" ca="1" si="8">D46+D52+D56</f>
        <v>0</v>
      </c>
      <c r="E61" s="685">
        <f t="shared" ca="1" si="8"/>
        <v>4593.4271765315125</v>
      </c>
      <c r="F61" s="685">
        <f t="shared" si="8"/>
        <v>340.2882252911055</v>
      </c>
      <c r="G61" s="685">
        <f t="shared" ca="1" si="8"/>
        <v>9059.591365672446</v>
      </c>
      <c r="H61" s="685">
        <f t="shared" si="8"/>
        <v>9429.5410657332595</v>
      </c>
      <c r="I61" s="685">
        <f t="shared" si="8"/>
        <v>2221.2760116841264</v>
      </c>
      <c r="J61" s="685">
        <f t="shared" si="8"/>
        <v>0</v>
      </c>
      <c r="K61" s="685">
        <f t="shared" si="8"/>
        <v>247.16003116584244</v>
      </c>
      <c r="L61" s="685">
        <f t="shared" si="8"/>
        <v>0</v>
      </c>
      <c r="M61" s="685">
        <f t="shared" ca="1" si="8"/>
        <v>0</v>
      </c>
      <c r="N61" s="685">
        <f t="shared" si="8"/>
        <v>0</v>
      </c>
      <c r="O61" s="685">
        <f t="shared" ca="1" si="8"/>
        <v>0</v>
      </c>
      <c r="P61" s="685">
        <f t="shared" si="8"/>
        <v>0</v>
      </c>
      <c r="Q61" s="685">
        <f t="shared" si="8"/>
        <v>0</v>
      </c>
      <c r="R61" s="685">
        <f ca="1">R46+R52+R56</f>
        <v>29955.097264986114</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0.19709571194073777</v>
      </c>
      <c r="D63" s="731">
        <f t="shared" ca="1" si="9"/>
        <v>0</v>
      </c>
      <c r="E63" s="927">
        <f t="shared" ca="1" si="9"/>
        <v>0.20199999999999999</v>
      </c>
      <c r="F63" s="731">
        <f t="shared" si="9"/>
        <v>0.22700000000000001</v>
      </c>
      <c r="G63" s="731">
        <f t="shared" ca="1" si="9"/>
        <v>0.26700000000000002</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2230.1810488131819</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2230.1810488131819</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12361.645267370192</v>
      </c>
      <c r="C4" s="444">
        <f>huishoudens!C8</f>
        <v>0</v>
      </c>
      <c r="D4" s="444">
        <f>huishoudens!D8</f>
        <v>15940.607222099999</v>
      </c>
      <c r="E4" s="444">
        <f>huishoudens!E8</f>
        <v>1318.1447146109615</v>
      </c>
      <c r="F4" s="444">
        <f>huishoudens!F8</f>
        <v>25366.76986069257</v>
      </c>
      <c r="G4" s="444">
        <f>huishoudens!G8</f>
        <v>0</v>
      </c>
      <c r="H4" s="444">
        <f>huishoudens!H8</f>
        <v>0</v>
      </c>
      <c r="I4" s="444">
        <f>huishoudens!I8</f>
        <v>0</v>
      </c>
      <c r="J4" s="444">
        <f>huishoudens!J8</f>
        <v>129.8044613268502</v>
      </c>
      <c r="K4" s="444">
        <f>huishoudens!K8</f>
        <v>0</v>
      </c>
      <c r="L4" s="444">
        <f>huishoudens!L8</f>
        <v>0</v>
      </c>
      <c r="M4" s="444">
        <f>huishoudens!M8</f>
        <v>0</v>
      </c>
      <c r="N4" s="444">
        <f>huishoudens!N8</f>
        <v>4658.8465835282641</v>
      </c>
      <c r="O4" s="444">
        <f>huishoudens!O8</f>
        <v>132.92520069893112</v>
      </c>
      <c r="P4" s="445">
        <f>huishoudens!P8</f>
        <v>273.88294199981061</v>
      </c>
      <c r="Q4" s="446">
        <f>SUM(B4:P4)</f>
        <v>60182.626252327573</v>
      </c>
    </row>
    <row r="5" spans="1:17">
      <c r="A5" s="443" t="s">
        <v>149</v>
      </c>
      <c r="B5" s="444">
        <f ca="1">tertiair!B16</f>
        <v>5086.2317839999996</v>
      </c>
      <c r="C5" s="444">
        <f ca="1">tertiair!C16</f>
        <v>0</v>
      </c>
      <c r="D5" s="444">
        <f ca="1">tertiair!D16</f>
        <v>3547.0853088659997</v>
      </c>
      <c r="E5" s="444">
        <f>tertiair!E16</f>
        <v>17.778039909896826</v>
      </c>
      <c r="F5" s="444">
        <f ca="1">tertiair!F16</f>
        <v>1327.7531083462015</v>
      </c>
      <c r="G5" s="444">
        <f>tertiair!G16</f>
        <v>0</v>
      </c>
      <c r="H5" s="444">
        <f>tertiair!H16</f>
        <v>0</v>
      </c>
      <c r="I5" s="444">
        <f>tertiair!I16</f>
        <v>0</v>
      </c>
      <c r="J5" s="444">
        <f>tertiair!J16</f>
        <v>1.2140490343407346E-2</v>
      </c>
      <c r="K5" s="444">
        <f>tertiair!K16</f>
        <v>0</v>
      </c>
      <c r="L5" s="444">
        <f ca="1">tertiair!L16</f>
        <v>0</v>
      </c>
      <c r="M5" s="444">
        <f>tertiair!M16</f>
        <v>0</v>
      </c>
      <c r="N5" s="444">
        <f ca="1">tertiair!N16</f>
        <v>446.44874157770045</v>
      </c>
      <c r="O5" s="444">
        <f>tertiair!O16</f>
        <v>4.8972607658411542</v>
      </c>
      <c r="P5" s="445">
        <f>tertiair!P16</f>
        <v>0</v>
      </c>
      <c r="Q5" s="443">
        <f t="shared" ref="Q5:Q14" ca="1" si="0">SUM(B5:P5)</f>
        <v>10430.206383955985</v>
      </c>
    </row>
    <row r="6" spans="1:17">
      <c r="A6" s="443" t="s">
        <v>187</v>
      </c>
      <c r="B6" s="444">
        <f>'openbare verlichting'!B8</f>
        <v>377.62700000000001</v>
      </c>
      <c r="C6" s="444"/>
      <c r="D6" s="444"/>
      <c r="E6" s="444"/>
      <c r="F6" s="444"/>
      <c r="G6" s="444"/>
      <c r="H6" s="444"/>
      <c r="I6" s="444"/>
      <c r="J6" s="444"/>
      <c r="K6" s="444"/>
      <c r="L6" s="444"/>
      <c r="M6" s="444"/>
      <c r="N6" s="444"/>
      <c r="O6" s="444"/>
      <c r="P6" s="445"/>
      <c r="Q6" s="443">
        <f t="shared" si="0"/>
        <v>377.62700000000001</v>
      </c>
    </row>
    <row r="7" spans="1:17">
      <c r="A7" s="443" t="s">
        <v>105</v>
      </c>
      <c r="B7" s="444">
        <f>landbouw!B8</f>
        <v>1999.9498330000001</v>
      </c>
      <c r="C7" s="444">
        <f>landbouw!C8</f>
        <v>0</v>
      </c>
      <c r="D7" s="444">
        <f>landbouw!D8</f>
        <v>2420.2224221340002</v>
      </c>
      <c r="E7" s="444">
        <f>landbouw!E8</f>
        <v>81.250861707685729</v>
      </c>
      <c r="F7" s="444">
        <f>landbouw!F8</f>
        <v>7074.5223607008802</v>
      </c>
      <c r="G7" s="444">
        <f>landbouw!G8</f>
        <v>0</v>
      </c>
      <c r="H7" s="444">
        <f>landbouw!H8</f>
        <v>0</v>
      </c>
      <c r="I7" s="444">
        <f>landbouw!I8</f>
        <v>0</v>
      </c>
      <c r="J7" s="444">
        <f>landbouw!J8</f>
        <v>568.22720415120773</v>
      </c>
      <c r="K7" s="444">
        <f>landbouw!K8</f>
        <v>0</v>
      </c>
      <c r="L7" s="444">
        <f>landbouw!L8</f>
        <v>0</v>
      </c>
      <c r="M7" s="444">
        <f>landbouw!M8</f>
        <v>0</v>
      </c>
      <c r="N7" s="444">
        <f>landbouw!N8</f>
        <v>0</v>
      </c>
      <c r="O7" s="444">
        <f>landbouw!O8</f>
        <v>0</v>
      </c>
      <c r="P7" s="445">
        <f>landbouw!P8</f>
        <v>0</v>
      </c>
      <c r="Q7" s="443">
        <f t="shared" si="0"/>
        <v>12144.172681693773</v>
      </c>
    </row>
    <row r="8" spans="1:17">
      <c r="A8" s="443" t="s">
        <v>587</v>
      </c>
      <c r="B8" s="444">
        <f>industrie!B18</f>
        <v>510.15100000000001</v>
      </c>
      <c r="C8" s="444">
        <f>industrie!C18</f>
        <v>0</v>
      </c>
      <c r="D8" s="444">
        <f>industrie!D18</f>
        <v>345.32258200000001</v>
      </c>
      <c r="E8" s="444">
        <f>industrie!E18</f>
        <v>2.1582796446578429</v>
      </c>
      <c r="F8" s="444">
        <f>industrie!F18</f>
        <v>162.00847427700214</v>
      </c>
      <c r="G8" s="444">
        <f>industrie!G18</f>
        <v>0</v>
      </c>
      <c r="H8" s="444">
        <f>industrie!H18</f>
        <v>0</v>
      </c>
      <c r="I8" s="444">
        <f>industrie!I18</f>
        <v>0</v>
      </c>
      <c r="J8" s="444">
        <f>industrie!J18</f>
        <v>0.14837246618189234</v>
      </c>
      <c r="K8" s="444">
        <f>industrie!K18</f>
        <v>0</v>
      </c>
      <c r="L8" s="444">
        <f>industrie!L18</f>
        <v>0</v>
      </c>
      <c r="M8" s="444">
        <f>industrie!M18</f>
        <v>0</v>
      </c>
      <c r="N8" s="444">
        <f>industrie!N18</f>
        <v>21.568658178993243</v>
      </c>
      <c r="O8" s="444">
        <f>industrie!O18</f>
        <v>0</v>
      </c>
      <c r="P8" s="445">
        <f>industrie!P18</f>
        <v>0</v>
      </c>
      <c r="Q8" s="443">
        <f t="shared" si="0"/>
        <v>1041.357366566835</v>
      </c>
    </row>
    <row r="9" spans="1:17" s="449" customFormat="1">
      <c r="A9" s="447" t="s">
        <v>536</v>
      </c>
      <c r="B9" s="448">
        <f>transport!B14</f>
        <v>52.267605424248742</v>
      </c>
      <c r="C9" s="448">
        <f>transport!C14</f>
        <v>0</v>
      </c>
      <c r="D9" s="448">
        <f>transport!D14</f>
        <v>93.105762580754032</v>
      </c>
      <c r="E9" s="448">
        <f>transport!E14</f>
        <v>79.735175893782696</v>
      </c>
      <c r="F9" s="448">
        <f>transport!F14</f>
        <v>0</v>
      </c>
      <c r="G9" s="448">
        <f>transport!G14</f>
        <v>34959.680102540828</v>
      </c>
      <c r="H9" s="448">
        <f>transport!H14</f>
        <v>8920.7871955185801</v>
      </c>
      <c r="I9" s="448">
        <f>transport!I14</f>
        <v>0</v>
      </c>
      <c r="J9" s="448">
        <f>transport!J14</f>
        <v>0</v>
      </c>
      <c r="K9" s="448">
        <f>transport!K14</f>
        <v>0</v>
      </c>
      <c r="L9" s="448">
        <f>transport!L14</f>
        <v>0</v>
      </c>
      <c r="M9" s="448">
        <f>transport!M14</f>
        <v>2605.7879148458928</v>
      </c>
      <c r="N9" s="448">
        <f>transport!N14</f>
        <v>0</v>
      </c>
      <c r="O9" s="448">
        <f>transport!O14</f>
        <v>0</v>
      </c>
      <c r="P9" s="448">
        <f>transport!P14</f>
        <v>0</v>
      </c>
      <c r="Q9" s="447">
        <f>SUM(B9:P9)</f>
        <v>46711.363756804094</v>
      </c>
    </row>
    <row r="10" spans="1:17">
      <c r="A10" s="443" t="s">
        <v>526</v>
      </c>
      <c r="B10" s="444">
        <f>transport!B54</f>
        <v>4.9267864296949853</v>
      </c>
      <c r="C10" s="444">
        <f>transport!C54</f>
        <v>0</v>
      </c>
      <c r="D10" s="444">
        <f>transport!D54</f>
        <v>0</v>
      </c>
      <c r="E10" s="444">
        <f>transport!E54</f>
        <v>0</v>
      </c>
      <c r="F10" s="444">
        <f>transport!F54</f>
        <v>0</v>
      </c>
      <c r="G10" s="444">
        <f>transport!G54</f>
        <v>356.95310245265404</v>
      </c>
      <c r="H10" s="444">
        <f>transport!H54</f>
        <v>0</v>
      </c>
      <c r="I10" s="444">
        <f>transport!I54</f>
        <v>0</v>
      </c>
      <c r="J10" s="444">
        <f>transport!J54</f>
        <v>0</v>
      </c>
      <c r="K10" s="444">
        <f>transport!K54</f>
        <v>0</v>
      </c>
      <c r="L10" s="444">
        <f>transport!L54</f>
        <v>0</v>
      </c>
      <c r="M10" s="444">
        <f>transport!M54</f>
        <v>20.190330492970986</v>
      </c>
      <c r="N10" s="444">
        <f>transport!N54</f>
        <v>0</v>
      </c>
      <c r="O10" s="444">
        <f>transport!O54</f>
        <v>0</v>
      </c>
      <c r="P10" s="445">
        <f>transport!P54</f>
        <v>0</v>
      </c>
      <c r="Q10" s="443">
        <f t="shared" si="0"/>
        <v>382.07021937531999</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225.67765</v>
      </c>
      <c r="C14" s="451"/>
      <c r="D14" s="451">
        <f>'SEAP template'!E25</f>
        <v>393.39519999999999</v>
      </c>
      <c r="E14" s="451"/>
      <c r="F14" s="451"/>
      <c r="G14" s="451"/>
      <c r="H14" s="451"/>
      <c r="I14" s="451"/>
      <c r="J14" s="451"/>
      <c r="K14" s="451"/>
      <c r="L14" s="451"/>
      <c r="M14" s="451"/>
      <c r="N14" s="451"/>
      <c r="O14" s="451"/>
      <c r="P14" s="452"/>
      <c r="Q14" s="443">
        <f t="shared" si="0"/>
        <v>619.07285000000002</v>
      </c>
    </row>
    <row r="15" spans="1:17" s="455" customFormat="1">
      <c r="A15" s="453" t="s">
        <v>530</v>
      </c>
      <c r="B15" s="454">
        <f ca="1">SUM(B4:B14)</f>
        <v>20618.476926224135</v>
      </c>
      <c r="C15" s="454">
        <f t="shared" ref="C15:Q15" ca="1" si="1">SUM(C4:C14)</f>
        <v>0</v>
      </c>
      <c r="D15" s="454">
        <f t="shared" ca="1" si="1"/>
        <v>22739.738497680755</v>
      </c>
      <c r="E15" s="454">
        <f t="shared" si="1"/>
        <v>1499.0670717669846</v>
      </c>
      <c r="F15" s="454">
        <f t="shared" ca="1" si="1"/>
        <v>33931.053804016658</v>
      </c>
      <c r="G15" s="454">
        <f t="shared" si="1"/>
        <v>35316.633204993479</v>
      </c>
      <c r="H15" s="454">
        <f t="shared" si="1"/>
        <v>8920.7871955185801</v>
      </c>
      <c r="I15" s="454">
        <f t="shared" si="1"/>
        <v>0</v>
      </c>
      <c r="J15" s="454">
        <f t="shared" si="1"/>
        <v>698.19217843458318</v>
      </c>
      <c r="K15" s="454">
        <f t="shared" si="1"/>
        <v>0</v>
      </c>
      <c r="L15" s="454">
        <f t="shared" ca="1" si="1"/>
        <v>0</v>
      </c>
      <c r="M15" s="454">
        <f t="shared" si="1"/>
        <v>2625.9782453388639</v>
      </c>
      <c r="N15" s="454">
        <f t="shared" ca="1" si="1"/>
        <v>5126.8639832849576</v>
      </c>
      <c r="O15" s="454">
        <f t="shared" si="1"/>
        <v>137.82246146477229</v>
      </c>
      <c r="P15" s="454">
        <f t="shared" si="1"/>
        <v>273.88294199981061</v>
      </c>
      <c r="Q15" s="454">
        <f t="shared" ca="1" si="1"/>
        <v>131888.49651072358</v>
      </c>
    </row>
    <row r="17" spans="1:17">
      <c r="A17" s="456" t="s">
        <v>531</v>
      </c>
      <c r="B17" s="736">
        <f ca="1">huishoudens!B10</f>
        <v>0.19709571194073777</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2436.4272747311798</v>
      </c>
      <c r="C22" s="444">
        <f t="shared" ref="C22:C32" ca="1" si="3">C4*$C$17</f>
        <v>0</v>
      </c>
      <c r="D22" s="444">
        <f t="shared" ref="D22:D32" si="4">D4*$D$17</f>
        <v>3220.0026588641999</v>
      </c>
      <c r="E22" s="444">
        <f t="shared" ref="E22:E32" si="5">E4*$E$17</f>
        <v>299.21885021668828</v>
      </c>
      <c r="F22" s="444">
        <f t="shared" ref="F22:F32" si="6">F4*$F$17</f>
        <v>6772.9275528049166</v>
      </c>
      <c r="G22" s="444">
        <f t="shared" ref="G22:G32" si="7">G4*$G$17</f>
        <v>0</v>
      </c>
      <c r="H22" s="444">
        <f t="shared" ref="H22:H32" si="8">H4*$H$17</f>
        <v>0</v>
      </c>
      <c r="I22" s="444">
        <f t="shared" ref="I22:I32" si="9">I4*$I$17</f>
        <v>0</v>
      </c>
      <c r="J22" s="444">
        <f t="shared" ref="J22:J32" si="10">J4*$J$17</f>
        <v>45.95077930970497</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12774.52711592669</v>
      </c>
    </row>
    <row r="23" spans="1:17">
      <c r="A23" s="443" t="s">
        <v>149</v>
      </c>
      <c r="B23" s="444">
        <f t="shared" ca="1" si="2"/>
        <v>1002.4744745630887</v>
      </c>
      <c r="C23" s="444">
        <f t="shared" ca="1" si="3"/>
        <v>0</v>
      </c>
      <c r="D23" s="444">
        <f t="shared" ca="1" si="4"/>
        <v>716.51123239093192</v>
      </c>
      <c r="E23" s="444">
        <f t="shared" si="5"/>
        <v>4.0356150595465801</v>
      </c>
      <c r="F23" s="444">
        <f t="shared" ca="1" si="6"/>
        <v>354.51007992843586</v>
      </c>
      <c r="G23" s="444">
        <f t="shared" si="7"/>
        <v>0</v>
      </c>
      <c r="H23" s="444">
        <f t="shared" si="8"/>
        <v>0</v>
      </c>
      <c r="I23" s="444">
        <f t="shared" si="9"/>
        <v>0</v>
      </c>
      <c r="J23" s="444">
        <f t="shared" si="10"/>
        <v>4.2977335815662003E-3</v>
      </c>
      <c r="K23" s="444">
        <f t="shared" si="11"/>
        <v>0</v>
      </c>
      <c r="L23" s="444">
        <f t="shared" ca="1" si="12"/>
        <v>0</v>
      </c>
      <c r="M23" s="444">
        <f t="shared" si="13"/>
        <v>0</v>
      </c>
      <c r="N23" s="444">
        <f t="shared" ca="1" si="14"/>
        <v>0</v>
      </c>
      <c r="O23" s="444">
        <f t="shared" si="15"/>
        <v>0</v>
      </c>
      <c r="P23" s="445">
        <f t="shared" si="16"/>
        <v>0</v>
      </c>
      <c r="Q23" s="443">
        <f t="shared" ref="Q23:Q31" ca="1" si="17">SUM(B23:P23)</f>
        <v>2077.535699675585</v>
      </c>
    </row>
    <row r="24" spans="1:17">
      <c r="A24" s="443" t="s">
        <v>187</v>
      </c>
      <c r="B24" s="444">
        <f t="shared" ca="1" si="2"/>
        <v>74.428662413044989</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74.428662413044989</v>
      </c>
    </row>
    <row r="25" spans="1:17">
      <c r="A25" s="443" t="s">
        <v>105</v>
      </c>
      <c r="B25" s="444">
        <f t="shared" ca="1" si="2"/>
        <v>394.18153618089462</v>
      </c>
      <c r="C25" s="444">
        <f t="shared" ca="1" si="3"/>
        <v>0</v>
      </c>
      <c r="D25" s="444">
        <f t="shared" si="4"/>
        <v>488.88492927106807</v>
      </c>
      <c r="E25" s="444">
        <f t="shared" si="5"/>
        <v>18.443945607644661</v>
      </c>
      <c r="F25" s="444">
        <f t="shared" si="6"/>
        <v>1888.8974703071351</v>
      </c>
      <c r="G25" s="444">
        <f t="shared" si="7"/>
        <v>0</v>
      </c>
      <c r="H25" s="444">
        <f t="shared" si="8"/>
        <v>0</v>
      </c>
      <c r="I25" s="444">
        <f t="shared" si="9"/>
        <v>0</v>
      </c>
      <c r="J25" s="444">
        <f t="shared" si="10"/>
        <v>201.15243026952751</v>
      </c>
      <c r="K25" s="444">
        <f t="shared" si="11"/>
        <v>0</v>
      </c>
      <c r="L25" s="444">
        <f t="shared" si="12"/>
        <v>0</v>
      </c>
      <c r="M25" s="444">
        <f t="shared" si="13"/>
        <v>0</v>
      </c>
      <c r="N25" s="444">
        <f t="shared" si="14"/>
        <v>0</v>
      </c>
      <c r="O25" s="444">
        <f t="shared" si="15"/>
        <v>0</v>
      </c>
      <c r="P25" s="445">
        <f t="shared" si="16"/>
        <v>0</v>
      </c>
      <c r="Q25" s="443">
        <f t="shared" ca="1" si="17"/>
        <v>2991.5603116362699</v>
      </c>
    </row>
    <row r="26" spans="1:17">
      <c r="A26" s="443" t="s">
        <v>587</v>
      </c>
      <c r="B26" s="444">
        <f t="shared" ca="1" si="2"/>
        <v>100.54857454227931</v>
      </c>
      <c r="C26" s="444">
        <f t="shared" ca="1" si="3"/>
        <v>0</v>
      </c>
      <c r="D26" s="444">
        <f t="shared" si="4"/>
        <v>69.755161564000005</v>
      </c>
      <c r="E26" s="444">
        <f t="shared" si="5"/>
        <v>0.48992947933733039</v>
      </c>
      <c r="F26" s="444">
        <f t="shared" si="6"/>
        <v>43.256262631959572</v>
      </c>
      <c r="G26" s="444">
        <f t="shared" si="7"/>
        <v>0</v>
      </c>
      <c r="H26" s="444">
        <f t="shared" si="8"/>
        <v>0</v>
      </c>
      <c r="I26" s="444">
        <f t="shared" si="9"/>
        <v>0</v>
      </c>
      <c r="J26" s="444">
        <f t="shared" si="10"/>
        <v>5.252385302838989E-2</v>
      </c>
      <c r="K26" s="444">
        <f t="shared" si="11"/>
        <v>0</v>
      </c>
      <c r="L26" s="444">
        <f t="shared" si="12"/>
        <v>0</v>
      </c>
      <c r="M26" s="444">
        <f t="shared" si="13"/>
        <v>0</v>
      </c>
      <c r="N26" s="444">
        <f t="shared" si="14"/>
        <v>0</v>
      </c>
      <c r="O26" s="444">
        <f t="shared" si="15"/>
        <v>0</v>
      </c>
      <c r="P26" s="445">
        <f t="shared" si="16"/>
        <v>0</v>
      </c>
      <c r="Q26" s="443">
        <f t="shared" ca="1" si="17"/>
        <v>214.10245207060458</v>
      </c>
    </row>
    <row r="27" spans="1:17" s="449" customFormat="1">
      <c r="A27" s="447" t="s">
        <v>536</v>
      </c>
      <c r="B27" s="730">
        <f t="shared" ca="1" si="2"/>
        <v>10.301720902529873</v>
      </c>
      <c r="C27" s="448">
        <f t="shared" ca="1" si="3"/>
        <v>0</v>
      </c>
      <c r="D27" s="448">
        <f t="shared" si="4"/>
        <v>18.807364041312315</v>
      </c>
      <c r="E27" s="448">
        <f t="shared" si="5"/>
        <v>18.099884927888674</v>
      </c>
      <c r="F27" s="448">
        <f t="shared" si="6"/>
        <v>0</v>
      </c>
      <c r="G27" s="448">
        <f t="shared" si="7"/>
        <v>9334.2345873784016</v>
      </c>
      <c r="H27" s="448">
        <f t="shared" si="8"/>
        <v>2221.2760116841264</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11602.719568934259</v>
      </c>
    </row>
    <row r="28" spans="1:17" ht="16.5" customHeight="1">
      <c r="A28" s="443" t="s">
        <v>526</v>
      </c>
      <c r="B28" s="444">
        <f t="shared" ca="1" si="2"/>
        <v>0.97104847894069868</v>
      </c>
      <c r="C28" s="444">
        <f t="shared" ca="1" si="3"/>
        <v>0</v>
      </c>
      <c r="D28" s="444">
        <f t="shared" si="4"/>
        <v>0</v>
      </c>
      <c r="E28" s="444">
        <f t="shared" si="5"/>
        <v>0</v>
      </c>
      <c r="F28" s="444">
        <f t="shared" si="6"/>
        <v>0</v>
      </c>
      <c r="G28" s="444">
        <f t="shared" si="7"/>
        <v>95.306478354858626</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96.277526833799328</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44.480097095862639</v>
      </c>
      <c r="C32" s="444">
        <f t="shared" ca="1" si="3"/>
        <v>0</v>
      </c>
      <c r="D32" s="444">
        <f t="shared" si="4"/>
        <v>79.465830400000002</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123.94592749586263</v>
      </c>
    </row>
    <row r="33" spans="1:17" s="455" customFormat="1">
      <c r="A33" s="453" t="s">
        <v>530</v>
      </c>
      <c r="B33" s="454">
        <f ca="1">SUM(B22:B32)</f>
        <v>4063.8133889078204</v>
      </c>
      <c r="C33" s="454">
        <f t="shared" ref="C33:Q33" ca="1" si="19">SUM(C22:C32)</f>
        <v>0</v>
      </c>
      <c r="D33" s="454">
        <f t="shared" ca="1" si="19"/>
        <v>4593.4271765315134</v>
      </c>
      <c r="E33" s="454">
        <f t="shared" si="19"/>
        <v>340.2882252911055</v>
      </c>
      <c r="F33" s="454">
        <f t="shared" ca="1" si="19"/>
        <v>9059.591365672446</v>
      </c>
      <c r="G33" s="454">
        <f t="shared" si="19"/>
        <v>9429.5410657332595</v>
      </c>
      <c r="H33" s="454">
        <f t="shared" si="19"/>
        <v>2221.2760116841264</v>
      </c>
      <c r="I33" s="454">
        <f t="shared" si="19"/>
        <v>0</v>
      </c>
      <c r="J33" s="454">
        <f t="shared" si="19"/>
        <v>247.16003116584244</v>
      </c>
      <c r="K33" s="454">
        <f t="shared" si="19"/>
        <v>0</v>
      </c>
      <c r="L33" s="454">
        <f t="shared" ca="1" si="19"/>
        <v>0</v>
      </c>
      <c r="M33" s="454">
        <f t="shared" si="19"/>
        <v>0</v>
      </c>
      <c r="N33" s="454">
        <f t="shared" ca="1" si="19"/>
        <v>0</v>
      </c>
      <c r="O33" s="454">
        <f t="shared" si="19"/>
        <v>0</v>
      </c>
      <c r="P33" s="454">
        <f t="shared" si="19"/>
        <v>0</v>
      </c>
      <c r="Q33" s="454">
        <f t="shared" ca="1" si="19"/>
        <v>29955.097264986121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2230.1810488131819</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2230.1810488131819</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0.19709571194073777</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0.19709571194073777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2022-07-26T10:27:38Z</dcterms:modified>
</cp:coreProperties>
</file>