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C11D5CD7-4C9A-4D4F-B7CF-6BA888AE402E}"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5" i="48"/>
  <c r="Q4" i="48"/>
  <c r="N23" i="48"/>
  <c r="R11" i="14"/>
  <c r="J22" i="48"/>
  <c r="R10" i="14"/>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<sst xmlns="http://schemas.openxmlformats.org/spreadsheetml/2006/main" count="2405" uniqueCount="883">
  <si>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</si>
  <si>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</si>
  <si>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</si>
  <si>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</si>
  <si>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</si>
  <si>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</si>
  <si>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</si>
  <si>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</si>
  <si>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</si>
  <si>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</si>
  <si>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</si>
  <si>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</si>
  <si>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</si>
  <si>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</si>
  <si>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</si>
  <si>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</si>
  <si>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</si>
  <si>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</si>
  <si>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</si>
  <si>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</si>
  <si>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</si>
  <si>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</si>
  <si>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</si>
  <si>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</si>
  <si>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</si>
  <si>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</si>
  <si>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</si>
  <si>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</si>
  <si>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</si>
  <si>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</si>
  <si>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</si>
  <si>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</si>
  <si>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</si>
  <si>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</si>
  <si>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</si>
  <si>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</si>
  <si>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</si>
  <si>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</si>
  <si>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</si>
  <si>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</si>
  <si>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</si>
  <si>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</si>
  <si>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</si>
  <si>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</si>
  <si>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</si>
  <si>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</si>
  <si>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</si>
  <si>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</si>
  <si>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</si>
  <si>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</si>
  <si>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</si>
  <si>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</si>
  <si>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</si>
  <si>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</si>
  <si>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</si>
  <si>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</si>
  <si>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</si>
  <si>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</si>
  <si>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</si>
  <si>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</si>
  <si>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</si>
  <si>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</si>
  <si>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</si>
  <si>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</si>
  <si>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</si>
  <si>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</si>
  <si>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</si>
  <si>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</si>
  <si>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</si>
  <si>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</si>
  <si>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</si>
  <si>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</si>
  <si>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</si>
  <si>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</si>
  <si>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</si>
  <si>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</si>
  <si>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</si>
  <si>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</si>
  <si>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</si>
  <si>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</si>
  <si>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</si>
  <si>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</si>
  <si>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</si>
  <si>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</si>
  <si>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</si>
  <si>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</si>
  <si>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</si>
  <si>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</si>
  <si>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</si>
  <si>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</si>
  <si>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</si>
  <si>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</si>
  <si>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</si>
  <si>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</si>
  <si>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</si>
  <si>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</si>
  <si>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</si>
  <si>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</si>
  <si>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</si>
  <si>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</si>
  <si>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</si>
  <si>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</si>
  <si>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</si>
  <si>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</si>
  <si>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</si>
  <si>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</si>
  <si>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</si>
  <si>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</si>
  <si>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</si>
  <si>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</si>
  <si>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</si>
  <si>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</si>
  <si>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</si>
  <si>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</si>
  <si>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</si>
  <si>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</si>
  <si>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</si>
  <si>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</si>
  <si>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</si>
  <si>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</si>
  <si>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</si>
  <si>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</si>
  <si>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</si>
  <si>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</si>
  <si>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</si>
  <si>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</si>
  <si>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</si>
  <si>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</si>
  <si>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</si>
  <si>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</si>
  <si>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</si>
  <si>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</si>
  <si>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</si>
  <si>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</si>
  <si>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</si>
  <si>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</si>
  <si>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</si>
  <si>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</si>
  <si>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</si>
  <si>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</si>
  <si>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</si>
  <si>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</si>
  <si>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</si>
  <si>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</si>
  <si>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</si>
  <si>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</si>
  <si>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</si>
  <si>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</si>
  <si>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</si>
  <si>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</si>
  <si>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</si>
  <si>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</si>
  <si>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</si>
  <si>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</si>
  <si>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</si>
  <si>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</si>
  <si>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</si>
  <si>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</si>
  <si>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</si>
  <si>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</si>
  <si>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</si>
  <si>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</si>
  <si>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</si>
  <si>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</si>
  <si>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</si>
  <si>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</si>
  <si>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</si>
  <si>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</si>
  <si>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</si>
  <si>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</si>
  <si>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</si>
  <si>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</si>
  <si>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</si>
  <si>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</si>
  <si>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</si>
  <si>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</si>
  <si>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</si>
  <si>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</si>
  <si>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</si>
  <si>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</si>
  <si>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</si>
  <si>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</si>
  <si>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</si>
  <si>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</si>
  <si>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</si>
  <si>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</si>
  <si>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</si>
  <si>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</si>
  <si>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</si>
  <si>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</si>
  <si>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</si>
  <si>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</si>
  <si>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</si>
  <si>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</si>
  <si>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</si>
  <si>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</si>
  <si>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</si>
  <si>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</si>
  <si>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</si>
  <si>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</si>
  <si>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</si>
  <si>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</si>
  <si>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</si>
  <si>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</si>
  <si>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</si>
  <si>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</si>
  <si>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</si>
  <si>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</si>
  <si>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</si>
  <si>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</si>
  <si>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</si>
  <si>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</si>
  <si>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</si>
  <si>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</si>
  <si>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</si>
  <si>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</si>
  <si>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</si>
  <si>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</si>
  <si>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</si>
  <si>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</si>
  <si>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</si>
  <si>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</si>
  <si>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</si>
  <si>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</si>
  <si>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</si>
  <si>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</si>
  <si>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</si>
  <si>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</si>
  <si>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</si>
  <si>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</si>
  <si>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</si>
  <si>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</si>
  <si>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</si>
  <si>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</si>
  <si>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</si>
  <si>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</si>
  <si>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</si>
  <si>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</si>
  <si>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</si>
  <si>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</si>
  <si>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</si>
  <si>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</si>
  <si>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</si>
  <si>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</si>
  <si>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</si>
  <si>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</si>
  <si>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</si>
  <si>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</si>
  <si>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</si>
  <si>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</si>
  <si>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</si>
  <si>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</si>
  <si>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</si>
  <si>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</si>
  <si>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</si>
  <si>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</si>
  <si>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</si>
  <si>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</si>
  <si>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</si>
  <si>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</si>
  <si>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</si>
  <si>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</si>
  <si>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</si>
  <si>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</si>
  <si>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</si>
  <si>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</si>
  <si>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</si>
  <si>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</si>
  <si>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</si>
  <si>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</si>
  <si>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</si>
  <si>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</si>
  <si>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</si>
  <si>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</si>
  <si>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</si>
  <si>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</si>
  <si>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</si>
  <si>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</si>
  <si>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</si>
  <si>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</si>
  <si>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</si>
  <si>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</si>
  <si>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</si>
  <si>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</si>
  <si>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</si>
  <si>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</si>
  <si>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</si>
  <si>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</si>
  <si>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</si>
  <si>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</si>
  <si>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</si>
  <si>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</si>
  <si>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</si>
  <si>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</si>
  <si>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</si>
  <si>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</si>
  <si>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</si>
  <si>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</si>
  <si>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</si>
  <si>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</si>
  <si>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</si>
  <si>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</si>
  <si>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</si>
  <si>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</si>
  <si>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</si>
  <si>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</si>
  <si>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</si>
  <si>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</si>
  <si>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</si>
  <si>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</si>
  <si>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</si>
  <si>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</si>
  <si>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</si>
  <si>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</si>
  <si>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</si>
  <si>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</si>
  <si>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</si>
  <si>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</si>
  <si>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</si>
  <si>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</si>
  <si>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</si>
  <si>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</si>
  <si>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</si>
  <si>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</si>
  <si>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</si>
  <si>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</si>
  <si>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</si>
  <si>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</si>
  <si>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</si>
  <si>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</si>
  <si>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</si>
  <si>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</si>
  <si>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</si>
  <si>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</si>
  <si>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</si>
  <si>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</si>
  <si>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</si>
  <si>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</si>
  <si>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</si>
  <si>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</si>
  <si>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</si>
  <si>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</si>
  <si>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</si>
  <si>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</si>
  <si>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</si>
  <si>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</si>
  <si>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</si>
  <si>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</si>
  <si>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</si>
  <si>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</si>
  <si>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</si>
  <si>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</si>
  <si>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</si>
  <si>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</si>
  <si>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</si>
  <si>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</si>
  <si>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</si>
  <si>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</si>
  <si>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</si>
  <si>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</si>
  <si>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</si>
  <si>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</si>
  <si>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</si>
  <si>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</si>
  <si>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</si>
  <si>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</si>
  <si>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</si>
  <si>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</si>
  <si>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</si>
  <si>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</si>
  <si>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</si>
  <si>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</si>
  <si>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</si>
  <si>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</si>
  <si>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</si>
  <si>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</si>
  <si>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</si>
  <si>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</si>
  <si>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</si>
  <si>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</si>
  <si>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</si>
  <si>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</si>
  <si>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</si>
  <si>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</si>
  <si>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</si>
  <si>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</si>
  <si>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</si>
  <si>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</si>
  <si>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</si>
  <si>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</si>
  <si>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</si>
  <si>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</si>
  <si>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</si>
  <si>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</si>
  <si>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</si>
  <si>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</si>
  <si>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</si>
  <si>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</si>
  <si>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</si>
  <si>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</si>
  <si>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</si>
  <si>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</si>
  <si>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</si>
  <si>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</si>
  <si>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</si>
  <si>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</si>
  <si>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</si>
  <si>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</si>
  <si>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</si>
  <si>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</si>
  <si>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</si>
  <si>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</si>
  <si>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</si>
  <si>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</si>
  <si>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</si>
  <si>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</si>
  <si>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</si>
  <si>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</si>
  <si>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</si>
  <si>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</si>
  <si>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</si>
  <si>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</si>
  <si>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</si>
  <si>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</si>
  <si>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</si>
  <si>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</si>
  <si>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</si>
  <si>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</si>
  <si>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</si>
  <si>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</si>
  <si>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</si>
  <si>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</si>
  <si>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</si>
  <si>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</si>
  <si>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</si>
  <si>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</si>
  <si>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</si>
  <si>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</si>
  <si>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</si>
  <si>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</si>
  <si>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</si>
  <si>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</si>
  <si>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</si>
  <si>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</si>
  <si>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</si>
  <si>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</si>
  <si>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</si>
  <si>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</si>
  <si>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</si>
  <si>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</si>
  <si>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</si>
  <si>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</si>
  <si>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</si>
  <si>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</si>
  <si>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</si>
  <si>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</si>
  <si>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</si>
  <si>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</si>
  <si>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</si>
  <si>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</si>
  <si>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</si>
  <si>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</si>
  <si>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</si>
  <si>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</si>
  <si>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</si>
  <si>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</si>
  <si>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</si>
  <si>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</si>
  <si>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</si>
  <si>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</si>
  <si>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</si>
  <si>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</si>
  <si>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</si>
  <si>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</si>
  <si>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</si>
  <si>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</si>
  <si>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</si>
  <si>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</si>
  <si>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</si>
  <si>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</si>
  <si>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</si>
  <si>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</si>
  <si>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</si>
  <si>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</si>
  <si>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</si>
  <si>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</si>
  <si>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</si>
  <si>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</si>
  <si>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</si>
  <si>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</si>
  <si>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</si>
  <si>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</si>
  <si>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</si>
  <si>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</si>
  <si>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</si>
  <si>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</si>
  <si>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</si>
  <si>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</si>
  <si>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</si>
  <si>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</si>
  <si>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</si>
  <si>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</si>
  <si>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</si>
  <si>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</si>
  <si>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</si>
  <si>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</si>
  <si>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</si>
  <si>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</si>
  <si>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</si>
  <si>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</si>
  <si>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</si>
  <si>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</si>
  <si>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</si>
  <si>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</si>
  <si>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</si>
  <si>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</si>
  <si>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</si>
  <si>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</si>
  <si>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</si>
  <si>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</si>
  <si>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</si>
  <si>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</si>
  <si>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</si>
  <si>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</si>
  <si>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</si>
  <si>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</si>
  <si>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</si>
  <si>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</si>
  <si>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</si>
  <si>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</si>
  <si>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</si>
  <si>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</si>
  <si>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</si>
  <si>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</si>
  <si>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</si>
  <si>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</si>
  <si>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</si>
  <si>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</si>
  <si>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</si>
  <si>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</si>
  <si>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</si>
  <si>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</si>
  <si>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</si>
  <si>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</si>
  <si>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</si>
  <si>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</si>
  <si>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</si>
  <si>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</si>
  <si>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</si>
  <si>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</si>
  <si>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</si>
  <si>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</si>
  <si>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</si>
  <si>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</si>
  <si>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</si>
  <si>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</si>
  <si>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</si>
  <si>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</si>
  <si>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</si>
  <si>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</si>
  <si>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</si>
  <si>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</si>
  <si>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</si>
  <si>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</si>
  <si>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</si>
  <si>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</si>
  <si>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</si>
  <si>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</si>
  <si>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</si>
  <si>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</si>
  <si>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</si>
  <si>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</si>
  <si>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</si>
  <si>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</si>
  <si>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</si>
  <si>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</si>
  <si>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</si>
  <si>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</si>
  <si>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</si>
  <si>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</si>
  <si>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</si>
  <si>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</si>
  <si>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</si>
  <si>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</si>
  <si>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</si>
  <si>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</si>
  <si>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</si>
  <si>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</si>
  <si>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</si>
  <si>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</si>
  <si>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</si>
  <si>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</si>
  <si>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</si>
  <si>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</si>
  <si>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</si>
  <si>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</si>
  <si>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</si>
  <si>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</si>
  <si>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</si>
  <si>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</si>
  <si>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</si>
  <si>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</si>
  <si>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</si>
  <si>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</si>
  <si>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</si>
  <si>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</si>
  <si>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</si>
  <si>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</si>
  <si>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</si>
  <si>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</si>
  <si>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</si>
  <si>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</si>
  <si>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</si>
  <si>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</si>
  <si>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</si>
  <si>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</si>
  <si>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</si>
  <si>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</si>
  <si>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</si>
  <si>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</si>
  <si>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</si>
  <si>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</si>
  <si>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</si>
  <si>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</si>
  <si>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</si>
  <si>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</si>
  <si>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</si>
  <si>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</si>
  <si>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</si>
  <si>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</si>
  <si>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</si>
  <si>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</si>
  <si>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</si>
  <si>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</si>
  <si>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</si>
  <si>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</si>
  <si>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</si>
  <si>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</si>
  <si>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</si>
  <si>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</si>
  <si>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</si>
  <si>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</si>
  <si>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</si>
  <si>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</si>
  <si>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</si>
  <si>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</si>
  <si>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</si>
  <si>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</si>
  <si>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</si>
  <si>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</si>
  <si>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</si>
  <si>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</si>
  <si>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</si>
  <si>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</si>
  <si>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</si>
  <si>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</si>
  <si>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</si>
  <si>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</si>
  <si>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</si>
  <si>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</si>
  <si>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</si>
  <si>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</si>
  <si>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</si>
  <si>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</si>
  <si>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</si>
  <si>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</si>
  <si>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</si>
  <si>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</si>
  <si>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</si>
  <si>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</si>
  <si>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</si>
  <si>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</si>
  <si>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</si>
  <si>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</si>
  <si>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</si>
  <si>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</si>
  <si>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</si>
  <si>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</si>
  <si>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</si>
  <si>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</si>
  <si>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</si>
  <si>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</si>
  <si>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</si>
  <si>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</si>
  <si>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</si>
  <si>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</si>
  <si>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</si>
  <si>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</si>
  <si>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</si>
  <si>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</si>
  <si>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</si>
  <si>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</si>
  <si>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</si>
  <si>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</si>
  <si>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</si>
  <si>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</si>
  <si>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</si>
  <si>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</si>
  <si>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</si>
  <si>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</si>
  <si>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</si>
  <si>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</si>
  <si>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</si>
  <si>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</si>
  <si>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</si>
  <si>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</si>
  <si>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</si>
  <si>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</si>
  <si>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</si>
  <si>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</si>
  <si>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</si>
  <si>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</si>
  <si>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</si>
  <si>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</si>
  <si>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</si>
  <si>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</si>
  <si>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</si>
  <si>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</si>
  <si>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</si>
  <si>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</si>
  <si>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</si>
  <si>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</si>
  <si>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</si>
  <si>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</si>
  <si>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</si>
  <si>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</si>
  <si>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</si>
  <si>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</si>
  <si>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</si>
  <si>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</si>
  <si>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</si>
  <si>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</si>
  <si>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</si>
  <si>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</si>
  <si>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</si>
  <si>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</si>
  <si>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</si>
  <si>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</si>
  <si>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</si>
  <si>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</si>
  <si>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</si>
  <si>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</si>
  <si>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</si>
  <si>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</si>
  <si>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</si>
  <si>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</si>
  <si>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</si>
  <si>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</si>
  <si>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</si>
  <si>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</si>
  <si>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</si>
  <si>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</si>
  <si>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</si>
  <si>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</si>
  <si>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</si>
  <si>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</si>
  <si>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</si>
  <si>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</si>
  <si>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</si>
  <si>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</si>
  <si>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</si>
  <si>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</si>
  <si>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</si>
  <si>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</si>
  <si>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</si>
  <si>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</si>
  <si>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</si>
  <si>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</si>
  <si>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</si>
  <si>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</si>
  <si>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</si>
  <si>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</si>
  <si>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</si>
  <si>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</si>
  <si>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</si>
  <si>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</si>
  <si>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</si>
  <si>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</si>
  <si>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</si>
  <si>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</si>
  <si>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</si>
  <si>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</si>
  <si>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</si>
  <si>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</si>
  <si>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</si>
  <si>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</si>
  <si>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</si>
  <si>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</si>
  <si>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</si>
  <si>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</si>
  <si>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</si>
  <si>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</si>
  <si>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</si>
  <si>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</si>
  <si>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</si>
  <si>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</si>
  <si>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</si>
  <si>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</si>
  <si>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</si>
  <si>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</si>
  <si>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</si>
  <si>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</si>
  <si>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</si>
  <si>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</si>
  <si>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</si>
  <si>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</si>
  <si>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</si>
  <si>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</si>
  <si>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</si>
  <si>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</si>
  <si>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</si>
  <si>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</si>
  <si>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</si>
  <si>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</si>
  <si>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</si>
  <si>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</si>
  <si>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</si>
  <si>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</si>
  <si>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</si>
  <si>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</si>
  <si>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</si>
  <si>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</si>
  <si>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</si>
  <si>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</si>
  <si>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</si>
  <si>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</si>
  <si>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</si>
  <si>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</si>
  <si>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</si>
  <si>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</si>
  <si>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</si>
  <si>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</si>
  <si>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</si>
  <si>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</si>
  <si>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</si>
  <si>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</si>
  <si>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</si>
  <si>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</si>
  <si>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</si>
  <si>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</si>
  <si>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</si>
  <si>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</si>
  <si>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</si>
  <si>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</si>
  <si>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</si>
  <si>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</si>
  <si>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</si>
  <si>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</si>
  <si>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</si>
  <si>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</si>
  <si>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</si>
  <si>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</si>
  <si>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</si>
  <si>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</si>
  <si>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</si>
  <si>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</si>
  <si>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</si>
  <si>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</si>
  <si>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</si>
  <si>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</si>
  <si>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</si>
  <si>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</si>
  <si>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</si>
  <si>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</si>
  <si>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</si>
  <si>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</si>
  <si>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</si>
  <si>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</si>
  <si>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</si>
  <si>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</si>
  <si>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</si>
  <si>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</si>
  <si>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</si>
  <si>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</si>
  <si>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</si>
  <si>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</si>
  <si>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</si>
  <si>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</si>
  <si>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</si>
  <si>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</si>
  <si>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34002</t>
  </si>
  <si>
    <t>ANZEGEM</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</si>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</sst>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9377F77A-9246-434B-8545-3BC9B7701198}"/>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119153.47349088521</c:v>
                </c:pt>
                <c:pt idx="1">
                  <c:v>24785.732337408826</c:v>
                </c:pt>
                <c:pt idx="2">
                  <c:v>1312.3330000000001</c:v>
                </c:pt>
                <c:pt idx="3">
                  <c:v>8454.8847884505449</c:v>
                </c:pt>
                <c:pt idx="4">
                  <c:v>52099.923426482535</c:v>
                </c:pt>
                <c:pt idx="5">
                  <c:v>71197.707664497255</c:v>
                </c:pt>
                <c:pt idx="6">
                  <c:v>841.53981104856405</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119153.47349088521</c:v>
                </c:pt>
                <c:pt idx="1">
                  <c:v>24785.732337408826</c:v>
                </c:pt>
                <c:pt idx="2">
                  <c:v>1312.3330000000001</c:v>
                </c:pt>
                <c:pt idx="3">
                  <c:v>8454.8847884505449</c:v>
                </c:pt>
                <c:pt idx="4">
                  <c:v>52099.923426482535</c:v>
                </c:pt>
                <c:pt idx="5">
                  <c:v>71197.707664497255</c:v>
                </c:pt>
                <c:pt idx="6">
                  <c:v>841.53981104856405</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24900.989344687994</c:v>
                </c:pt>
                <c:pt idx="1">
                  <c:v>4887.0208506796862</c:v>
                </c:pt>
                <c:pt idx="2">
                  <c:v>250.01870171137736</c:v>
                </c:pt>
                <c:pt idx="3">
                  <c:v>2159.3853255317558</c:v>
                </c:pt>
                <c:pt idx="4">
                  <c:v>10297.246322701963</c:v>
                </c:pt>
                <c:pt idx="5">
                  <c:v>17717.313875026248</c:v>
                </c:pt>
                <c:pt idx="6">
                  <c:v>211.98743608549404</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24900.989344687994</c:v>
                </c:pt>
                <c:pt idx="1">
                  <c:v>4887.0208506796862</c:v>
                </c:pt>
                <c:pt idx="2">
                  <c:v>250.01870171137736</c:v>
                </c:pt>
                <c:pt idx="3">
                  <c:v>2159.3853255317558</c:v>
                </c:pt>
                <c:pt idx="4">
                  <c:v>10297.246322701963</c:v>
                </c:pt>
                <c:pt idx="5">
                  <c:v>17717.313875026248</c:v>
                </c:pt>
                <c:pt idx="6">
                  <c:v>211.98743608549404</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34002</v>
      </c>
      <c r="B6" s="382"/>
      <c r="C6" s="383"/>
    </row>
    <row r="7" spans="1:7" s="380" customFormat="1" ht="15.75" customHeight="1">
      <c r="A7" s="384" t="str">
        <f>txtMunicipality</f>
        <v>ANZEGEM</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0.19051468012415854</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0.19051468012415854</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5914</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2689.99</v>
      </c>
      <c r="C14" s="324"/>
      <c r="D14" s="324"/>
      <c r="E14" s="324"/>
      <c r="F14" s="324"/>
    </row>
    <row r="15" spans="1:6">
      <c r="A15" s="1257" t="s">
        <v>177</v>
      </c>
      <c r="B15" s="1258">
        <v>30</v>
      </c>
      <c r="C15" s="324"/>
      <c r="D15" s="324"/>
      <c r="E15" s="324"/>
      <c r="F15" s="324"/>
    </row>
    <row r="16" spans="1:6">
      <c r="A16" s="1257" t="s">
        <v>6</v>
      </c>
      <c r="B16" s="1258">
        <v>1052</v>
      </c>
      <c r="C16" s="324"/>
      <c r="D16" s="324"/>
      <c r="E16" s="324"/>
      <c r="F16" s="324"/>
    </row>
    <row r="17" spans="1:6">
      <c r="A17" s="1257" t="s">
        <v>7</v>
      </c>
      <c r="B17" s="1258">
        <v>824</v>
      </c>
      <c r="C17" s="324"/>
      <c r="D17" s="324"/>
      <c r="E17" s="324"/>
      <c r="F17" s="324"/>
    </row>
    <row r="18" spans="1:6">
      <c r="A18" s="1257" t="s">
        <v>8</v>
      </c>
      <c r="B18" s="1258">
        <v>1117</v>
      </c>
      <c r="C18" s="324"/>
      <c r="D18" s="324"/>
      <c r="E18" s="324"/>
      <c r="F18" s="324"/>
    </row>
    <row r="19" spans="1:6">
      <c r="A19" s="1257" t="s">
        <v>9</v>
      </c>
      <c r="B19" s="1258">
        <v>1213</v>
      </c>
      <c r="C19" s="324"/>
      <c r="D19" s="324"/>
      <c r="E19" s="324"/>
      <c r="F19" s="324"/>
    </row>
    <row r="20" spans="1:6">
      <c r="A20" s="1257" t="s">
        <v>10</v>
      </c>
      <c r="B20" s="1258">
        <v>614</v>
      </c>
      <c r="C20" s="324"/>
      <c r="D20" s="324"/>
      <c r="E20" s="324"/>
      <c r="F20" s="324"/>
    </row>
    <row r="21" spans="1:6">
      <c r="A21" s="1257" t="s">
        <v>11</v>
      </c>
      <c r="B21" s="1258">
        <v>2592</v>
      </c>
      <c r="C21" s="324"/>
      <c r="D21" s="324"/>
      <c r="E21" s="324"/>
      <c r="F21" s="324"/>
    </row>
    <row r="22" spans="1:6">
      <c r="A22" s="1257" t="s">
        <v>12</v>
      </c>
      <c r="B22" s="1258">
        <v>10512</v>
      </c>
      <c r="C22" s="324"/>
      <c r="D22" s="324"/>
      <c r="E22" s="324"/>
      <c r="F22" s="324"/>
    </row>
    <row r="23" spans="1:6">
      <c r="A23" s="1257" t="s">
        <v>13</v>
      </c>
      <c r="B23" s="1258">
        <v>97</v>
      </c>
      <c r="C23" s="324"/>
      <c r="D23" s="324"/>
      <c r="E23" s="324"/>
      <c r="F23" s="324"/>
    </row>
    <row r="24" spans="1:6">
      <c r="A24" s="1257" t="s">
        <v>14</v>
      </c>
      <c r="B24" s="1258">
        <v>7</v>
      </c>
      <c r="C24" s="324"/>
      <c r="D24" s="324"/>
      <c r="E24" s="324"/>
      <c r="F24" s="324"/>
    </row>
    <row r="25" spans="1:6">
      <c r="A25" s="1257" t="s">
        <v>15</v>
      </c>
      <c r="B25" s="1258">
        <v>705</v>
      </c>
      <c r="C25" s="324"/>
      <c r="D25" s="324"/>
      <c r="E25" s="324"/>
      <c r="F25" s="324"/>
    </row>
    <row r="26" spans="1:6">
      <c r="A26" s="1257" t="s">
        <v>16</v>
      </c>
      <c r="B26" s="1258">
        <v>293</v>
      </c>
      <c r="C26" s="324"/>
      <c r="D26" s="324"/>
      <c r="E26" s="324"/>
      <c r="F26" s="324"/>
    </row>
    <row r="27" spans="1:6">
      <c r="A27" s="1257" t="s">
        <v>17</v>
      </c>
      <c r="B27" s="1258">
        <v>0</v>
      </c>
      <c r="C27" s="324"/>
      <c r="D27" s="324"/>
      <c r="E27" s="324"/>
      <c r="F27" s="324"/>
    </row>
    <row r="28" spans="1:6">
      <c r="A28" s="1257" t="s">
        <v>18</v>
      </c>
      <c r="B28" s="1259">
        <v>202011</v>
      </c>
      <c r="C28" s="324"/>
      <c r="D28" s="324"/>
      <c r="E28" s="324"/>
      <c r="F28" s="324"/>
    </row>
    <row r="29" spans="1:6">
      <c r="A29" s="1257" t="s">
        <v>664</v>
      </c>
      <c r="B29" s="1259">
        <v>45</v>
      </c>
      <c r="C29" s="324"/>
      <c r="D29" s="324"/>
      <c r="E29" s="324"/>
      <c r="F29" s="324"/>
    </row>
    <row r="30" spans="1:6">
      <c r="A30" s="1252" t="s">
        <v>665</v>
      </c>
      <c r="B30" s="1260">
        <v>15</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27</v>
      </c>
      <c r="D36" s="1258">
        <v>2148899.1869999999</v>
      </c>
      <c r="E36" s="1258">
        <v>73</v>
      </c>
      <c r="F36" s="1258">
        <v>678254.72699999996</v>
      </c>
    </row>
    <row r="37" spans="1:6">
      <c r="A37" s="1257" t="s">
        <v>24</v>
      </c>
      <c r="B37" s="1257" t="s">
        <v>27</v>
      </c>
      <c r="C37" s="1258">
        <v>0</v>
      </c>
      <c r="D37" s="1258">
        <v>0</v>
      </c>
      <c r="E37" s="1258">
        <v>0</v>
      </c>
      <c r="F37" s="1258">
        <v>0</v>
      </c>
    </row>
    <row r="38" spans="1:6">
      <c r="A38" s="1257" t="s">
        <v>24</v>
      </c>
      <c r="B38" s="1257" t="s">
        <v>28</v>
      </c>
      <c r="C38" s="1258">
        <v>2</v>
      </c>
      <c r="D38" s="1258">
        <v>77442.369000000006</v>
      </c>
      <c r="E38" s="1258">
        <v>0</v>
      </c>
      <c r="F38" s="1258">
        <v>0</v>
      </c>
    </row>
    <row r="39" spans="1:6">
      <c r="A39" s="1257" t="s">
        <v>29</v>
      </c>
      <c r="B39" s="1257" t="s">
        <v>30</v>
      </c>
      <c r="C39" s="1258">
        <v>2435</v>
      </c>
      <c r="D39" s="1258">
        <v>34441984.659999996</v>
      </c>
      <c r="E39" s="1258">
        <v>5573</v>
      </c>
      <c r="F39" s="1258">
        <v>23611647.82</v>
      </c>
    </row>
    <row r="40" spans="1:6">
      <c r="A40" s="1257" t="s">
        <v>29</v>
      </c>
      <c r="B40" s="1257" t="s">
        <v>28</v>
      </c>
      <c r="C40" s="1258">
        <v>0</v>
      </c>
      <c r="D40" s="1258">
        <v>0</v>
      </c>
      <c r="E40" s="1258">
        <v>0</v>
      </c>
      <c r="F40" s="1258">
        <v>0</v>
      </c>
    </row>
    <row r="41" spans="1:6">
      <c r="A41" s="1257" t="s">
        <v>31</v>
      </c>
      <c r="B41" s="1257" t="s">
        <v>32</v>
      </c>
      <c r="C41" s="1258">
        <v>62</v>
      </c>
      <c r="D41" s="1258">
        <v>1294053.432</v>
      </c>
      <c r="E41" s="1258">
        <v>198</v>
      </c>
      <c r="F41" s="1258">
        <v>2971561.3960000002</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0</v>
      </c>
      <c r="D44" s="1258">
        <v>0</v>
      </c>
      <c r="E44" s="1258">
        <v>16</v>
      </c>
      <c r="F44" s="1258">
        <v>267883.897</v>
      </c>
    </row>
    <row r="45" spans="1:6">
      <c r="A45" s="1257" t="s">
        <v>31</v>
      </c>
      <c r="B45" s="1257" t="s">
        <v>36</v>
      </c>
      <c r="C45" s="1258">
        <v>0</v>
      </c>
      <c r="D45" s="1258">
        <v>0</v>
      </c>
      <c r="E45" s="1258">
        <v>3</v>
      </c>
      <c r="F45" s="1258">
        <v>491840.68699999998</v>
      </c>
    </row>
    <row r="46" spans="1:6">
      <c r="A46" s="1257" t="s">
        <v>31</v>
      </c>
      <c r="B46" s="1257" t="s">
        <v>37</v>
      </c>
      <c r="C46" s="1258">
        <v>0</v>
      </c>
      <c r="D46" s="1258">
        <v>0</v>
      </c>
      <c r="E46" s="1258">
        <v>0</v>
      </c>
      <c r="F46" s="1258">
        <v>0</v>
      </c>
    </row>
    <row r="47" spans="1:6">
      <c r="A47" s="1257" t="s">
        <v>31</v>
      </c>
      <c r="B47" s="1257" t="s">
        <v>38</v>
      </c>
      <c r="C47" s="1258">
        <v>3</v>
      </c>
      <c r="D47" s="1258">
        <v>164385.94</v>
      </c>
      <c r="E47" s="1258">
        <v>7</v>
      </c>
      <c r="F47" s="1258">
        <v>60444.012000000002</v>
      </c>
    </row>
    <row r="48" spans="1:6">
      <c r="A48" s="1257" t="s">
        <v>31</v>
      </c>
      <c r="B48" s="1257" t="s">
        <v>28</v>
      </c>
      <c r="C48" s="1258">
        <v>44</v>
      </c>
      <c r="D48" s="1258">
        <v>8079269.3609999996</v>
      </c>
      <c r="E48" s="1258">
        <v>65</v>
      </c>
      <c r="F48" s="1258">
        <v>25956066.379999999</v>
      </c>
    </row>
    <row r="49" spans="1:6">
      <c r="A49" s="1257" t="s">
        <v>31</v>
      </c>
      <c r="B49" s="1257" t="s">
        <v>39</v>
      </c>
      <c r="C49" s="1258">
        <v>3</v>
      </c>
      <c r="D49" s="1258">
        <v>73627.596000000005</v>
      </c>
      <c r="E49" s="1258">
        <v>24</v>
      </c>
      <c r="F49" s="1258">
        <v>3123727.5980000002</v>
      </c>
    </row>
    <row r="50" spans="1:6">
      <c r="A50" s="1257" t="s">
        <v>31</v>
      </c>
      <c r="B50" s="1257" t="s">
        <v>40</v>
      </c>
      <c r="C50" s="1258">
        <v>3</v>
      </c>
      <c r="D50" s="1258">
        <v>513811.43</v>
      </c>
      <c r="E50" s="1258">
        <v>13</v>
      </c>
      <c r="F50" s="1258">
        <v>989344.28500000003</v>
      </c>
    </row>
    <row r="51" spans="1:6">
      <c r="A51" s="1257" t="s">
        <v>41</v>
      </c>
      <c r="B51" s="1257" t="s">
        <v>42</v>
      </c>
      <c r="C51" s="1258">
        <v>0</v>
      </c>
      <c r="D51" s="1258">
        <v>0</v>
      </c>
      <c r="E51" s="1258">
        <v>109</v>
      </c>
      <c r="F51" s="1258">
        <v>1236108.6040000001</v>
      </c>
    </row>
    <row r="52" spans="1:6">
      <c r="A52" s="1257" t="s">
        <v>41</v>
      </c>
      <c r="B52" s="1257" t="s">
        <v>28</v>
      </c>
      <c r="C52" s="1258">
        <v>8</v>
      </c>
      <c r="D52" s="1258">
        <v>107209.21400000001</v>
      </c>
      <c r="E52" s="1258">
        <v>10</v>
      </c>
      <c r="F52" s="1258">
        <v>482940.17800000001</v>
      </c>
    </row>
    <row r="53" spans="1:6">
      <c r="A53" s="1257" t="s">
        <v>43</v>
      </c>
      <c r="B53" s="1257" t="s">
        <v>44</v>
      </c>
      <c r="C53" s="1258">
        <v>64</v>
      </c>
      <c r="D53" s="1258">
        <v>869161.42599999998</v>
      </c>
      <c r="E53" s="1258">
        <v>201</v>
      </c>
      <c r="F53" s="1258">
        <v>658432.63199999998</v>
      </c>
    </row>
    <row r="54" spans="1:6">
      <c r="A54" s="1257" t="s">
        <v>45</v>
      </c>
      <c r="B54" s="1257" t="s">
        <v>46</v>
      </c>
      <c r="C54" s="1258">
        <v>0</v>
      </c>
      <c r="D54" s="1258">
        <v>0</v>
      </c>
      <c r="E54" s="1258">
        <v>1</v>
      </c>
      <c r="F54" s="1258">
        <v>1312333</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22</v>
      </c>
      <c r="D57" s="1258">
        <v>393510.88099999999</v>
      </c>
      <c r="E57" s="1258">
        <v>64</v>
      </c>
      <c r="F57" s="1258">
        <v>388017.04399999999</v>
      </c>
    </row>
    <row r="58" spans="1:6">
      <c r="A58" s="1257" t="s">
        <v>48</v>
      </c>
      <c r="B58" s="1257" t="s">
        <v>50</v>
      </c>
      <c r="C58" s="1258">
        <v>18</v>
      </c>
      <c r="D58" s="1258">
        <v>324587.125</v>
      </c>
      <c r="E58" s="1258">
        <v>35</v>
      </c>
      <c r="F58" s="1258">
        <v>192787.717</v>
      </c>
    </row>
    <row r="59" spans="1:6">
      <c r="A59" s="1257" t="s">
        <v>48</v>
      </c>
      <c r="B59" s="1257" t="s">
        <v>51</v>
      </c>
      <c r="C59" s="1258">
        <v>29</v>
      </c>
      <c r="D59" s="1258">
        <v>878684.973</v>
      </c>
      <c r="E59" s="1258">
        <v>137</v>
      </c>
      <c r="F59" s="1258">
        <v>4966289.301</v>
      </c>
    </row>
    <row r="60" spans="1:6">
      <c r="A60" s="1257" t="s">
        <v>48</v>
      </c>
      <c r="B60" s="1257" t="s">
        <v>52</v>
      </c>
      <c r="C60" s="1258">
        <v>24</v>
      </c>
      <c r="D60" s="1258">
        <v>799382.21900000004</v>
      </c>
      <c r="E60" s="1258">
        <v>57</v>
      </c>
      <c r="F60" s="1258">
        <v>1029007.642</v>
      </c>
    </row>
    <row r="61" spans="1:6">
      <c r="A61" s="1257" t="s">
        <v>48</v>
      </c>
      <c r="B61" s="1257" t="s">
        <v>53</v>
      </c>
      <c r="C61" s="1258">
        <v>98</v>
      </c>
      <c r="D61" s="1258">
        <v>3758357.4190000002</v>
      </c>
      <c r="E61" s="1258">
        <v>261</v>
      </c>
      <c r="F61" s="1258">
        <v>3090523.486</v>
      </c>
    </row>
    <row r="62" spans="1:6">
      <c r="A62" s="1257" t="s">
        <v>48</v>
      </c>
      <c r="B62" s="1257" t="s">
        <v>54</v>
      </c>
      <c r="C62" s="1258">
        <v>3</v>
      </c>
      <c r="D62" s="1258">
        <v>163294.53</v>
      </c>
      <c r="E62" s="1258">
        <v>13</v>
      </c>
      <c r="F62" s="1258">
        <v>215996.85800000001</v>
      </c>
    </row>
    <row r="63" spans="1:6">
      <c r="A63" s="1257" t="s">
        <v>48</v>
      </c>
      <c r="B63" s="1257" t="s">
        <v>28</v>
      </c>
      <c r="C63" s="1258">
        <v>107</v>
      </c>
      <c r="D63" s="1258">
        <v>4489706.3360000001</v>
      </c>
      <c r="E63" s="1258">
        <v>174</v>
      </c>
      <c r="F63" s="1258">
        <v>2781794.9580000001</v>
      </c>
    </row>
    <row r="64" spans="1:6">
      <c r="A64" s="1257" t="s">
        <v>55</v>
      </c>
      <c r="B64" s="1257" t="s">
        <v>56</v>
      </c>
      <c r="C64" s="1258">
        <v>0</v>
      </c>
      <c r="D64" s="1258">
        <v>0</v>
      </c>
      <c r="E64" s="1258">
        <v>0</v>
      </c>
      <c r="F64" s="1258">
        <v>0</v>
      </c>
    </row>
    <row r="65" spans="1:6">
      <c r="A65" s="1257" t="s">
        <v>55</v>
      </c>
      <c r="B65" s="1257" t="s">
        <v>28</v>
      </c>
      <c r="C65" s="1258">
        <v>2</v>
      </c>
      <c r="D65" s="1258">
        <v>307227.38500000001</v>
      </c>
      <c r="E65" s="1258">
        <v>3</v>
      </c>
      <c r="F65" s="1258">
        <v>6959.4</v>
      </c>
    </row>
    <row r="66" spans="1:6">
      <c r="A66" s="1257" t="s">
        <v>55</v>
      </c>
      <c r="B66" s="1257" t="s">
        <v>57</v>
      </c>
      <c r="C66" s="1258">
        <v>0</v>
      </c>
      <c r="D66" s="1258">
        <v>0</v>
      </c>
      <c r="E66" s="1258">
        <v>9</v>
      </c>
      <c r="F66" s="1258">
        <v>25219</v>
      </c>
    </row>
    <row r="67" spans="1:6">
      <c r="A67" s="1257" t="s">
        <v>55</v>
      </c>
      <c r="B67" s="1257" t="s">
        <v>58</v>
      </c>
      <c r="C67" s="1258">
        <v>0</v>
      </c>
      <c r="D67" s="1258">
        <v>0</v>
      </c>
      <c r="E67" s="1258">
        <v>0</v>
      </c>
      <c r="F67" s="1258">
        <v>0</v>
      </c>
    </row>
    <row r="68" spans="1:6">
      <c r="A68" s="1252" t="s">
        <v>55</v>
      </c>
      <c r="B68" s="1252" t="s">
        <v>59</v>
      </c>
      <c r="C68" s="1260">
        <v>0</v>
      </c>
      <c r="D68" s="1260">
        <v>0</v>
      </c>
      <c r="E68" s="1260">
        <v>6</v>
      </c>
      <c r="F68" s="1260">
        <v>144232.177</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57383572</v>
      </c>
      <c r="E73" s="442"/>
      <c r="F73" s="324"/>
    </row>
    <row r="74" spans="1:6">
      <c r="A74" s="1257" t="s">
        <v>63</v>
      </c>
      <c r="B74" s="1257" t="s">
        <v>608</v>
      </c>
      <c r="C74" s="1270" t="s">
        <v>610</v>
      </c>
      <c r="D74" s="1258">
        <v>6743103.5</v>
      </c>
      <c r="E74" s="442"/>
      <c r="F74" s="324"/>
    </row>
    <row r="75" spans="1:6">
      <c r="A75" s="1257" t="s">
        <v>64</v>
      </c>
      <c r="B75" s="1257" t="s">
        <v>607</v>
      </c>
      <c r="C75" s="1270" t="s">
        <v>611</v>
      </c>
      <c r="D75" s="1258">
        <v>14716708</v>
      </c>
      <c r="E75" s="442"/>
      <c r="F75" s="324"/>
    </row>
    <row r="76" spans="1:6">
      <c r="A76" s="1257" t="s">
        <v>64</v>
      </c>
      <c r="B76" s="1257" t="s">
        <v>608</v>
      </c>
      <c r="C76" s="1270" t="s">
        <v>612</v>
      </c>
      <c r="D76" s="1258">
        <v>1027340.5</v>
      </c>
      <c r="E76" s="442"/>
      <c r="F76" s="324"/>
    </row>
    <row r="77" spans="1:6">
      <c r="A77" s="1257" t="s">
        <v>65</v>
      </c>
      <c r="B77" s="1257" t="s">
        <v>607</v>
      </c>
      <c r="C77" s="1270" t="s">
        <v>613</v>
      </c>
      <c r="D77" s="1258">
        <v>0</v>
      </c>
      <c r="E77" s="442"/>
      <c r="F77" s="324"/>
    </row>
    <row r="78" spans="1:6">
      <c r="A78" s="1252" t="s">
        <v>65</v>
      </c>
      <c r="B78" s="1252" t="s">
        <v>608</v>
      </c>
      <c r="C78" s="1252" t="s">
        <v>614</v>
      </c>
      <c r="D78" s="1260">
        <v>0</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230599</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4070.7895306850669</v>
      </c>
      <c r="C91" s="324"/>
      <c r="D91" s="324"/>
      <c r="E91" s="324"/>
      <c r="F91" s="324"/>
    </row>
    <row r="92" spans="1:6">
      <c r="A92" s="1252" t="s">
        <v>68</v>
      </c>
      <c r="B92" s="1253">
        <v>6685.7411319016446</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611</v>
      </c>
      <c r="C97" s="324"/>
      <c r="D97" s="324"/>
      <c r="E97" s="324"/>
      <c r="F97" s="324"/>
    </row>
    <row r="98" spans="1:6">
      <c r="A98" s="1257" t="s">
        <v>71</v>
      </c>
      <c r="B98" s="1258">
        <v>0</v>
      </c>
      <c r="C98" s="324"/>
      <c r="D98" s="324"/>
      <c r="E98" s="324"/>
      <c r="F98" s="324"/>
    </row>
    <row r="99" spans="1:6">
      <c r="A99" s="1257" t="s">
        <v>72</v>
      </c>
      <c r="B99" s="1258">
        <v>66</v>
      </c>
      <c r="C99" s="324"/>
      <c r="D99" s="324"/>
      <c r="E99" s="324"/>
      <c r="F99" s="324"/>
    </row>
    <row r="100" spans="1:6">
      <c r="A100" s="1257" t="s">
        <v>73</v>
      </c>
      <c r="B100" s="1258">
        <v>660</v>
      </c>
      <c r="C100" s="324"/>
      <c r="D100" s="324"/>
      <c r="E100" s="324"/>
      <c r="F100" s="324"/>
    </row>
    <row r="101" spans="1:6">
      <c r="A101" s="1257" t="s">
        <v>74</v>
      </c>
      <c r="B101" s="1258">
        <v>91</v>
      </c>
      <c r="C101" s="324"/>
      <c r="D101" s="324"/>
      <c r="E101" s="324"/>
      <c r="F101" s="324"/>
    </row>
    <row r="102" spans="1:6">
      <c r="A102" s="1257" t="s">
        <v>75</v>
      </c>
      <c r="B102" s="1258">
        <v>103</v>
      </c>
      <c r="C102" s="324"/>
      <c r="D102" s="324"/>
      <c r="E102" s="324"/>
      <c r="F102" s="324"/>
    </row>
    <row r="103" spans="1:6">
      <c r="A103" s="1257" t="s">
        <v>76</v>
      </c>
      <c r="B103" s="1258">
        <v>169</v>
      </c>
      <c r="C103" s="324"/>
      <c r="D103" s="324"/>
      <c r="E103" s="324"/>
      <c r="F103" s="324"/>
    </row>
    <row r="104" spans="1:6">
      <c r="A104" s="1257" t="s">
        <v>77</v>
      </c>
      <c r="B104" s="1258">
        <v>3410</v>
      </c>
      <c r="C104" s="324"/>
      <c r="D104" s="324"/>
      <c r="E104" s="324"/>
      <c r="F104" s="324"/>
    </row>
    <row r="105" spans="1:6">
      <c r="A105" s="1252" t="s">
        <v>78</v>
      </c>
      <c r="B105" s="1260">
        <v>3</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1</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0</v>
      </c>
      <c r="C122" s="1258">
        <v>0</v>
      </c>
      <c r="D122" s="324"/>
      <c r="E122" s="324"/>
      <c r="F122" s="324"/>
    </row>
    <row r="123" spans="1:6">
      <c r="A123" s="1257" t="s">
        <v>87</v>
      </c>
      <c r="B123" s="1258">
        <v>27</v>
      </c>
      <c r="C123" s="1258">
        <v>28</v>
      </c>
      <c r="D123" s="324"/>
      <c r="E123" s="324"/>
      <c r="F123" s="324"/>
    </row>
    <row r="124" spans="1:6">
      <c r="A124" s="1257" t="s">
        <v>88</v>
      </c>
      <c r="B124" s="1258">
        <v>3</v>
      </c>
      <c r="C124" s="1258">
        <v>1</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184</v>
      </c>
      <c r="C129" s="324"/>
      <c r="D129" s="324"/>
      <c r="E129" s="324"/>
      <c r="F129" s="324"/>
    </row>
    <row r="130" spans="1:6">
      <c r="A130" s="1257" t="s">
        <v>283</v>
      </c>
      <c r="B130" s="1258">
        <v>2</v>
      </c>
      <c r="C130" s="324"/>
      <c r="D130" s="324"/>
      <c r="E130" s="324"/>
      <c r="F130" s="324"/>
    </row>
    <row r="131" spans="1:6">
      <c r="A131" s="1257" t="s">
        <v>284</v>
      </c>
      <c r="B131" s="1258">
        <v>2</v>
      </c>
      <c r="C131" s="324"/>
      <c r="D131" s="324"/>
      <c r="E131" s="324"/>
      <c r="F131" s="324"/>
    </row>
    <row r="132" spans="1:6">
      <c r="A132" s="1252" t="s">
        <v>285</v>
      </c>
      <c r="B132" s="1253">
        <v>26</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77978.295327499713</v>
      </c>
      <c r="C3" s="43" t="s">
        <v>163</v>
      </c>
      <c r="D3" s="43"/>
      <c r="E3" s="153"/>
      <c r="F3" s="43"/>
      <c r="G3" s="43"/>
      <c r="H3" s="43"/>
      <c r="I3" s="43"/>
      <c r="J3" s="43"/>
      <c r="K3" s="96"/>
    </row>
    <row r="4" spans="1:11">
      <c r="A4" s="350" t="s">
        <v>164</v>
      </c>
      <c r="B4" s="49">
        <f>IF(ISERROR('SEAP template'!B78+'SEAP template'!C78),0,'SEAP template'!B78+'SEAP template'!C78)</f>
        <v>10756.530662586712</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0</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0.19051468012415854</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1312.3330000000001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1312.3330000000001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0.19051468012415854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250.01870171137736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23611.647820000002</v>
      </c>
      <c r="C5" s="17">
        <f>IF(ISERROR('Eigen informatie GS &amp; warmtenet'!B59),0,'Eigen informatie GS &amp; warmtenet'!B59)</f>
        <v>0</v>
      </c>
      <c r="D5" s="30">
        <f>(SUM(HH_hh_gas_kWh,HH_rest_gas_kWh)/1000)*0.902</f>
        <v>31066.670163319995</v>
      </c>
      <c r="E5" s="17">
        <f>B32*B41</f>
        <v>2472.4804091000137</v>
      </c>
      <c r="F5" s="17">
        <f>B36*B45</f>
        <v>47581.15010249232</v>
      </c>
      <c r="G5" s="18"/>
      <c r="H5" s="17"/>
      <c r="I5" s="17"/>
      <c r="J5" s="17">
        <f>B35*B44+C35*C44</f>
        <v>243.47780944457205</v>
      </c>
      <c r="K5" s="17"/>
      <c r="L5" s="17"/>
      <c r="M5" s="17"/>
      <c r="N5" s="17">
        <f>B34*B43+C34*C43</f>
        <v>9094.7728338834349</v>
      </c>
      <c r="O5" s="17">
        <f>B52*B53*B54</f>
        <v>422.58310072943772</v>
      </c>
      <c r="P5" s="17">
        <f>B60*B61*B62/1000-B60*B61*B62/1000/B63</f>
        <v>589.90172123036132</v>
      </c>
    </row>
    <row r="6" spans="1:16">
      <c r="A6" s="16" t="s">
        <v>573</v>
      </c>
      <c r="B6" s="738">
        <f>kWh_PV_kleiner_dan_10kW</f>
        <v>4070.7895306850669</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27682.437350685068</v>
      </c>
      <c r="C8" s="21">
        <f>C5</f>
        <v>0</v>
      </c>
      <c r="D8" s="21">
        <f>D5</f>
        <v>31066.670163319995</v>
      </c>
      <c r="E8" s="21">
        <f>E5</f>
        <v>2472.4804091000137</v>
      </c>
      <c r="F8" s="21">
        <f>F5</f>
        <v>47581.15010249232</v>
      </c>
      <c r="G8" s="21"/>
      <c r="H8" s="21"/>
      <c r="I8" s="21"/>
      <c r="J8" s="21">
        <f>J5</f>
        <v>243.47780944457205</v>
      </c>
      <c r="K8" s="21"/>
      <c r="L8" s="21">
        <f>L5</f>
        <v>0</v>
      </c>
      <c r="M8" s="21">
        <f>M5</f>
        <v>0</v>
      </c>
      <c r="N8" s="21">
        <f>N5</f>
        <v>9094.7728338834349</v>
      </c>
      <c r="O8" s="21">
        <f>O5</f>
        <v>422.58310072943772</v>
      </c>
      <c r="P8" s="21">
        <f>P5</f>
        <v>589.90172123036132</v>
      </c>
    </row>
    <row r="9" spans="1:16">
      <c r="B9" s="19"/>
      <c r="C9" s="19"/>
      <c r="D9" s="255"/>
      <c r="E9" s="19"/>
      <c r="F9" s="19"/>
      <c r="G9" s="19"/>
      <c r="H9" s="19"/>
      <c r="I9" s="19"/>
      <c r="J9" s="19"/>
      <c r="K9" s="19"/>
      <c r="L9" s="19"/>
      <c r="M9" s="19"/>
      <c r="N9" s="19"/>
      <c r="O9" s="19"/>
      <c r="P9" s="19"/>
    </row>
    <row r="10" spans="1:16">
      <c r="A10" s="24" t="s">
        <v>207</v>
      </c>
      <c r="B10" s="25">
        <f ca="1">'EF ele_warmte'!B12</f>
        <v>0.19051468012415854</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5273.9106969228242</v>
      </c>
      <c r="C12" s="23">
        <f ca="1">C10*C8</f>
        <v>0</v>
      </c>
      <c r="D12" s="23">
        <f>D8*D10</f>
        <v>6275.4673729906399</v>
      </c>
      <c r="E12" s="23">
        <f>E10*E8</f>
        <v>561.25305286570313</v>
      </c>
      <c r="F12" s="23">
        <f>F10*F8</f>
        <v>12704.16707736545</v>
      </c>
      <c r="G12" s="23"/>
      <c r="H12" s="23"/>
      <c r="I12" s="23"/>
      <c r="J12" s="23">
        <f>J10*J8</f>
        <v>86.191144543378499</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5914</v>
      </c>
      <c r="C26" s="36"/>
      <c r="D26" s="225"/>
    </row>
    <row r="27" spans="1:7" s="15" customFormat="1">
      <c r="A27" s="227" t="s">
        <v>774</v>
      </c>
      <c r="B27" s="37">
        <f>SUM(HH_hh_gas_aantal,HH_rest_gas_aantal)</f>
        <v>2435</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2313.25</v>
      </c>
      <c r="C31" s="165" t="s">
        <v>104</v>
      </c>
      <c r="D31" s="230"/>
      <c r="G31" s="15"/>
    </row>
    <row r="32" spans="1:7">
      <c r="A32" s="168" t="s">
        <v>72</v>
      </c>
      <c r="B32" s="165">
        <f>IF((B21*($B$26-($B$27-0.05*$B$27)-$B$60))&lt;0,0,B21*($B$26-($B$27-0.05*$B$27)-$B$60))</f>
        <v>39.960559893743294</v>
      </c>
      <c r="C32" s="165" t="s">
        <v>104</v>
      </c>
      <c r="D32" s="230"/>
      <c r="G32" s="15"/>
    </row>
    <row r="33" spans="1:7">
      <c r="A33" s="168" t="s">
        <v>73</v>
      </c>
      <c r="B33" s="165">
        <f>IF((B22*($B$26-($B$27-0.05*$B$27)-$B$60))&lt;0,0,B22*($B$26-($B$27-0.05*$B$27)-$B$60))</f>
        <v>830.81359784166955</v>
      </c>
      <c r="C33" s="165" t="s">
        <v>104</v>
      </c>
      <c r="D33" s="230"/>
      <c r="G33" s="15"/>
    </row>
    <row r="34" spans="1:7">
      <c r="A34" s="168" t="s">
        <v>74</v>
      </c>
      <c r="B34" s="165">
        <f>IF((B24*($B$26-($B$27-0.05*$B$27)-$B$60))&lt;0,0,B24*($B$26-($B$27-0.05*$B$27)-$B$60))</f>
        <v>350.80614924422929</v>
      </c>
      <c r="C34" s="165">
        <f>B26*C24</f>
        <v>1020.5343756222148</v>
      </c>
      <c r="D34" s="230"/>
      <c r="G34" s="15"/>
    </row>
    <row r="35" spans="1:7">
      <c r="A35" s="168" t="s">
        <v>76</v>
      </c>
      <c r="B35" s="165">
        <f>IF((B19*($B$26-($B$27-0.05*$B$27)-$B$60))&lt;0,0,B19*($B$26-($B$27-0.05*$B$27)-$B$60))</f>
        <v>30.245834865317622</v>
      </c>
      <c r="C35" s="165">
        <f>B35/2</f>
        <v>15.122917432658811</v>
      </c>
      <c r="D35" s="231"/>
      <c r="G35" s="15"/>
    </row>
    <row r="36" spans="1:7">
      <c r="A36" s="168" t="s">
        <v>77</v>
      </c>
      <c r="B36" s="165">
        <f>IF((B18*($B$26-($B$27-0.05*$B$27)-$B$60))&lt;0,0,B18*($B$26-($B$27-0.05*$B$27)-$B$60))</f>
        <v>2292.9238581550403</v>
      </c>
      <c r="C36" s="165" t="s">
        <v>104</v>
      </c>
      <c r="D36" s="231"/>
      <c r="G36" s="15"/>
    </row>
    <row r="37" spans="1:7">
      <c r="A37" s="168" t="s">
        <v>78</v>
      </c>
      <c r="B37" s="165">
        <f>B60</f>
        <v>56</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213</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56</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12664.417006</v>
      </c>
      <c r="C5" s="17">
        <f>IF(ISERROR('Eigen informatie GS &amp; warmtenet'!B60),0,'Eigen informatie GS &amp; warmtenet'!B60)</f>
        <v>0</v>
      </c>
      <c r="D5" s="30">
        <f>SUM(D6:D12)</f>
        <v>9748.3861816660028</v>
      </c>
      <c r="E5" s="17">
        <f>SUM(E6:E12)</f>
        <v>30.80003921732331</v>
      </c>
      <c r="F5" s="17">
        <f>SUM(F6:F12)</f>
        <v>1865.5226365498725</v>
      </c>
      <c r="G5" s="18"/>
      <c r="H5" s="17"/>
      <c r="I5" s="17"/>
      <c r="J5" s="17">
        <f>SUM(J6:J12)</f>
        <v>9.418827574209962E-3</v>
      </c>
      <c r="K5" s="17"/>
      <c r="L5" s="17"/>
      <c r="M5" s="17"/>
      <c r="N5" s="17">
        <f>SUM(N6:N12)</f>
        <v>361.72425700338397</v>
      </c>
      <c r="O5" s="17">
        <f>B38*B39*B40</f>
        <v>9.7945215316823084</v>
      </c>
      <c r="P5" s="17">
        <f>B46*B47*B48/1000-B46*B47*B48/1000/B49</f>
        <v>105.07827661299004</v>
      </c>
      <c r="R5" s="32"/>
    </row>
    <row r="6" spans="1:18">
      <c r="A6" s="32" t="s">
        <v>53</v>
      </c>
      <c r="B6" s="37">
        <f>B26</f>
        <v>3090.523486</v>
      </c>
      <c r="C6" s="33"/>
      <c r="D6" s="37">
        <f>IF(ISERROR(TER_kantoor_gas_kWh/1000),0,TER_kantoor_gas_kWh/1000)*0.902</f>
        <v>3390.0383919380006</v>
      </c>
      <c r="E6" s="33">
        <f>$C$26*'E Balans VL '!I12/100/3.6*1000000</f>
        <v>0.80702429910617168</v>
      </c>
      <c r="F6" s="33">
        <f>$C$26*('E Balans VL '!L12+'E Balans VL '!N12)/100/3.6*1000000</f>
        <v>308.7933597066779</v>
      </c>
      <c r="G6" s="34"/>
      <c r="H6" s="33"/>
      <c r="I6" s="33"/>
      <c r="J6" s="33">
        <f>$C$26*('E Balans VL '!D12+'E Balans VL '!E12)/100/3.6*1000000</f>
        <v>0</v>
      </c>
      <c r="K6" s="33"/>
      <c r="L6" s="33"/>
      <c r="M6" s="33"/>
      <c r="N6" s="33">
        <f>$C$26*'E Balans VL '!Y12/100/3.6*1000000</f>
        <v>2.1911650330104022</v>
      </c>
      <c r="O6" s="33"/>
      <c r="P6" s="33"/>
      <c r="R6" s="32"/>
    </row>
    <row r="7" spans="1:18">
      <c r="A7" s="32" t="s">
        <v>52</v>
      </c>
      <c r="B7" s="37">
        <f t="shared" ref="B7:B12" si="0">B27</f>
        <v>1029.007642</v>
      </c>
      <c r="C7" s="33"/>
      <c r="D7" s="37">
        <f>IF(ISERROR(TER_horeca_gas_kWh/1000),0,TER_horeca_gas_kWh/1000)*0.902</f>
        <v>721.04276153800004</v>
      </c>
      <c r="E7" s="33">
        <f>$C$27*'E Balans VL '!I9/100/3.6*1000000</f>
        <v>0</v>
      </c>
      <c r="F7" s="33">
        <f>$C$27*('E Balans VL '!L9+'E Balans VL '!N9)/100/3.6*1000000</f>
        <v>84.50876727615703</v>
      </c>
      <c r="G7" s="34"/>
      <c r="H7" s="33"/>
      <c r="I7" s="33"/>
      <c r="J7" s="33">
        <f>$C$27*('E Balans VL '!D9+'E Balans VL '!E9)/100/3.6*1000000</f>
        <v>0</v>
      </c>
      <c r="K7" s="33"/>
      <c r="L7" s="33"/>
      <c r="M7" s="33"/>
      <c r="N7" s="33">
        <f>$C$27*'E Balans VL '!Y9/100/3.6*1000000</f>
        <v>13.003644059584808</v>
      </c>
      <c r="O7" s="33"/>
      <c r="P7" s="33"/>
      <c r="R7" s="32"/>
    </row>
    <row r="8" spans="1:18">
      <c r="A8" s="6" t="s">
        <v>51</v>
      </c>
      <c r="B8" s="37">
        <f t="shared" si="0"/>
        <v>4966.2893009999998</v>
      </c>
      <c r="C8" s="33"/>
      <c r="D8" s="37">
        <f>IF(ISERROR(TER_handel_gas_kWh/1000),0,TER_handel_gas_kWh/1000)*0.902</f>
        <v>792.573845646</v>
      </c>
      <c r="E8" s="33">
        <f>$C$28*'E Balans VL '!I13/100/3.6*1000000</f>
        <v>18.252416383053454</v>
      </c>
      <c r="F8" s="33">
        <f>$C$28*('E Balans VL '!L13+'E Balans VL '!N13)/100/3.6*1000000</f>
        <v>474.3643126269659</v>
      </c>
      <c r="G8" s="34"/>
      <c r="H8" s="33"/>
      <c r="I8" s="33"/>
      <c r="J8" s="33">
        <f>$C$28*('E Balans VL '!D13+'E Balans VL '!E13)/100/3.6*1000000</f>
        <v>0</v>
      </c>
      <c r="K8" s="33"/>
      <c r="L8" s="33"/>
      <c r="M8" s="33"/>
      <c r="N8" s="33">
        <f>$C$28*'E Balans VL '!Y13/100/3.6*1000000</f>
        <v>1.9650439809278077</v>
      </c>
      <c r="O8" s="33"/>
      <c r="P8" s="33"/>
      <c r="R8" s="32"/>
    </row>
    <row r="9" spans="1:18">
      <c r="A9" s="32" t="s">
        <v>50</v>
      </c>
      <c r="B9" s="37">
        <f t="shared" si="0"/>
        <v>192.78771700000001</v>
      </c>
      <c r="C9" s="33"/>
      <c r="D9" s="37">
        <f>IF(ISERROR(TER_gezond_gas_kWh/1000),0,TER_gezond_gas_kWh/1000)*0.902</f>
        <v>292.77758675000001</v>
      </c>
      <c r="E9" s="33">
        <f>$C$29*'E Balans VL '!I10/100/3.6*1000000</f>
        <v>0</v>
      </c>
      <c r="F9" s="33">
        <f>$C$29*('E Balans VL '!L10+'E Balans VL '!N10)/100/3.6*1000000</f>
        <v>13.023708092409585</v>
      </c>
      <c r="G9" s="34"/>
      <c r="H9" s="33"/>
      <c r="I9" s="33"/>
      <c r="J9" s="33">
        <f>$C$29*('E Balans VL '!D10+'E Balans VL '!E10)/100/3.6*1000000</f>
        <v>0</v>
      </c>
      <c r="K9" s="33"/>
      <c r="L9" s="33"/>
      <c r="M9" s="33"/>
      <c r="N9" s="33">
        <f>$C$29*'E Balans VL '!Y10/100/3.6*1000000</f>
        <v>1.5000322785648572</v>
      </c>
      <c r="O9" s="33"/>
      <c r="P9" s="33"/>
      <c r="R9" s="32"/>
    </row>
    <row r="10" spans="1:18">
      <c r="A10" s="32" t="s">
        <v>49</v>
      </c>
      <c r="B10" s="37">
        <f t="shared" si="0"/>
        <v>388.017044</v>
      </c>
      <c r="C10" s="33"/>
      <c r="D10" s="37">
        <f>IF(ISERROR(TER_ander_gas_kWh/1000),0,TER_ander_gas_kWh/1000)*0.902</f>
        <v>354.94681466200001</v>
      </c>
      <c r="E10" s="33">
        <f>$C$30*'E Balans VL '!I14/100/3.6*1000000</f>
        <v>3.5184630044124496</v>
      </c>
      <c r="F10" s="33">
        <f>$C$30*('E Balans VL '!L14+'E Balans VL '!N14)/100/3.6*1000000</f>
        <v>306.70693555999748</v>
      </c>
      <c r="G10" s="34"/>
      <c r="H10" s="33"/>
      <c r="I10" s="33"/>
      <c r="J10" s="33">
        <f>$C$30*('E Balans VL '!D14+'E Balans VL '!E14)/100/3.6*1000000</f>
        <v>3.840407800433111E-3</v>
      </c>
      <c r="K10" s="33"/>
      <c r="L10" s="33"/>
      <c r="M10" s="33"/>
      <c r="N10" s="33">
        <f>$C$30*'E Balans VL '!Y14/100/3.6*1000000</f>
        <v>136.95023687546509</v>
      </c>
      <c r="O10" s="33"/>
      <c r="P10" s="33"/>
      <c r="R10" s="32"/>
    </row>
    <row r="11" spans="1:18">
      <c r="A11" s="32" t="s">
        <v>54</v>
      </c>
      <c r="B11" s="37">
        <f t="shared" si="0"/>
        <v>215.996858</v>
      </c>
      <c r="C11" s="33"/>
      <c r="D11" s="37">
        <f>IF(ISERROR(TER_onderwijs_gas_kWh/1000),0,TER_onderwijs_gas_kWh/1000)*0.902</f>
        <v>147.29166606000001</v>
      </c>
      <c r="E11" s="33">
        <f>$C$31*'E Balans VL '!I11/100/3.6*1000000</f>
        <v>0</v>
      </c>
      <c r="F11" s="33">
        <f>$C$31*('E Balans VL '!L11+'E Balans VL '!N11)/100/3.6*1000000</f>
        <v>25.706530234654906</v>
      </c>
      <c r="G11" s="34"/>
      <c r="H11" s="33"/>
      <c r="I11" s="33"/>
      <c r="J11" s="33">
        <f>$C$31*('E Balans VL '!D11+'E Balans VL '!E11)/100/3.6*1000000</f>
        <v>0</v>
      </c>
      <c r="K11" s="33"/>
      <c r="L11" s="33"/>
      <c r="M11" s="33"/>
      <c r="N11" s="33">
        <f>$C$31*'E Balans VL '!Y11/100/3.6*1000000</f>
        <v>0.48037174182325171</v>
      </c>
      <c r="O11" s="33"/>
      <c r="P11" s="33"/>
      <c r="R11" s="32"/>
    </row>
    <row r="12" spans="1:18">
      <c r="A12" s="32" t="s">
        <v>248</v>
      </c>
      <c r="B12" s="37">
        <f t="shared" si="0"/>
        <v>2781.794958</v>
      </c>
      <c r="C12" s="33"/>
      <c r="D12" s="37">
        <f>IF(ISERROR(TER_rest_gas_kWh/1000),0,TER_rest_gas_kWh/1000)*0.902</f>
        <v>4049.7151150720001</v>
      </c>
      <c r="E12" s="33">
        <f>$C$32*'E Balans VL '!I8/100/3.6*1000000</f>
        <v>8.2221355307512329</v>
      </c>
      <c r="F12" s="33">
        <f>$C$32*('E Balans VL '!L8+'E Balans VL '!N8)/100/3.6*1000000</f>
        <v>652.41902305300982</v>
      </c>
      <c r="G12" s="34"/>
      <c r="H12" s="33"/>
      <c r="I12" s="33"/>
      <c r="J12" s="33">
        <f>$C$32*('E Balans VL '!D8+'E Balans VL '!E8)/100/3.6*1000000</f>
        <v>5.5784197737768519E-3</v>
      </c>
      <c r="K12" s="33"/>
      <c r="L12" s="33"/>
      <c r="M12" s="33"/>
      <c r="N12" s="33">
        <f>$C$32*'E Balans VL '!Y8/100/3.6*1000000</f>
        <v>205.6337630340077</v>
      </c>
      <c r="O12" s="33"/>
      <c r="P12" s="33"/>
      <c r="R12" s="32"/>
    </row>
    <row r="13" spans="1:18">
      <c r="A13" s="16" t="s">
        <v>464</v>
      </c>
      <c r="B13" s="244">
        <f ca="1">'lokale energieproductie'!N38+'lokale energieproductie'!N31</f>
        <v>0</v>
      </c>
      <c r="C13" s="244">
        <f ca="1">'lokale energieproductie'!O38+'lokale energieproductie'!O31</f>
        <v>0</v>
      </c>
      <c r="D13" s="302">
        <f ca="1">('lokale energieproductie'!P31+'lokale energieproductie'!P38)*(-1)</f>
        <v>0</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12664.417006</v>
      </c>
      <c r="C16" s="21">
        <f t="shared" ca="1" si="1"/>
        <v>0</v>
      </c>
      <c r="D16" s="21">
        <f t="shared" ca="1" si="1"/>
        <v>9748.3861816660028</v>
      </c>
      <c r="E16" s="21">
        <f t="shared" si="1"/>
        <v>30.80003921732331</v>
      </c>
      <c r="F16" s="21">
        <f t="shared" ca="1" si="1"/>
        <v>1865.5226365498725</v>
      </c>
      <c r="G16" s="21">
        <f t="shared" si="1"/>
        <v>0</v>
      </c>
      <c r="H16" s="21">
        <f t="shared" si="1"/>
        <v>0</v>
      </c>
      <c r="I16" s="21">
        <f t="shared" si="1"/>
        <v>0</v>
      </c>
      <c r="J16" s="21">
        <f t="shared" si="1"/>
        <v>9.418827574209962E-3</v>
      </c>
      <c r="K16" s="21">
        <f t="shared" si="1"/>
        <v>0</v>
      </c>
      <c r="L16" s="21">
        <f t="shared" ca="1" si="1"/>
        <v>0</v>
      </c>
      <c r="M16" s="21">
        <f t="shared" si="1"/>
        <v>0</v>
      </c>
      <c r="N16" s="21">
        <f t="shared" ca="1" si="1"/>
        <v>361.72425700338397</v>
      </c>
      <c r="O16" s="21">
        <f>O5</f>
        <v>9.7945215316823084</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0.19051468012415854</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2412.7573548570435</v>
      </c>
      <c r="C20" s="23">
        <f t="shared" ref="C20:P20" ca="1" si="2">C16*C18</f>
        <v>0</v>
      </c>
      <c r="D20" s="23">
        <f t="shared" ca="1" si="2"/>
        <v>1969.1740086965326</v>
      </c>
      <c r="E20" s="23">
        <f t="shared" si="2"/>
        <v>6.9916089023323913</v>
      </c>
      <c r="F20" s="23">
        <f t="shared" ca="1" si="2"/>
        <v>498.09454395881596</v>
      </c>
      <c r="G20" s="23">
        <f t="shared" si="2"/>
        <v>0</v>
      </c>
      <c r="H20" s="23">
        <f t="shared" si="2"/>
        <v>0</v>
      </c>
      <c r="I20" s="23">
        <f t="shared" si="2"/>
        <v>0</v>
      </c>
      <c r="J20" s="23">
        <f t="shared" si="2"/>
        <v>3.3342649612703263E-3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3090.523486</v>
      </c>
      <c r="C26" s="39">
        <f>IF(ISERROR(B26*3.6/1000000/'E Balans VL '!Z12*100),0,B26*3.6/1000000/'E Balans VL '!Z12*100)</f>
        <v>8.6488968577180539E-2</v>
      </c>
      <c r="D26" s="234" t="s">
        <v>667</v>
      </c>
      <c r="F26" s="6"/>
    </row>
    <row r="27" spans="1:18">
      <c r="A27" s="228" t="s">
        <v>52</v>
      </c>
      <c r="B27" s="33">
        <f>IF(ISERROR(TER_horeca_ele_kWh/1000),0,TER_horeca_ele_kWh/1000)</f>
        <v>1029.007642</v>
      </c>
      <c r="C27" s="39">
        <f>IF(ISERROR(B27*3.6/1000000/'E Balans VL '!Z9*100),0,B27*3.6/1000000/'E Balans VL '!Z9*100)</f>
        <v>7.6694448986208752E-2</v>
      </c>
      <c r="D27" s="234" t="s">
        <v>667</v>
      </c>
      <c r="F27" s="6"/>
    </row>
    <row r="28" spans="1:18">
      <c r="A28" s="168" t="s">
        <v>51</v>
      </c>
      <c r="B28" s="33">
        <f>IF(ISERROR(TER_handel_ele_kWh/1000),0,TER_handel_ele_kWh/1000)</f>
        <v>4966.2893009999998</v>
      </c>
      <c r="C28" s="39">
        <f>IF(ISERROR(B28*3.6/1000000/'E Balans VL '!Z13*100),0,B28*3.6/1000000/'E Balans VL '!Z13*100)</f>
        <v>0.14388654900792175</v>
      </c>
      <c r="D28" s="234" t="s">
        <v>667</v>
      </c>
      <c r="F28" s="6"/>
    </row>
    <row r="29" spans="1:18">
      <c r="A29" s="228" t="s">
        <v>50</v>
      </c>
      <c r="B29" s="33">
        <f>IF(ISERROR(TER_gezond_ele_kWh/1000),0,TER_gezond_ele_kWh/1000)</f>
        <v>192.78771700000001</v>
      </c>
      <c r="C29" s="39">
        <f>IF(ISERROR(B29*3.6/1000000/'E Balans VL '!Z10*100),0,B29*3.6/1000000/'E Balans VL '!Z10*100)</f>
        <v>1.9442871168166502E-2</v>
      </c>
      <c r="D29" s="234" t="s">
        <v>667</v>
      </c>
      <c r="F29" s="6"/>
    </row>
    <row r="30" spans="1:18">
      <c r="A30" s="228" t="s">
        <v>49</v>
      </c>
      <c r="B30" s="33">
        <f>IF(ISERROR(TER_ander_ele_kWh/1000),0,TER_ander_ele_kWh/1000)</f>
        <v>388.017044</v>
      </c>
      <c r="C30" s="39">
        <f>IF(ISERROR(B30*3.6/1000000/'E Balans VL '!Z14*100),0,B30*3.6/1000000/'E Balans VL '!Z14*100)</f>
        <v>1.5728632629760181E-2</v>
      </c>
      <c r="D30" s="234" t="s">
        <v>667</v>
      </c>
      <c r="F30" s="6"/>
    </row>
    <row r="31" spans="1:18">
      <c r="A31" s="228" t="s">
        <v>54</v>
      </c>
      <c r="B31" s="33">
        <f>IF(ISERROR(TER_onderwijs_ele_kWh/1000),0,TER_onderwijs_ele_kWh/1000)</f>
        <v>215.996858</v>
      </c>
      <c r="C31" s="39">
        <f>IF(ISERROR(B31*3.6/1000000/'E Balans VL '!Z11*100),0,B31*3.6/1000000/'E Balans VL '!Z11*100)</f>
        <v>6.1567900331622169E-2</v>
      </c>
      <c r="D31" s="234" t="s">
        <v>667</v>
      </c>
    </row>
    <row r="32" spans="1:18">
      <c r="A32" s="228" t="s">
        <v>248</v>
      </c>
      <c r="B32" s="33">
        <f>IF(ISERROR(TER_rest_ele_kWh/1000),0,TER_rest_ele_kWh/1000)</f>
        <v>2781.794958</v>
      </c>
      <c r="C32" s="39">
        <f>IF(ISERROR(B32*3.6/1000000/'E Balans VL '!Z8*100),0,B32*3.6/1000000/'E Balans VL '!Z8*100)</f>
        <v>2.2846770404546836E-2</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2</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2</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33860.868255000001</v>
      </c>
      <c r="C5" s="17">
        <f>IF(ISERROR('Eigen informatie GS &amp; warmtenet'!B61),0,'Eigen informatie GS &amp; warmtenet'!B61)</f>
        <v>0</v>
      </c>
      <c r="D5" s="30">
        <f>SUM(D6:D15)</f>
        <v>9132.8832786179992</v>
      </c>
      <c r="E5" s="17">
        <f>SUM(E6:E15)</f>
        <v>1267.7996114786313</v>
      </c>
      <c r="F5" s="17">
        <f>SUM(F6:F15)</f>
        <v>6284.9758217747321</v>
      </c>
      <c r="G5" s="18"/>
      <c r="H5" s="17"/>
      <c r="I5" s="17"/>
      <c r="J5" s="17">
        <f>SUM(J6:J15)</f>
        <v>100.3738979492223</v>
      </c>
      <c r="K5" s="17"/>
      <c r="L5" s="17"/>
      <c r="M5" s="17"/>
      <c r="N5" s="17">
        <f>SUM(N6:N15)</f>
        <v>1453.0225616619566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267.88389699999999</v>
      </c>
      <c r="C8" s="33"/>
      <c r="D8" s="37">
        <f>IF( ISERROR(IND_metaal_Gas_kWH/1000),0,IND_metaal_Gas_kWH/1000)*0.902</f>
        <v>0</v>
      </c>
      <c r="E8" s="33">
        <f>C30*'E Balans VL '!I18/100/3.6*1000000</f>
        <v>1.9223988101271956</v>
      </c>
      <c r="F8" s="33">
        <f>C30*'E Balans VL '!L18/100/3.6*1000000+C30*'E Balans VL '!N18/100/3.6*1000000</f>
        <v>17.830160404473911</v>
      </c>
      <c r="G8" s="34"/>
      <c r="H8" s="33"/>
      <c r="I8" s="33"/>
      <c r="J8" s="40">
        <f>C30*'E Balans VL '!D18/100/3.6*1000000+C30*'E Balans VL '!E18/100/3.6*1000000</f>
        <v>0.25825153172733578</v>
      </c>
      <c r="K8" s="33"/>
      <c r="L8" s="33"/>
      <c r="M8" s="33"/>
      <c r="N8" s="33">
        <f>C30*'E Balans VL '!Y18/100/3.6*1000000</f>
        <v>3.246136173383992</v>
      </c>
      <c r="O8" s="33"/>
      <c r="P8" s="33"/>
      <c r="R8" s="32"/>
    </row>
    <row r="9" spans="1:18">
      <c r="A9" s="6" t="s">
        <v>32</v>
      </c>
      <c r="B9" s="37">
        <f t="shared" si="0"/>
        <v>2971.5613960000001</v>
      </c>
      <c r="C9" s="33"/>
      <c r="D9" s="37">
        <f>IF( ISERROR(IND_andere_gas_kWh/1000),0,IND_andere_gas_kWh/1000)*0.902</f>
        <v>1167.236195664</v>
      </c>
      <c r="E9" s="33">
        <f>C31*'E Balans VL '!I19/100/3.6*1000000</f>
        <v>7.8127591477270526</v>
      </c>
      <c r="F9" s="33">
        <f>C31*'E Balans VL '!L19/100/3.6*1000000+C31*'E Balans VL '!N19/100/3.6*1000000</f>
        <v>1962.4330211380275</v>
      </c>
      <c r="G9" s="34"/>
      <c r="H9" s="33"/>
      <c r="I9" s="33"/>
      <c r="J9" s="40">
        <f>C31*'E Balans VL '!D19/100/3.6*1000000+C31*'E Balans VL '!E19/100/3.6*1000000</f>
        <v>0</v>
      </c>
      <c r="K9" s="33"/>
      <c r="L9" s="33"/>
      <c r="M9" s="33"/>
      <c r="N9" s="33">
        <f>C31*'E Balans VL '!Y19/100/3.6*1000000</f>
        <v>158.64693471397416</v>
      </c>
      <c r="O9" s="33"/>
      <c r="P9" s="33"/>
      <c r="R9" s="32"/>
    </row>
    <row r="10" spans="1:18">
      <c r="A10" s="6" t="s">
        <v>40</v>
      </c>
      <c r="B10" s="37">
        <f t="shared" si="0"/>
        <v>989.34428500000001</v>
      </c>
      <c r="C10" s="33"/>
      <c r="D10" s="37">
        <f>IF( ISERROR(IND_voed_gas_kWh/1000),0,IND_voed_gas_kWh/1000)*0.902</f>
        <v>463.45790985999997</v>
      </c>
      <c r="E10" s="33">
        <f>C32*'E Balans VL '!I20/100/3.6*1000000</f>
        <v>1.6702393182114268</v>
      </c>
      <c r="F10" s="33">
        <f>C32*'E Balans VL '!L20/100/3.6*1000000+C32*'E Balans VL '!N20/100/3.6*1000000</f>
        <v>58.070191661350272</v>
      </c>
      <c r="G10" s="34"/>
      <c r="H10" s="33"/>
      <c r="I10" s="33"/>
      <c r="J10" s="40">
        <f>C32*'E Balans VL '!D20/100/3.6*1000000+C32*'E Balans VL '!E20/100/3.6*1000000</f>
        <v>0</v>
      </c>
      <c r="K10" s="33"/>
      <c r="L10" s="33"/>
      <c r="M10" s="33"/>
      <c r="N10" s="33">
        <f>C32*'E Balans VL '!Y20/100/3.6*1000000</f>
        <v>53.864843660006017</v>
      </c>
      <c r="O10" s="33"/>
      <c r="P10" s="33"/>
      <c r="R10" s="32"/>
    </row>
    <row r="11" spans="1:18">
      <c r="A11" s="6" t="s">
        <v>39</v>
      </c>
      <c r="B11" s="37">
        <f t="shared" si="0"/>
        <v>3123.7275980000004</v>
      </c>
      <c r="C11" s="33"/>
      <c r="D11" s="37">
        <f>IF( ISERROR(IND_textiel_gas_kWh/1000),0,IND_textiel_gas_kWh/1000)*0.902</f>
        <v>66.41209159200001</v>
      </c>
      <c r="E11" s="33">
        <f>C33*'E Balans VL '!I21/100/3.6*1000000</f>
        <v>10.880750813013343</v>
      </c>
      <c r="F11" s="33">
        <f>C33*'E Balans VL '!L21/100/3.6*1000000+C33*'E Balans VL '!N21/100/3.6*1000000</f>
        <v>83.010354954892762</v>
      </c>
      <c r="G11" s="34"/>
      <c r="H11" s="33"/>
      <c r="I11" s="33"/>
      <c r="J11" s="40">
        <f>C33*'E Balans VL '!D21/100/3.6*1000000+C33*'E Balans VL '!E21/100/3.6*1000000</f>
        <v>0</v>
      </c>
      <c r="K11" s="33"/>
      <c r="L11" s="33"/>
      <c r="M11" s="33"/>
      <c r="N11" s="33">
        <f>C33*'E Balans VL '!Y21/100/3.6*1000000</f>
        <v>0.38615444589267439</v>
      </c>
      <c r="O11" s="33"/>
      <c r="P11" s="33"/>
      <c r="R11" s="32"/>
    </row>
    <row r="12" spans="1:18">
      <c r="A12" s="6" t="s">
        <v>36</v>
      </c>
      <c r="B12" s="37">
        <f t="shared" si="0"/>
        <v>491.840687</v>
      </c>
      <c r="C12" s="33"/>
      <c r="D12" s="37">
        <f>IF( ISERROR(IND_min_gas_kWh/1000),0,IND_min_gas_kWh/1000)*0.902</f>
        <v>0</v>
      </c>
      <c r="E12" s="33">
        <f>C34*'E Balans VL '!I22/100/3.6*1000000</f>
        <v>7.080724181677108</v>
      </c>
      <c r="F12" s="33">
        <f>C34*'E Balans VL '!L22/100/3.6*1000000+C34*'E Balans VL '!N22/100/3.6*1000000</f>
        <v>59.133293631737438</v>
      </c>
      <c r="G12" s="34"/>
      <c r="H12" s="33"/>
      <c r="I12" s="33"/>
      <c r="J12" s="40">
        <f>C34*'E Balans VL '!D22/100/3.6*1000000+C34*'E Balans VL '!E22/100/3.6*1000000</f>
        <v>0.35910547552271449</v>
      </c>
      <c r="K12" s="33"/>
      <c r="L12" s="33"/>
      <c r="M12" s="33"/>
      <c r="N12" s="33">
        <f>C34*'E Balans VL '!Y22/100/3.6*1000000</f>
        <v>292.56065711482955</v>
      </c>
      <c r="O12" s="33"/>
      <c r="P12" s="33"/>
      <c r="R12" s="32"/>
    </row>
    <row r="13" spans="1:18">
      <c r="A13" s="6" t="s">
        <v>38</v>
      </c>
      <c r="B13" s="37">
        <f t="shared" si="0"/>
        <v>60.444012000000001</v>
      </c>
      <c r="C13" s="33"/>
      <c r="D13" s="37">
        <f>IF( ISERROR(IND_papier_gas_kWh/1000),0,IND_papier_gas_kWh/1000)*0.902</f>
        <v>148.27611788000002</v>
      </c>
      <c r="E13" s="33">
        <f>C35*'E Balans VL '!I23/100/3.6*1000000</f>
        <v>0.21385149941716403</v>
      </c>
      <c r="F13" s="33">
        <f>C35*'E Balans VL '!L23/100/3.6*1000000+C35*'E Balans VL '!N23/100/3.6*1000000</f>
        <v>0.56036250257482823</v>
      </c>
      <c r="G13" s="34"/>
      <c r="H13" s="33"/>
      <c r="I13" s="33"/>
      <c r="J13" s="40">
        <f>C35*'E Balans VL '!D23/100/3.6*1000000+C35*'E Balans VL '!E23/100/3.6*1000000</f>
        <v>0</v>
      </c>
      <c r="K13" s="33"/>
      <c r="L13" s="33"/>
      <c r="M13" s="33"/>
      <c r="N13" s="33">
        <f>C35*'E Balans VL '!Y23/100/3.6*1000000</f>
        <v>-1.3166955915138956</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25956.06638</v>
      </c>
      <c r="C15" s="33"/>
      <c r="D15" s="37">
        <f>IF( ISERROR(IND_rest_gas_kWh/1000),0,IND_rest_gas_kWh/1000)*0.902</f>
        <v>7287.5009636220002</v>
      </c>
      <c r="E15" s="33">
        <f>C37*'E Balans VL '!I15/100/3.6*1000000</f>
        <v>1238.2188877084579</v>
      </c>
      <c r="F15" s="33">
        <f>C37*'E Balans VL '!L15/100/3.6*1000000+C37*'E Balans VL '!N15/100/3.6*1000000</f>
        <v>4103.9384374816755</v>
      </c>
      <c r="G15" s="34"/>
      <c r="H15" s="33"/>
      <c r="I15" s="33"/>
      <c r="J15" s="40">
        <f>C37*'E Balans VL '!D15/100/3.6*1000000+C37*'E Balans VL '!E15/100/3.6*1000000</f>
        <v>99.756540941972247</v>
      </c>
      <c r="K15" s="33"/>
      <c r="L15" s="33"/>
      <c r="M15" s="33"/>
      <c r="N15" s="33">
        <f>C37*'E Balans VL '!Y15/100/3.6*1000000</f>
        <v>945.63453114538402</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33860.868255000001</v>
      </c>
      <c r="C18" s="21">
        <f>C5+C16</f>
        <v>0</v>
      </c>
      <c r="D18" s="21">
        <f>MAX((D5+D16),0)</f>
        <v>9132.8832786179992</v>
      </c>
      <c r="E18" s="21">
        <f>MAX((E5+E16),0)</f>
        <v>1267.7996114786313</v>
      </c>
      <c r="F18" s="21">
        <f>MAX((F5+F16),0)</f>
        <v>6284.9758217747321</v>
      </c>
      <c r="G18" s="21"/>
      <c r="H18" s="21"/>
      <c r="I18" s="21"/>
      <c r="J18" s="21">
        <f>MAX((J5+J16),0)</f>
        <v>100.3738979492223</v>
      </c>
      <c r="K18" s="21"/>
      <c r="L18" s="21">
        <f>MAX((L5+L16),0)</f>
        <v>0</v>
      </c>
      <c r="M18" s="21"/>
      <c r="N18" s="21">
        <f>MAX((N5+N16),0)</f>
        <v>1453.0225616619566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0.19051468012415854</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6450.9924843275994</v>
      </c>
      <c r="C22" s="23">
        <f ca="1">C18*C20</f>
        <v>0</v>
      </c>
      <c r="D22" s="23">
        <f>D18*D20</f>
        <v>1844.842422280836</v>
      </c>
      <c r="E22" s="23">
        <f>E18*E20</f>
        <v>287.79051180564932</v>
      </c>
      <c r="F22" s="23">
        <f>F18*F20</f>
        <v>1678.0885444138535</v>
      </c>
      <c r="G22" s="23"/>
      <c r="H22" s="23"/>
      <c r="I22" s="23"/>
      <c r="J22" s="23">
        <f>J18*J20</f>
        <v>35.532359874024692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267.88389699999999</v>
      </c>
      <c r="C30" s="39">
        <f>IF(ISERROR(B30*3.6/1000000/'E Balans VL '!Z18*100),0,B30*3.6/1000000/'E Balans VL '!Z18*100)</f>
        <v>1.4822401897524219E-2</v>
      </c>
      <c r="D30" s="234" t="s">
        <v>667</v>
      </c>
    </row>
    <row r="31" spans="1:18">
      <c r="A31" s="6" t="s">
        <v>32</v>
      </c>
      <c r="B31" s="37">
        <f>IF( ISERROR(IND_ander_ele_kWh/1000),0,IND_ander_ele_kWh/1000)</f>
        <v>2971.5613960000001</v>
      </c>
      <c r="C31" s="39">
        <f>IF(ISERROR(B31*3.6/1000000/'E Balans VL '!Z19*100),0,B31*3.6/1000000/'E Balans VL '!Z19*100)</f>
        <v>0.12962879296144753</v>
      </c>
      <c r="D31" s="234" t="s">
        <v>667</v>
      </c>
    </row>
    <row r="32" spans="1:18">
      <c r="A32" s="168" t="s">
        <v>40</v>
      </c>
      <c r="B32" s="37">
        <f>IF( ISERROR(IND_voed_ele_kWh/1000),0,IND_voed_ele_kWh/1000)</f>
        <v>989.34428500000001</v>
      </c>
      <c r="C32" s="39">
        <f>IF(ISERROR(B32*3.6/1000000/'E Balans VL '!Z20*100),0,B32*3.6/1000000/'E Balans VL '!Z20*100)</f>
        <v>3.1054815243192826E-2</v>
      </c>
      <c r="D32" s="234" t="s">
        <v>667</v>
      </c>
    </row>
    <row r="33" spans="1:5">
      <c r="A33" s="168" t="s">
        <v>39</v>
      </c>
      <c r="B33" s="37">
        <f>IF( ISERROR(IND_textiel_ele_kWh/1000),0,IND_textiel_ele_kWh/1000)</f>
        <v>3123.7275980000004</v>
      </c>
      <c r="C33" s="39">
        <f>IF(ISERROR(B33*3.6/1000000/'E Balans VL '!Z21*100),0,B33*3.6/1000000/'E Balans VL '!Z21*100)</f>
        <v>0.48512880825730159</v>
      </c>
      <c r="D33" s="234" t="s">
        <v>667</v>
      </c>
    </row>
    <row r="34" spans="1:5">
      <c r="A34" s="168" t="s">
        <v>36</v>
      </c>
      <c r="B34" s="37">
        <f>IF( ISERROR(IND_min_ele_kWh/1000),0,IND_min_ele_kWh/1000)</f>
        <v>491.840687</v>
      </c>
      <c r="C34" s="39">
        <f>IF(ISERROR(B34*3.6/1000000/'E Balans VL '!Z22*100),0,B34*3.6/1000000/'E Balans VL '!Z22*100)</f>
        <v>0.22061087233476179</v>
      </c>
      <c r="D34" s="234" t="s">
        <v>667</v>
      </c>
    </row>
    <row r="35" spans="1:5">
      <c r="A35" s="168" t="s">
        <v>38</v>
      </c>
      <c r="B35" s="37">
        <f>IF( ISERROR(IND_papier_ele_kWh/1000),0,IND_papier_ele_kWh/1000)</f>
        <v>60.444012000000001</v>
      </c>
      <c r="C35" s="39">
        <f>IF(ISERROR(B35*3.6/1000000/'E Balans VL '!Z22*100),0,B35*3.6/1000000/'E Balans VL '!Z22*100)</f>
        <v>2.71116370954744E-2</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25956.06638</v>
      </c>
      <c r="C37" s="39">
        <f>IF(ISERROR(B37*3.6/1000000/'E Balans VL '!Z15*100),0,B37*3.6/1000000/'E Balans VL '!Z15*100)</f>
        <v>0.21124131716948133</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1719.0487820000001</v>
      </c>
      <c r="C5" s="17">
        <f>'Eigen informatie GS &amp; warmtenet'!B62</f>
        <v>0</v>
      </c>
      <c r="D5" s="30">
        <f>IF(ISERROR(SUM(LB_lb_gas_kWh,LB_rest_gas_kWh)/1000),0,SUM(LB_lb_gas_kWh,LB_rest_gas_kWh)/1000)*0.902</f>
        <v>96.70271102800001</v>
      </c>
      <c r="E5" s="17">
        <f>B17*'E Balans VL '!I25/3.6*1000000/100</f>
        <v>69.838849230298479</v>
      </c>
      <c r="F5" s="17">
        <f>B17*('E Balans VL '!L25/3.6*1000000+'E Balans VL '!N25/3.6*1000000)/100</f>
        <v>6080.8770533768748</v>
      </c>
      <c r="G5" s="18"/>
      <c r="H5" s="17"/>
      <c r="I5" s="17"/>
      <c r="J5" s="17">
        <f>('E Balans VL '!D25+'E Balans VL '!E25)/3.6*1000000*landbouw!B17/100</f>
        <v>488.4173928153723</v>
      </c>
      <c r="K5" s="17"/>
      <c r="L5" s="17">
        <f>L6*(-1)</f>
        <v>0</v>
      </c>
      <c r="M5" s="17"/>
      <c r="N5" s="17">
        <f>N6*(-1)</f>
        <v>0</v>
      </c>
      <c r="O5" s="17"/>
      <c r="P5" s="17"/>
      <c r="R5" s="32"/>
    </row>
    <row r="6" spans="1:18">
      <c r="A6" s="16" t="s">
        <v>464</v>
      </c>
      <c r="B6" s="17" t="s">
        <v>204</v>
      </c>
      <c r="C6" s="17">
        <f>'lokale energieproductie'!O39+'lokale energieproductie'!O32</f>
        <v>0</v>
      </c>
      <c r="D6" s="302">
        <f>('lokale energieproductie'!P32+'lokale energieproductie'!P39)*(-1)</f>
        <v>0</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1719.0487820000001</v>
      </c>
      <c r="C8" s="21">
        <f>C5+C6</f>
        <v>0</v>
      </c>
      <c r="D8" s="21">
        <f>MAX((D5+D6),0)</f>
        <v>96.70271102800001</v>
      </c>
      <c r="E8" s="21">
        <f>MAX((E5+E6),0)</f>
        <v>69.838849230298479</v>
      </c>
      <c r="F8" s="21">
        <f>MAX((F5+F6),0)</f>
        <v>6080.8770533768748</v>
      </c>
      <c r="G8" s="21"/>
      <c r="H8" s="21"/>
      <c r="I8" s="21"/>
      <c r="J8" s="21">
        <f>MAX((J5+J6),0)</f>
        <v>488.4173928153723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0.19051468012415854</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327.50402882055437</v>
      </c>
      <c r="C12" s="23">
        <f ca="1">C8*C10</f>
        <v>0</v>
      </c>
      <c r="D12" s="23">
        <f>D8*D10</f>
        <v>19.533947627656005</v>
      </c>
      <c r="E12" s="23">
        <f>E8*E10</f>
        <v>15.853418775277754</v>
      </c>
      <c r="F12" s="23">
        <f>F8*F10</f>
        <v>1623.5941732516258</v>
      </c>
      <c r="G12" s="23"/>
      <c r="H12" s="23"/>
      <c r="I12" s="23"/>
      <c r="J12" s="23">
        <f>J8*J10</f>
        <v>172.89975705664179</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0.25554892475326008</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337.67279493620691</v>
      </c>
      <c r="C26" s="244">
        <f>B26*'GWP N2O_CH4'!B5</f>
        <v>7091.1286936603456</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114.47299224963807</v>
      </c>
      <c r="C27" s="244">
        <f>B27*'GWP N2O_CH4'!B5</f>
        <v>2403.9328372423993</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5.003663182607883</v>
      </c>
      <c r="C28" s="244">
        <f>B28*'GWP N2O_CH4'!B4</f>
        <v>1551.1355866084436</v>
      </c>
      <c r="D28" s="50"/>
    </row>
    <row r="29" spans="1:4">
      <c r="A29" s="41" t="s">
        <v>265</v>
      </c>
      <c r="B29" s="244">
        <f>B34*'ha_N2O bodem landbouw'!B4</f>
        <v>18.162432196851402</v>
      </c>
      <c r="C29" s="244">
        <f>B29*'GWP N2O_CH4'!B4</f>
        <v>5630.3539810239345</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3.9826943735305053E-3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2.5166399717755391E-4</v>
      </c>
      <c r="C5" s="429" t="s">
        <v>204</v>
      </c>
      <c r="D5" s="414">
        <f>SUM(D6:D11)</f>
        <v>4.5332792367615683E-4</v>
      </c>
      <c r="E5" s="414">
        <f>SUM(E6:E11)</f>
        <v>3.8715156756498803E-4</v>
      </c>
      <c r="F5" s="427" t="s">
        <v>204</v>
      </c>
      <c r="G5" s="414">
        <f>SUM(G6:G11)</f>
        <v>0.19756949357240844</v>
      </c>
      <c r="H5" s="414">
        <f>SUM(H6:H11)</f>
        <v>4.3389051541849591E-2</v>
      </c>
      <c r="I5" s="429" t="s">
        <v>204</v>
      </c>
      <c r="J5" s="429" t="s">
        <v>204</v>
      </c>
      <c r="K5" s="429" t="s">
        <v>204</v>
      </c>
      <c r="L5" s="429" t="s">
        <v>204</v>
      </c>
      <c r="M5" s="414">
        <f>SUM(M6:M11)</f>
        <v>1.4261058989513369E-2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1.8617126057673858E-4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3.1584938764534512E-4</v>
      </c>
      <c r="E6" s="843">
        <f>vkm_GW_PW*SUMIFS(TableVerdeelsleutelVkm[LPG],TableVerdeelsleutelVkm[Voertuigtype],"Lichte voertuigen")*SUMIFS(TableECFTransport[EnergieConsumptieFactor (PJ per km)],TableECFTransport[Index],CONCATENATE($A6,"_LPG_LPG"))</f>
        <v>2.7346536238545956E-4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8.7356302724004825E-2</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3.0390165171105682E-2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7.0475307977224001E-3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1.6764481264338884E-6</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6.3985129240506644E-2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1.0197618850725491E-6</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3.6882637588306049E-3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6.356087447155102E-5</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1.3747853603081168E-4</v>
      </c>
      <c r="E8" s="417">
        <f>vkm_NGW_PW*SUMIFS(TableVerdeelsleutelVkm[LPG],TableVerdeelsleutelVkm[Voertuigtype],"Lichte voertuigen")*SUMIFS(TableECFTransport[EnergieConsumptieFactor (PJ per km)],TableECFTransport[Index],CONCATENATE($A8,"_LPG_LPG"))</f>
        <v>1.1368620517952847E-4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3.3695731393299816E-2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1.2997679079268278E-2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2.8028702112260955E-3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2.5541400283039616E-7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1.2532330214597154E-2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1.8752959056055034E-7</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7.2239422173426995E-4</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7">
        <f>vkm_SW_PW*SUMIFS(TableVerdeelsleutelVkm[LPG],TableVerdeelsleutelVkm[Voertuigtype],"Lichte voertuigen")*SUMIFS(TableECFTransport[EnergieConsumptieFactor (PJ per km)],TableECFTransport[Index],CONCATENATE($A10,"_LPG_LPG"))</f>
        <v>0</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69.906665882653868</v>
      </c>
      <c r="C14" s="21"/>
      <c r="D14" s="21">
        <f t="shared" ref="D14:M14" si="0">((D5)*10^9/3600)+D12</f>
        <v>125.92442324337691</v>
      </c>
      <c r="E14" s="21">
        <f t="shared" si="0"/>
        <v>107.54210210138557</v>
      </c>
      <c r="F14" s="21"/>
      <c r="G14" s="21">
        <f t="shared" si="0"/>
        <v>54880.414881224569</v>
      </c>
      <c r="H14" s="21">
        <f t="shared" si="0"/>
        <v>12052.514317180441</v>
      </c>
      <c r="I14" s="21"/>
      <c r="J14" s="21"/>
      <c r="K14" s="21"/>
      <c r="L14" s="21"/>
      <c r="M14" s="21">
        <f t="shared" si="0"/>
        <v>3961.4052748648246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0.19051468012415854</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13.318246089180228</v>
      </c>
      <c r="C18" s="23"/>
      <c r="D18" s="23">
        <f t="shared" ref="D18:M18" si="1">D14*D16</f>
        <v>25.436733495162137</v>
      </c>
      <c r="E18" s="23">
        <f t="shared" si="1"/>
        <v>24.412057177014525</v>
      </c>
      <c r="F18" s="23"/>
      <c r="G18" s="23">
        <f t="shared" si="1"/>
        <v>14653.070773286961</v>
      </c>
      <c r="H18" s="23">
        <f t="shared" si="1"/>
        <v>3001.0760649779299</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3.9065889355216986E-5</v>
      </c>
      <c r="C50" s="313">
        <f t="shared" ref="C50:P50" si="2">SUM(C51:C52)</f>
        <v>0</v>
      </c>
      <c r="D50" s="313">
        <f t="shared" si="2"/>
        <v>0</v>
      </c>
      <c r="E50" s="313">
        <f t="shared" si="2"/>
        <v>0</v>
      </c>
      <c r="F50" s="313">
        <f t="shared" si="2"/>
        <v>0</v>
      </c>
      <c r="G50" s="313">
        <f t="shared" si="2"/>
        <v>2.830382563646081E-3</v>
      </c>
      <c r="H50" s="313">
        <f t="shared" si="2"/>
        <v>0</v>
      </c>
      <c r="I50" s="313">
        <f t="shared" si="2"/>
        <v>0</v>
      </c>
      <c r="J50" s="313">
        <f t="shared" si="2"/>
        <v>0</v>
      </c>
      <c r="K50" s="313">
        <f t="shared" si="2"/>
        <v>0</v>
      </c>
      <c r="L50" s="313">
        <f t="shared" si="2"/>
        <v>0</v>
      </c>
      <c r="M50" s="313">
        <f t="shared" si="2"/>
        <v>1.6009486677353281E-4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3.9065889355216986E-5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2.830382563646081E-3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1.6009486677353281E-4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10.851635932004717</v>
      </c>
      <c r="C54" s="21">
        <f t="shared" ref="C54:P54" si="3">(C50)*10^9/3600</f>
        <v>0</v>
      </c>
      <c r="D54" s="21">
        <f t="shared" si="3"/>
        <v>0</v>
      </c>
      <c r="E54" s="21">
        <f t="shared" si="3"/>
        <v>0</v>
      </c>
      <c r="F54" s="21">
        <f t="shared" si="3"/>
        <v>0</v>
      </c>
      <c r="G54" s="21">
        <f t="shared" si="3"/>
        <v>786.21737879057798</v>
      </c>
      <c r="H54" s="21">
        <f t="shared" si="3"/>
        <v>0</v>
      </c>
      <c r="I54" s="21">
        <f t="shared" si="3"/>
        <v>0</v>
      </c>
      <c r="J54" s="21">
        <f t="shared" si="3"/>
        <v>0</v>
      </c>
      <c r="K54" s="21">
        <f t="shared" si="3"/>
        <v>0</v>
      </c>
      <c r="L54" s="21">
        <f t="shared" si="3"/>
        <v>0</v>
      </c>
      <c r="M54" s="21">
        <f t="shared" si="3"/>
        <v>44.47079632598134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0.19051468012415854</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2.0673959484097035</v>
      </c>
      <c r="C58" s="23">
        <f t="shared" ref="C58:P58" ca="1" si="4">C54*C56</f>
        <v>0</v>
      </c>
      <c r="D58" s="23">
        <f t="shared" si="4"/>
        <v>0</v>
      </c>
      <c r="E58" s="23">
        <f t="shared" si="4"/>
        <v>0</v>
      </c>
      <c r="F58" s="23">
        <f t="shared" si="4"/>
        <v>0</v>
      </c>
      <c r="G58" s="23">
        <f t="shared" si="4"/>
        <v>209.92004013708433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10756.530662586712</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0</v>
      </c>
      <c r="C8" s="539">
        <f>B48</f>
        <v>0</v>
      </c>
      <c r="D8" s="540"/>
      <c r="E8" s="540">
        <f>E48</f>
        <v>0</v>
      </c>
      <c r="F8" s="541"/>
      <c r="G8" s="542"/>
      <c r="H8" s="540">
        <f>I48</f>
        <v>0</v>
      </c>
      <c r="I8" s="540">
        <f>G48+F48</f>
        <v>0</v>
      </c>
      <c r="J8" s="540">
        <f>H48+D48+C48</f>
        <v>0</v>
      </c>
      <c r="K8" s="540"/>
      <c r="L8" s="540"/>
      <c r="M8" s="540"/>
      <c r="N8" s="543"/>
      <c r="O8" s="544">
        <f>C8*$C$12+D8*$D$12+E8*$E$12+F8*$F$12+G8*$G$12+H8*$H$12+I8*$I$12+J8*$J$12</f>
        <v>0</v>
      </c>
      <c r="P8" s="1230"/>
      <c r="Q8" s="1231"/>
      <c r="S8" s="534"/>
      <c r="T8" s="1227"/>
      <c r="U8" s="1227"/>
    </row>
    <row r="9" spans="1:21" s="525" customFormat="1" ht="17.45" customHeight="1" thickBot="1">
      <c r="A9" s="545" t="s">
        <v>236</v>
      </c>
      <c r="B9" s="546">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10756.530662586712</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0</v>
      </c>
      <c r="C17" s="570">
        <f>B49</f>
        <v>0</v>
      </c>
      <c r="D17" s="571"/>
      <c r="E17" s="571">
        <f>E49</f>
        <v>0</v>
      </c>
      <c r="F17" s="572"/>
      <c r="G17" s="573"/>
      <c r="H17" s="570">
        <f>I49</f>
        <v>0</v>
      </c>
      <c r="I17" s="571">
        <f>G49+F49</f>
        <v>0</v>
      </c>
      <c r="J17" s="571">
        <f>H49+D49+C49</f>
        <v>0</v>
      </c>
      <c r="K17" s="571"/>
      <c r="L17" s="571"/>
      <c r="M17" s="571"/>
      <c r="N17" s="924"/>
      <c r="O17" s="574">
        <f>C17*$C$22+E17*$E$22+H17*$H$22+I17*$I$22+J17*$J$22+D17*$D$22+F17*$F$22+G17*$G$22+K17*$K$22+L17*$L$22</f>
        <v>0</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12.75" hidden="1">
      <c r="A28" s="583"/>
      <c r="B28" s="745"/>
      <c r="C28" s="745"/>
      <c r="D28" s="631"/>
      <c r="E28" s="630"/>
      <c r="F28" s="630"/>
      <c r="G28" s="630"/>
      <c r="H28" s="630"/>
      <c r="I28" s="630"/>
      <c r="J28" s="744"/>
      <c r="K28" s="744"/>
      <c r="L28" s="630"/>
      <c r="M28" s="630"/>
      <c r="N28" s="630"/>
      <c r="O28" s="630"/>
      <c r="P28" s="630"/>
      <c r="Q28" s="630"/>
      <c r="R28" s="630"/>
      <c r="S28" s="630"/>
      <c r="T28" s="630"/>
      <c r="U28" s="630"/>
      <c r="V28" s="630"/>
      <c r="W28" s="630"/>
      <c r="X28" s="630"/>
      <c r="Y28" s="630"/>
      <c r="Z28" s="630"/>
      <c r="AA28" s="632"/>
    </row>
    <row r="29" spans="1:27" s="564" customFormat="1" hidden="1">
      <c r="A29" s="586" t="s">
        <v>268</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12.75" hidden="1">
      <c r="A35" s="585"/>
      <c r="B35" s="745"/>
      <c r="C35" s="745"/>
      <c r="D35" s="633"/>
      <c r="E35" s="633"/>
      <c r="F35" s="633"/>
      <c r="G35" s="633"/>
      <c r="H35" s="633"/>
      <c r="I35" s="633"/>
      <c r="J35" s="744"/>
      <c r="K35" s="744"/>
      <c r="L35" s="633"/>
      <c r="M35" s="633"/>
      <c r="N35" s="633"/>
      <c r="O35" s="633"/>
      <c r="P35" s="633"/>
      <c r="Q35" s="633"/>
      <c r="R35" s="633"/>
      <c r="S35" s="633"/>
      <c r="T35" s="633"/>
      <c r="U35" s="633"/>
      <c r="V35" s="633"/>
      <c r="W35" s="633"/>
      <c r="X35" s="633"/>
      <c r="Y35" s="633"/>
      <c r="Z35" s="633"/>
      <c r="AA35" s="634"/>
    </row>
    <row r="36" spans="1:28" s="564" customFormat="1" hidden="1">
      <c r="A36" s="586" t="s">
        <v>268</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v>
      </c>
      <c r="C45" s="613">
        <f>IF(ISERROR(N29/(O29+N29)),0,N29/(N29+O29))</f>
        <v>0</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0</v>
      </c>
      <c r="C48" s="622">
        <f t="shared" si="2"/>
        <v>0</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0</v>
      </c>
      <c r="C49" s="625">
        <f t="shared" si="3"/>
        <v>0</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13976.750006</v>
      </c>
      <c r="D10" s="641">
        <f ca="1">tertiair!C16</f>
        <v>0</v>
      </c>
      <c r="E10" s="641">
        <f ca="1">tertiair!D16</f>
        <v>9748.3861816660028</v>
      </c>
      <c r="F10" s="641">
        <f>tertiair!E16</f>
        <v>30.80003921732331</v>
      </c>
      <c r="G10" s="641">
        <f ca="1">tertiair!F16</f>
        <v>1865.5226365498725</v>
      </c>
      <c r="H10" s="641">
        <f>tertiair!G16</f>
        <v>0</v>
      </c>
      <c r="I10" s="641">
        <f>tertiair!H16</f>
        <v>0</v>
      </c>
      <c r="J10" s="641">
        <f>tertiair!I16</f>
        <v>0</v>
      </c>
      <c r="K10" s="641">
        <f>tertiair!J16</f>
        <v>9.418827574209962E-3</v>
      </c>
      <c r="L10" s="641">
        <f>tertiair!K16</f>
        <v>0</v>
      </c>
      <c r="M10" s="641">
        <f ca="1">tertiair!L16</f>
        <v>0</v>
      </c>
      <c r="N10" s="641">
        <f>tertiair!M16</f>
        <v>0</v>
      </c>
      <c r="O10" s="641">
        <f ca="1">tertiair!N16</f>
        <v>361.72425700338397</v>
      </c>
      <c r="P10" s="641">
        <f>tertiair!O16</f>
        <v>9.7945215316823084</v>
      </c>
      <c r="Q10" s="642">
        <f>tertiair!P16</f>
        <v>105.07827661299004</v>
      </c>
      <c r="R10" s="644">
        <f ca="1">SUM(C10:Q10)</f>
        <v>26098.065337408825</v>
      </c>
      <c r="S10" s="67"/>
    </row>
    <row r="11" spans="1:19" s="440" customFormat="1">
      <c r="A11" s="761" t="s">
        <v>213</v>
      </c>
      <c r="B11" s="766"/>
      <c r="C11" s="641">
        <f>huishoudens!B8</f>
        <v>27682.437350685068</v>
      </c>
      <c r="D11" s="641">
        <f>huishoudens!C8</f>
        <v>0</v>
      </c>
      <c r="E11" s="641">
        <f>huishoudens!D8</f>
        <v>31066.670163319995</v>
      </c>
      <c r="F11" s="641">
        <f>huishoudens!E8</f>
        <v>2472.4804091000137</v>
      </c>
      <c r="G11" s="641">
        <f>huishoudens!F8</f>
        <v>47581.15010249232</v>
      </c>
      <c r="H11" s="641">
        <f>huishoudens!G8</f>
        <v>0</v>
      </c>
      <c r="I11" s="641">
        <f>huishoudens!H8</f>
        <v>0</v>
      </c>
      <c r="J11" s="641">
        <f>huishoudens!I8</f>
        <v>0</v>
      </c>
      <c r="K11" s="641">
        <f>huishoudens!J8</f>
        <v>243.47780944457205</v>
      </c>
      <c r="L11" s="641">
        <f>huishoudens!K8</f>
        <v>0</v>
      </c>
      <c r="M11" s="641">
        <f>huishoudens!L8</f>
        <v>0</v>
      </c>
      <c r="N11" s="641">
        <f>huishoudens!M8</f>
        <v>0</v>
      </c>
      <c r="O11" s="641">
        <f>huishoudens!N8</f>
        <v>9094.7728338834349</v>
      </c>
      <c r="P11" s="641">
        <f>huishoudens!O8</f>
        <v>422.58310072943772</v>
      </c>
      <c r="Q11" s="642">
        <f>huishoudens!P8</f>
        <v>589.90172123036132</v>
      </c>
      <c r="R11" s="644">
        <f>SUM(C11:Q11)</f>
        <v>119153.47349088521</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33860.868255000001</v>
      </c>
      <c r="D13" s="641">
        <f>industrie!C18</f>
        <v>0</v>
      </c>
      <c r="E13" s="641">
        <f>industrie!D18</f>
        <v>9132.8832786179992</v>
      </c>
      <c r="F13" s="641">
        <f>industrie!E18</f>
        <v>1267.7996114786313</v>
      </c>
      <c r="G13" s="641">
        <f>industrie!F18</f>
        <v>6284.9758217747321</v>
      </c>
      <c r="H13" s="641">
        <f>industrie!G18</f>
        <v>0</v>
      </c>
      <c r="I13" s="641">
        <f>industrie!H18</f>
        <v>0</v>
      </c>
      <c r="J13" s="641">
        <f>industrie!I18</f>
        <v>0</v>
      </c>
      <c r="K13" s="641">
        <f>industrie!J18</f>
        <v>100.3738979492223</v>
      </c>
      <c r="L13" s="641">
        <f>industrie!K18</f>
        <v>0</v>
      </c>
      <c r="M13" s="641">
        <f>industrie!L18</f>
        <v>0</v>
      </c>
      <c r="N13" s="641">
        <f>industrie!M18</f>
        <v>0</v>
      </c>
      <c r="O13" s="641">
        <f>industrie!N18</f>
        <v>1453.0225616619566</v>
      </c>
      <c r="P13" s="641">
        <f>industrie!O18</f>
        <v>0</v>
      </c>
      <c r="Q13" s="642">
        <f>industrie!P18</f>
        <v>0</v>
      </c>
      <c r="R13" s="644">
        <f>SUM(C13:Q13)</f>
        <v>52099.923426482535</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75520.055611685064</v>
      </c>
      <c r="D16" s="677">
        <f t="shared" ref="D16:R16" ca="1" si="0">SUM(D9:D15)</f>
        <v>0</v>
      </c>
      <c r="E16" s="677">
        <f t="shared" ca="1" si="0"/>
        <v>49947.939623603997</v>
      </c>
      <c r="F16" s="677">
        <f t="shared" si="0"/>
        <v>3771.0800597959687</v>
      </c>
      <c r="G16" s="677">
        <f t="shared" ca="1" si="0"/>
        <v>55731.648560816924</v>
      </c>
      <c r="H16" s="677">
        <f t="shared" si="0"/>
        <v>0</v>
      </c>
      <c r="I16" s="677">
        <f t="shared" si="0"/>
        <v>0</v>
      </c>
      <c r="J16" s="677">
        <f t="shared" si="0"/>
        <v>0</v>
      </c>
      <c r="K16" s="677">
        <f t="shared" si="0"/>
        <v>343.86112622136858</v>
      </c>
      <c r="L16" s="677">
        <f t="shared" si="0"/>
        <v>0</v>
      </c>
      <c r="M16" s="677">
        <f t="shared" ca="1" si="0"/>
        <v>0</v>
      </c>
      <c r="N16" s="677">
        <f t="shared" si="0"/>
        <v>0</v>
      </c>
      <c r="O16" s="677">
        <f t="shared" ca="1" si="0"/>
        <v>10909.519652548775</v>
      </c>
      <c r="P16" s="677">
        <f t="shared" si="0"/>
        <v>432.37762226112005</v>
      </c>
      <c r="Q16" s="677">
        <f t="shared" si="0"/>
        <v>694.97999784335138</v>
      </c>
      <c r="R16" s="677">
        <f t="shared" ca="1" si="0"/>
        <v>197351.46225477656</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10.851635932004717</v>
      </c>
      <c r="D19" s="641">
        <f>transport!C54</f>
        <v>0</v>
      </c>
      <c r="E19" s="641">
        <f>transport!D54</f>
        <v>0</v>
      </c>
      <c r="F19" s="641">
        <f>transport!E54</f>
        <v>0</v>
      </c>
      <c r="G19" s="641">
        <f>transport!F54</f>
        <v>0</v>
      </c>
      <c r="H19" s="641">
        <f>transport!G54</f>
        <v>786.21737879057798</v>
      </c>
      <c r="I19" s="641">
        <f>transport!H54</f>
        <v>0</v>
      </c>
      <c r="J19" s="641">
        <f>transport!I54</f>
        <v>0</v>
      </c>
      <c r="K19" s="641">
        <f>transport!J54</f>
        <v>0</v>
      </c>
      <c r="L19" s="641">
        <f>transport!K54</f>
        <v>0</v>
      </c>
      <c r="M19" s="641">
        <f>transport!L54</f>
        <v>0</v>
      </c>
      <c r="N19" s="641">
        <f>transport!M54</f>
        <v>44.47079632598134</v>
      </c>
      <c r="O19" s="641">
        <f>transport!N54</f>
        <v>0</v>
      </c>
      <c r="P19" s="641">
        <f>transport!O54</f>
        <v>0</v>
      </c>
      <c r="Q19" s="642">
        <f>transport!P54</f>
        <v>0</v>
      </c>
      <c r="R19" s="644">
        <f>SUM(C19:Q19)</f>
        <v>841.53981104856405</v>
      </c>
      <c r="S19" s="67"/>
    </row>
    <row r="20" spans="1:19" s="440" customFormat="1">
      <c r="A20" s="761" t="s">
        <v>295</v>
      </c>
      <c r="B20" s="766"/>
      <c r="C20" s="641">
        <f>transport!B14</f>
        <v>69.906665882653868</v>
      </c>
      <c r="D20" s="641">
        <f>transport!C14</f>
        <v>0</v>
      </c>
      <c r="E20" s="641">
        <f>transport!D14</f>
        <v>125.92442324337691</v>
      </c>
      <c r="F20" s="641">
        <f>transport!E14</f>
        <v>107.54210210138557</v>
      </c>
      <c r="G20" s="641">
        <f>transport!F14</f>
        <v>0</v>
      </c>
      <c r="H20" s="641">
        <f>transport!G14</f>
        <v>54880.414881224569</v>
      </c>
      <c r="I20" s="641">
        <f>transport!H14</f>
        <v>12052.514317180441</v>
      </c>
      <c r="J20" s="641">
        <f>transport!I14</f>
        <v>0</v>
      </c>
      <c r="K20" s="641">
        <f>transport!J14</f>
        <v>0</v>
      </c>
      <c r="L20" s="641">
        <f>transport!K14</f>
        <v>0</v>
      </c>
      <c r="M20" s="641">
        <f>transport!L14</f>
        <v>0</v>
      </c>
      <c r="N20" s="641">
        <f>transport!M14</f>
        <v>3961.4052748648246</v>
      </c>
      <c r="O20" s="641">
        <f>transport!N14</f>
        <v>0</v>
      </c>
      <c r="P20" s="641">
        <f>transport!O14</f>
        <v>0</v>
      </c>
      <c r="Q20" s="642">
        <f>transport!P14</f>
        <v>0</v>
      </c>
      <c r="R20" s="644">
        <f>SUM(C20:Q20)</f>
        <v>71197.707664497255</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80.75830181465858</v>
      </c>
      <c r="D22" s="764">
        <f t="shared" ref="D22:R22" si="1">SUM(D18:D21)</f>
        <v>0</v>
      </c>
      <c r="E22" s="764">
        <f t="shared" si="1"/>
        <v>125.92442324337691</v>
      </c>
      <c r="F22" s="764">
        <f t="shared" si="1"/>
        <v>107.54210210138557</v>
      </c>
      <c r="G22" s="764">
        <f t="shared" si="1"/>
        <v>0</v>
      </c>
      <c r="H22" s="764">
        <f t="shared" si="1"/>
        <v>55666.632260015147</v>
      </c>
      <c r="I22" s="764">
        <f t="shared" si="1"/>
        <v>12052.514317180441</v>
      </c>
      <c r="J22" s="764">
        <f t="shared" si="1"/>
        <v>0</v>
      </c>
      <c r="K22" s="764">
        <f t="shared" si="1"/>
        <v>0</v>
      </c>
      <c r="L22" s="764">
        <f t="shared" si="1"/>
        <v>0</v>
      </c>
      <c r="M22" s="764">
        <f t="shared" si="1"/>
        <v>0</v>
      </c>
      <c r="N22" s="764">
        <f t="shared" si="1"/>
        <v>4005.8760711908058</v>
      </c>
      <c r="O22" s="764">
        <f t="shared" si="1"/>
        <v>0</v>
      </c>
      <c r="P22" s="764">
        <f t="shared" si="1"/>
        <v>0</v>
      </c>
      <c r="Q22" s="764">
        <f t="shared" si="1"/>
        <v>0</v>
      </c>
      <c r="R22" s="764">
        <f t="shared" si="1"/>
        <v>72039.247475545824</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1719.0487820000001</v>
      </c>
      <c r="D24" s="641">
        <f>+landbouw!C8</f>
        <v>0</v>
      </c>
      <c r="E24" s="641">
        <f>+landbouw!D8</f>
        <v>96.70271102800001</v>
      </c>
      <c r="F24" s="641">
        <f>+landbouw!E8</f>
        <v>69.838849230298479</v>
      </c>
      <c r="G24" s="641">
        <f>+landbouw!F8</f>
        <v>6080.8770533768748</v>
      </c>
      <c r="H24" s="641">
        <f>+landbouw!G8</f>
        <v>0</v>
      </c>
      <c r="I24" s="641">
        <f>+landbouw!H8</f>
        <v>0</v>
      </c>
      <c r="J24" s="641">
        <f>+landbouw!I8</f>
        <v>0</v>
      </c>
      <c r="K24" s="641">
        <f>+landbouw!J8</f>
        <v>488.4173928153723</v>
      </c>
      <c r="L24" s="641">
        <f>+landbouw!K8</f>
        <v>0</v>
      </c>
      <c r="M24" s="641">
        <f>+landbouw!L8</f>
        <v>0</v>
      </c>
      <c r="N24" s="641">
        <f>+landbouw!M8</f>
        <v>0</v>
      </c>
      <c r="O24" s="641">
        <f>+landbouw!N8</f>
        <v>0</v>
      </c>
      <c r="P24" s="641">
        <f>+landbouw!O8</f>
        <v>0</v>
      </c>
      <c r="Q24" s="642">
        <f>+landbouw!P8</f>
        <v>0</v>
      </c>
      <c r="R24" s="644">
        <f>SUM(C24:Q24)</f>
        <v>8454.8847884505449</v>
      </c>
      <c r="S24" s="67"/>
    </row>
    <row r="25" spans="1:19" s="440" customFormat="1" ht="15" thickBot="1">
      <c r="A25" s="783" t="s">
        <v>683</v>
      </c>
      <c r="B25" s="901"/>
      <c r="C25" s="902">
        <f>IF(Onbekend_ele_kWh="---",0,Onbekend_ele_kWh)/1000+IF(REST_rest_ele_kWh="---",0,REST_rest_ele_kWh)/1000</f>
        <v>658.43263200000001</v>
      </c>
      <c r="D25" s="902"/>
      <c r="E25" s="902">
        <f>IF(onbekend_gas_kWh="---",0,onbekend_gas_kWh)/1000+IF(REST_rest_gas_kWh="---",0,REST_rest_gas_kWh)/1000</f>
        <v>869.16142600000001</v>
      </c>
      <c r="F25" s="902"/>
      <c r="G25" s="902"/>
      <c r="H25" s="902"/>
      <c r="I25" s="902"/>
      <c r="J25" s="902"/>
      <c r="K25" s="902"/>
      <c r="L25" s="902"/>
      <c r="M25" s="902"/>
      <c r="N25" s="902"/>
      <c r="O25" s="902"/>
      <c r="P25" s="902"/>
      <c r="Q25" s="903"/>
      <c r="R25" s="644">
        <f>SUM(C25:Q25)</f>
        <v>1527.5940580000001</v>
      </c>
      <c r="S25" s="67"/>
    </row>
    <row r="26" spans="1:19" s="440" customFormat="1" ht="15.75" thickBot="1">
      <c r="A26" s="649" t="s">
        <v>684</v>
      </c>
      <c r="B26" s="769"/>
      <c r="C26" s="764">
        <f>SUM(C24:C25)</f>
        <v>2377.4814139999999</v>
      </c>
      <c r="D26" s="764">
        <f t="shared" ref="D26:R26" si="2">SUM(D24:D25)</f>
        <v>0</v>
      </c>
      <c r="E26" s="764">
        <f t="shared" si="2"/>
        <v>965.86413702799996</v>
      </c>
      <c r="F26" s="764">
        <f t="shared" si="2"/>
        <v>69.838849230298479</v>
      </c>
      <c r="G26" s="764">
        <f t="shared" si="2"/>
        <v>6080.8770533768748</v>
      </c>
      <c r="H26" s="764">
        <f t="shared" si="2"/>
        <v>0</v>
      </c>
      <c r="I26" s="764">
        <f t="shared" si="2"/>
        <v>0</v>
      </c>
      <c r="J26" s="764">
        <f t="shared" si="2"/>
        <v>0</v>
      </c>
      <c r="K26" s="764">
        <f t="shared" si="2"/>
        <v>488.4173928153723</v>
      </c>
      <c r="L26" s="764">
        <f t="shared" si="2"/>
        <v>0</v>
      </c>
      <c r="M26" s="764">
        <f t="shared" si="2"/>
        <v>0</v>
      </c>
      <c r="N26" s="764">
        <f t="shared" si="2"/>
        <v>0</v>
      </c>
      <c r="O26" s="764">
        <f t="shared" si="2"/>
        <v>0</v>
      </c>
      <c r="P26" s="764">
        <f t="shared" si="2"/>
        <v>0</v>
      </c>
      <c r="Q26" s="764">
        <f t="shared" si="2"/>
        <v>0</v>
      </c>
      <c r="R26" s="764">
        <f t="shared" si="2"/>
        <v>9982.4788464505455</v>
      </c>
      <c r="S26" s="67"/>
    </row>
    <row r="27" spans="1:19" s="440" customFormat="1" ht="17.25" thickTop="1" thickBot="1">
      <c r="A27" s="650" t="s">
        <v>109</v>
      </c>
      <c r="B27" s="756"/>
      <c r="C27" s="651">
        <f ca="1">C22+C16+C26</f>
        <v>77978.295327499713</v>
      </c>
      <c r="D27" s="651">
        <f t="shared" ref="D27:R27" ca="1" si="3">D22+D16+D26</f>
        <v>0</v>
      </c>
      <c r="E27" s="651">
        <f t="shared" ca="1" si="3"/>
        <v>51039.728183875377</v>
      </c>
      <c r="F27" s="651">
        <f t="shared" si="3"/>
        <v>3948.4610111276525</v>
      </c>
      <c r="G27" s="651">
        <f t="shared" ca="1" si="3"/>
        <v>61812.525614193801</v>
      </c>
      <c r="H27" s="651">
        <f t="shared" si="3"/>
        <v>55666.632260015147</v>
      </c>
      <c r="I27" s="651">
        <f t="shared" si="3"/>
        <v>12052.514317180441</v>
      </c>
      <c r="J27" s="651">
        <f t="shared" si="3"/>
        <v>0</v>
      </c>
      <c r="K27" s="651">
        <f t="shared" si="3"/>
        <v>832.27851903674082</v>
      </c>
      <c r="L27" s="651">
        <f t="shared" si="3"/>
        <v>0</v>
      </c>
      <c r="M27" s="651">
        <f t="shared" ca="1" si="3"/>
        <v>0</v>
      </c>
      <c r="N27" s="651">
        <f t="shared" si="3"/>
        <v>4005.8760711908058</v>
      </c>
      <c r="O27" s="651">
        <f t="shared" ca="1" si="3"/>
        <v>10909.519652548775</v>
      </c>
      <c r="P27" s="651">
        <f t="shared" si="3"/>
        <v>432.37762226112005</v>
      </c>
      <c r="Q27" s="651">
        <f t="shared" si="3"/>
        <v>694.97999784335138</v>
      </c>
      <c r="R27" s="651">
        <f t="shared" ca="1" si="3"/>
        <v>279373.18857677293</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2662.7760565684207</v>
      </c>
      <c r="D40" s="641">
        <f ca="1">tertiair!C20</f>
        <v>0</v>
      </c>
      <c r="E40" s="641">
        <f ca="1">tertiair!D20</f>
        <v>1969.1740086965326</v>
      </c>
      <c r="F40" s="641">
        <f>tertiair!E20</f>
        <v>6.9916089023323913</v>
      </c>
      <c r="G40" s="641">
        <f ca="1">tertiair!F20</f>
        <v>498.09454395881596</v>
      </c>
      <c r="H40" s="641">
        <f>tertiair!G20</f>
        <v>0</v>
      </c>
      <c r="I40" s="641">
        <f>tertiair!H20</f>
        <v>0</v>
      </c>
      <c r="J40" s="641">
        <f>tertiair!I20</f>
        <v>0</v>
      </c>
      <c r="K40" s="641">
        <f>tertiair!J20</f>
        <v>3.3342649612703263E-3</v>
      </c>
      <c r="L40" s="641">
        <f>tertiair!K20</f>
        <v>0</v>
      </c>
      <c r="M40" s="641">
        <f ca="1">tertiair!L20</f>
        <v>0</v>
      </c>
      <c r="N40" s="641">
        <f>tertiair!M20</f>
        <v>0</v>
      </c>
      <c r="O40" s="641">
        <f ca="1">tertiair!N20</f>
        <v>0</v>
      </c>
      <c r="P40" s="641">
        <f>tertiair!O20</f>
        <v>0</v>
      </c>
      <c r="Q40" s="724">
        <f>tertiair!P20</f>
        <v>0</v>
      </c>
      <c r="R40" s="802">
        <f t="shared" ca="1" si="4"/>
        <v>5137.0395523910629</v>
      </c>
    </row>
    <row r="41" spans="1:18">
      <c r="A41" s="774" t="s">
        <v>213</v>
      </c>
      <c r="B41" s="781"/>
      <c r="C41" s="641">
        <f ca="1">huishoudens!B12</f>
        <v>5273.9106969228242</v>
      </c>
      <c r="D41" s="641">
        <f ca="1">huishoudens!C12</f>
        <v>0</v>
      </c>
      <c r="E41" s="641">
        <f>huishoudens!D12</f>
        <v>6275.4673729906399</v>
      </c>
      <c r="F41" s="641">
        <f>huishoudens!E12</f>
        <v>561.25305286570313</v>
      </c>
      <c r="G41" s="641">
        <f>huishoudens!F12</f>
        <v>12704.16707736545</v>
      </c>
      <c r="H41" s="641">
        <f>huishoudens!G12</f>
        <v>0</v>
      </c>
      <c r="I41" s="641">
        <f>huishoudens!H12</f>
        <v>0</v>
      </c>
      <c r="J41" s="641">
        <f>huishoudens!I12</f>
        <v>0</v>
      </c>
      <c r="K41" s="641">
        <f>huishoudens!J12</f>
        <v>86.191144543378499</v>
      </c>
      <c r="L41" s="641">
        <f>huishoudens!K12</f>
        <v>0</v>
      </c>
      <c r="M41" s="641">
        <f>huishoudens!L12</f>
        <v>0</v>
      </c>
      <c r="N41" s="641">
        <f>huishoudens!M12</f>
        <v>0</v>
      </c>
      <c r="O41" s="641">
        <f>huishoudens!N12</f>
        <v>0</v>
      </c>
      <c r="P41" s="641">
        <f>huishoudens!O12</f>
        <v>0</v>
      </c>
      <c r="Q41" s="724">
        <f>huishoudens!P12</f>
        <v>0</v>
      </c>
      <c r="R41" s="802">
        <f t="shared" ca="1" si="4"/>
        <v>24900.989344687994</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6450.9924843275994</v>
      </c>
      <c r="D43" s="641">
        <f ca="1">industrie!C22</f>
        <v>0</v>
      </c>
      <c r="E43" s="641">
        <f>industrie!D22</f>
        <v>1844.842422280836</v>
      </c>
      <c r="F43" s="641">
        <f>industrie!E22</f>
        <v>287.79051180564932</v>
      </c>
      <c r="G43" s="641">
        <f>industrie!F22</f>
        <v>1678.0885444138535</v>
      </c>
      <c r="H43" s="641">
        <f>industrie!G22</f>
        <v>0</v>
      </c>
      <c r="I43" s="641">
        <f>industrie!H22</f>
        <v>0</v>
      </c>
      <c r="J43" s="641">
        <f>industrie!I22</f>
        <v>0</v>
      </c>
      <c r="K43" s="641">
        <f>industrie!J22</f>
        <v>35.532359874024692</v>
      </c>
      <c r="L43" s="641">
        <f>industrie!K22</f>
        <v>0</v>
      </c>
      <c r="M43" s="641">
        <f>industrie!L22</f>
        <v>0</v>
      </c>
      <c r="N43" s="641">
        <f>industrie!M22</f>
        <v>0</v>
      </c>
      <c r="O43" s="641">
        <f>industrie!N22</f>
        <v>0</v>
      </c>
      <c r="P43" s="641">
        <f>industrie!O22</f>
        <v>0</v>
      </c>
      <c r="Q43" s="724">
        <f>industrie!P22</f>
        <v>0</v>
      </c>
      <c r="R43" s="801">
        <f t="shared" ca="1" si="4"/>
        <v>10297.246322701963</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14387.679237818844</v>
      </c>
      <c r="D46" s="677">
        <f t="shared" ref="D46:Q46" ca="1" si="5">SUM(D39:D45)</f>
        <v>0</v>
      </c>
      <c r="E46" s="677">
        <f t="shared" ca="1" si="5"/>
        <v>10089.483803968007</v>
      </c>
      <c r="F46" s="677">
        <f t="shared" si="5"/>
        <v>856.0351735736848</v>
      </c>
      <c r="G46" s="677">
        <f t="shared" ca="1" si="5"/>
        <v>14880.350165738118</v>
      </c>
      <c r="H46" s="677">
        <f t="shared" si="5"/>
        <v>0</v>
      </c>
      <c r="I46" s="677">
        <f t="shared" si="5"/>
        <v>0</v>
      </c>
      <c r="J46" s="677">
        <f t="shared" si="5"/>
        <v>0</v>
      </c>
      <c r="K46" s="677">
        <f t="shared" si="5"/>
        <v>121.72683868236446</v>
      </c>
      <c r="L46" s="677">
        <f t="shared" si="5"/>
        <v>0</v>
      </c>
      <c r="M46" s="677">
        <f t="shared" ca="1" si="5"/>
        <v>0</v>
      </c>
      <c r="N46" s="677">
        <f t="shared" si="5"/>
        <v>0</v>
      </c>
      <c r="O46" s="677">
        <f t="shared" ca="1" si="5"/>
        <v>0</v>
      </c>
      <c r="P46" s="677">
        <f t="shared" si="5"/>
        <v>0</v>
      </c>
      <c r="Q46" s="677">
        <f t="shared" si="5"/>
        <v>0</v>
      </c>
      <c r="R46" s="677">
        <f ca="1">SUM(R39:R45)</f>
        <v>40335.275219781019</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2.0673959484097035</v>
      </c>
      <c r="D49" s="641">
        <f ca="1">transport!C58</f>
        <v>0</v>
      </c>
      <c r="E49" s="641">
        <f>transport!D58</f>
        <v>0</v>
      </c>
      <c r="F49" s="641">
        <f>transport!E58</f>
        <v>0</v>
      </c>
      <c r="G49" s="641">
        <f>transport!F58</f>
        <v>0</v>
      </c>
      <c r="H49" s="641">
        <f>transport!G58</f>
        <v>209.92004013708433</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211.98743608549404</v>
      </c>
    </row>
    <row r="50" spans="1:18">
      <c r="A50" s="777" t="s">
        <v>295</v>
      </c>
      <c r="B50" s="787"/>
      <c r="C50" s="647">
        <f ca="1">transport!B18</f>
        <v>13.318246089180228</v>
      </c>
      <c r="D50" s="647">
        <f>transport!C18</f>
        <v>0</v>
      </c>
      <c r="E50" s="647">
        <f>transport!D18</f>
        <v>25.436733495162137</v>
      </c>
      <c r="F50" s="647">
        <f>transport!E18</f>
        <v>24.412057177014525</v>
      </c>
      <c r="G50" s="647">
        <f>transport!F18</f>
        <v>0</v>
      </c>
      <c r="H50" s="647">
        <f>transport!G18</f>
        <v>14653.070773286961</v>
      </c>
      <c r="I50" s="647">
        <f>transport!H18</f>
        <v>3001.0760649779299</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17717.313875026248</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15.385642037589932</v>
      </c>
      <c r="D52" s="677">
        <f t="shared" ref="D52:Q52" ca="1" si="6">SUM(D48:D51)</f>
        <v>0</v>
      </c>
      <c r="E52" s="677">
        <f t="shared" si="6"/>
        <v>25.436733495162137</v>
      </c>
      <c r="F52" s="677">
        <f t="shared" si="6"/>
        <v>24.412057177014525</v>
      </c>
      <c r="G52" s="677">
        <f t="shared" si="6"/>
        <v>0</v>
      </c>
      <c r="H52" s="677">
        <f t="shared" si="6"/>
        <v>14862.990813424045</v>
      </c>
      <c r="I52" s="677">
        <f t="shared" si="6"/>
        <v>3001.0760649779299</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17929.301311111743</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327.50402882055437</v>
      </c>
      <c r="D54" s="647">
        <f ca="1">+landbouw!C12</f>
        <v>0</v>
      </c>
      <c r="E54" s="647">
        <f>+landbouw!D12</f>
        <v>19.533947627656005</v>
      </c>
      <c r="F54" s="647">
        <f>+landbouw!E12</f>
        <v>15.853418775277754</v>
      </c>
      <c r="G54" s="647">
        <f>+landbouw!F12</f>
        <v>1623.5941732516258</v>
      </c>
      <c r="H54" s="647">
        <f>+landbouw!G12</f>
        <v>0</v>
      </c>
      <c r="I54" s="647">
        <f>+landbouw!H12</f>
        <v>0</v>
      </c>
      <c r="J54" s="647">
        <f>+landbouw!I12</f>
        <v>0</v>
      </c>
      <c r="K54" s="647">
        <f>+landbouw!J12</f>
        <v>172.89975705664179</v>
      </c>
      <c r="L54" s="647">
        <f>+landbouw!K12</f>
        <v>0</v>
      </c>
      <c r="M54" s="647">
        <f>+landbouw!L12</f>
        <v>0</v>
      </c>
      <c r="N54" s="647">
        <f>+landbouw!M12</f>
        <v>0</v>
      </c>
      <c r="O54" s="647">
        <f>+landbouw!N12</f>
        <v>0</v>
      </c>
      <c r="P54" s="647">
        <f>+landbouw!O12</f>
        <v>0</v>
      </c>
      <c r="Q54" s="648">
        <f>+landbouw!P12</f>
        <v>0</v>
      </c>
      <c r="R54" s="676">
        <f ca="1">SUM(C54:Q54)</f>
        <v>2159.3853255317558</v>
      </c>
    </row>
    <row r="55" spans="1:18" ht="15" thickBot="1">
      <c r="A55" s="777" t="s">
        <v>683</v>
      </c>
      <c r="B55" s="787"/>
      <c r="C55" s="647">
        <f ca="1">C25*'EF ele_warmte'!B12</f>
        <v>125.4410822687878</v>
      </c>
      <c r="D55" s="647"/>
      <c r="E55" s="647">
        <f>E25*EF_CO2_aardgas</f>
        <v>175.57060805200001</v>
      </c>
      <c r="F55" s="647"/>
      <c r="G55" s="647"/>
      <c r="H55" s="647"/>
      <c r="I55" s="647"/>
      <c r="J55" s="647"/>
      <c r="K55" s="647"/>
      <c r="L55" s="647"/>
      <c r="M55" s="647"/>
      <c r="N55" s="647"/>
      <c r="O55" s="647"/>
      <c r="P55" s="647"/>
      <c r="Q55" s="648"/>
      <c r="R55" s="676">
        <f ca="1">SUM(C55:Q55)</f>
        <v>301.01169032078781</v>
      </c>
    </row>
    <row r="56" spans="1:18" ht="15.75" thickBot="1">
      <c r="A56" s="775" t="s">
        <v>684</v>
      </c>
      <c r="B56" s="788"/>
      <c r="C56" s="677">
        <f ca="1">SUM(C54:C55)</f>
        <v>452.94511108934216</v>
      </c>
      <c r="D56" s="677">
        <f t="shared" ref="D56:Q56" ca="1" si="7">SUM(D54:D55)</f>
        <v>0</v>
      </c>
      <c r="E56" s="677">
        <f t="shared" si="7"/>
        <v>195.10455567965602</v>
      </c>
      <c r="F56" s="677">
        <f t="shared" si="7"/>
        <v>15.853418775277754</v>
      </c>
      <c r="G56" s="677">
        <f t="shared" si="7"/>
        <v>1623.5941732516258</v>
      </c>
      <c r="H56" s="677">
        <f t="shared" si="7"/>
        <v>0</v>
      </c>
      <c r="I56" s="677">
        <f t="shared" si="7"/>
        <v>0</v>
      </c>
      <c r="J56" s="677">
        <f t="shared" si="7"/>
        <v>0</v>
      </c>
      <c r="K56" s="677">
        <f t="shared" si="7"/>
        <v>172.89975705664179</v>
      </c>
      <c r="L56" s="677">
        <f t="shared" si="7"/>
        <v>0</v>
      </c>
      <c r="M56" s="677">
        <f t="shared" si="7"/>
        <v>0</v>
      </c>
      <c r="N56" s="677">
        <f t="shared" si="7"/>
        <v>0</v>
      </c>
      <c r="O56" s="677">
        <f t="shared" si="7"/>
        <v>0</v>
      </c>
      <c r="P56" s="677">
        <f t="shared" si="7"/>
        <v>0</v>
      </c>
      <c r="Q56" s="678">
        <f t="shared" si="7"/>
        <v>0</v>
      </c>
      <c r="R56" s="679">
        <f ca="1">SUM(R54:R55)</f>
        <v>2460.3970158525435</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14856.009990945777</v>
      </c>
      <c r="D61" s="685">
        <f t="shared" ref="D61:Q61" ca="1" si="8">D46+D52+D56</f>
        <v>0</v>
      </c>
      <c r="E61" s="685">
        <f t="shared" ca="1" si="8"/>
        <v>10310.025093142825</v>
      </c>
      <c r="F61" s="685">
        <f t="shared" si="8"/>
        <v>896.30064952597706</v>
      </c>
      <c r="G61" s="685">
        <f t="shared" ca="1" si="8"/>
        <v>16503.944338989742</v>
      </c>
      <c r="H61" s="685">
        <f t="shared" si="8"/>
        <v>14862.990813424045</v>
      </c>
      <c r="I61" s="685">
        <f t="shared" si="8"/>
        <v>3001.0760649779299</v>
      </c>
      <c r="J61" s="685">
        <f t="shared" si="8"/>
        <v>0</v>
      </c>
      <c r="K61" s="685">
        <f t="shared" si="8"/>
        <v>294.62659573900623</v>
      </c>
      <c r="L61" s="685">
        <f t="shared" si="8"/>
        <v>0</v>
      </c>
      <c r="M61" s="685">
        <f t="shared" ca="1" si="8"/>
        <v>0</v>
      </c>
      <c r="N61" s="685">
        <f t="shared" si="8"/>
        <v>0</v>
      </c>
      <c r="O61" s="685">
        <f t="shared" ca="1" si="8"/>
        <v>0</v>
      </c>
      <c r="P61" s="685">
        <f t="shared" si="8"/>
        <v>0</v>
      </c>
      <c r="Q61" s="685">
        <f t="shared" si="8"/>
        <v>0</v>
      </c>
      <c r="R61" s="685">
        <f ca="1">R46+R52+R56</f>
        <v>60724.973546745307</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0.19051468012415856</v>
      </c>
      <c r="D63" s="731">
        <f t="shared" ca="1" si="9"/>
        <v>0</v>
      </c>
      <c r="E63" s="927">
        <f t="shared" ca="1" si="9"/>
        <v>0.20199999999999999</v>
      </c>
      <c r="F63" s="731">
        <f t="shared" si="9"/>
        <v>0.22699999999999998</v>
      </c>
      <c r="G63" s="731">
        <f t="shared" ca="1" si="9"/>
        <v>0.26699999999999996</v>
      </c>
      <c r="H63" s="731">
        <f t="shared" si="9"/>
        <v>0.26700000000000002</v>
      </c>
      <c r="I63" s="731">
        <f t="shared" si="9"/>
        <v>0.249</v>
      </c>
      <c r="J63" s="731">
        <f t="shared" si="9"/>
        <v>0</v>
      </c>
      <c r="K63" s="731">
        <f t="shared" si="9"/>
        <v>0.35399999999999998</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10756.530662586712</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0</v>
      </c>
      <c r="D76" s="910">
        <f>'lokale energieproductie'!C8</f>
        <v>0</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0</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10756.530662586712</v>
      </c>
      <c r="C78" s="703">
        <f>SUM(C72:C77)</f>
        <v>0</v>
      </c>
      <c r="D78" s="704">
        <f t="shared" ref="D78:H78" si="10">SUM(D76:D77)</f>
        <v>0</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0</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0</v>
      </c>
      <c r="D87" s="727">
        <f>'lokale energieproductie'!C17</f>
        <v>0</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0</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0</v>
      </c>
      <c r="D90" s="703">
        <f t="shared" ref="D90:H90" si="12">SUM(D87:D89)</f>
        <v>0</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0</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27682.437350685068</v>
      </c>
      <c r="C4" s="444">
        <f>huishoudens!C8</f>
        <v>0</v>
      </c>
      <c r="D4" s="444">
        <f>huishoudens!D8</f>
        <v>31066.670163319995</v>
      </c>
      <c r="E4" s="444">
        <f>huishoudens!E8</f>
        <v>2472.4804091000137</v>
      </c>
      <c r="F4" s="444">
        <f>huishoudens!F8</f>
        <v>47581.15010249232</v>
      </c>
      <c r="G4" s="444">
        <f>huishoudens!G8</f>
        <v>0</v>
      </c>
      <c r="H4" s="444">
        <f>huishoudens!H8</f>
        <v>0</v>
      </c>
      <c r="I4" s="444">
        <f>huishoudens!I8</f>
        <v>0</v>
      </c>
      <c r="J4" s="444">
        <f>huishoudens!J8</f>
        <v>243.47780944457205</v>
      </c>
      <c r="K4" s="444">
        <f>huishoudens!K8</f>
        <v>0</v>
      </c>
      <c r="L4" s="444">
        <f>huishoudens!L8</f>
        <v>0</v>
      </c>
      <c r="M4" s="444">
        <f>huishoudens!M8</f>
        <v>0</v>
      </c>
      <c r="N4" s="444">
        <f>huishoudens!N8</f>
        <v>9094.7728338834349</v>
      </c>
      <c r="O4" s="444">
        <f>huishoudens!O8</f>
        <v>422.58310072943772</v>
      </c>
      <c r="P4" s="445">
        <f>huishoudens!P8</f>
        <v>589.90172123036132</v>
      </c>
      <c r="Q4" s="446">
        <f>SUM(B4:P4)</f>
        <v>119153.47349088521</v>
      </c>
    </row>
    <row r="5" spans="1:17">
      <c r="A5" s="443" t="s">
        <v>149</v>
      </c>
      <c r="B5" s="444">
        <f ca="1">tertiair!B16</f>
        <v>12664.417006</v>
      </c>
      <c r="C5" s="444">
        <f ca="1">tertiair!C16</f>
        <v>0</v>
      </c>
      <c r="D5" s="444">
        <f ca="1">tertiair!D16</f>
        <v>9748.3861816660028</v>
      </c>
      <c r="E5" s="444">
        <f>tertiair!E16</f>
        <v>30.80003921732331</v>
      </c>
      <c r="F5" s="444">
        <f ca="1">tertiair!F16</f>
        <v>1865.5226365498725</v>
      </c>
      <c r="G5" s="444">
        <f>tertiair!G16</f>
        <v>0</v>
      </c>
      <c r="H5" s="444">
        <f>tertiair!H16</f>
        <v>0</v>
      </c>
      <c r="I5" s="444">
        <f>tertiair!I16</f>
        <v>0</v>
      </c>
      <c r="J5" s="444">
        <f>tertiair!J16</f>
        <v>9.418827574209962E-3</v>
      </c>
      <c r="K5" s="444">
        <f>tertiair!K16</f>
        <v>0</v>
      </c>
      <c r="L5" s="444">
        <f ca="1">tertiair!L16</f>
        <v>0</v>
      </c>
      <c r="M5" s="444">
        <f>tertiair!M16</f>
        <v>0</v>
      </c>
      <c r="N5" s="444">
        <f ca="1">tertiair!N16</f>
        <v>361.72425700338397</v>
      </c>
      <c r="O5" s="444">
        <f>tertiair!O16</f>
        <v>9.7945215316823084</v>
      </c>
      <c r="P5" s="445">
        <f>tertiair!P16</f>
        <v>105.07827661299004</v>
      </c>
      <c r="Q5" s="443">
        <f t="shared" ref="Q5:Q14" ca="1" si="0">SUM(B5:P5)</f>
        <v>24785.732337408826</v>
      </c>
    </row>
    <row r="6" spans="1:17">
      <c r="A6" s="443" t="s">
        <v>187</v>
      </c>
      <c r="B6" s="444">
        <f>'openbare verlichting'!B8</f>
        <v>1312.3330000000001</v>
      </c>
      <c r="C6" s="444"/>
      <c r="D6" s="444"/>
      <c r="E6" s="444"/>
      <c r="F6" s="444"/>
      <c r="G6" s="444"/>
      <c r="H6" s="444"/>
      <c r="I6" s="444"/>
      <c r="J6" s="444"/>
      <c r="K6" s="444"/>
      <c r="L6" s="444"/>
      <c r="M6" s="444"/>
      <c r="N6" s="444"/>
      <c r="O6" s="444"/>
      <c r="P6" s="445"/>
      <c r="Q6" s="443">
        <f t="shared" si="0"/>
        <v>1312.3330000000001</v>
      </c>
    </row>
    <row r="7" spans="1:17">
      <c r="A7" s="443" t="s">
        <v>105</v>
      </c>
      <c r="B7" s="444">
        <f>landbouw!B8</f>
        <v>1719.0487820000001</v>
      </c>
      <c r="C7" s="444">
        <f>landbouw!C8</f>
        <v>0</v>
      </c>
      <c r="D7" s="444">
        <f>landbouw!D8</f>
        <v>96.70271102800001</v>
      </c>
      <c r="E7" s="444">
        <f>landbouw!E8</f>
        <v>69.838849230298479</v>
      </c>
      <c r="F7" s="444">
        <f>landbouw!F8</f>
        <v>6080.8770533768748</v>
      </c>
      <c r="G7" s="444">
        <f>landbouw!G8</f>
        <v>0</v>
      </c>
      <c r="H7" s="444">
        <f>landbouw!H8</f>
        <v>0</v>
      </c>
      <c r="I7" s="444">
        <f>landbouw!I8</f>
        <v>0</v>
      </c>
      <c r="J7" s="444">
        <f>landbouw!J8</f>
        <v>488.4173928153723</v>
      </c>
      <c r="K7" s="444">
        <f>landbouw!K8</f>
        <v>0</v>
      </c>
      <c r="L7" s="444">
        <f>landbouw!L8</f>
        <v>0</v>
      </c>
      <c r="M7" s="444">
        <f>landbouw!M8</f>
        <v>0</v>
      </c>
      <c r="N7" s="444">
        <f>landbouw!N8</f>
        <v>0</v>
      </c>
      <c r="O7" s="444">
        <f>landbouw!O8</f>
        <v>0</v>
      </c>
      <c r="P7" s="445">
        <f>landbouw!P8</f>
        <v>0</v>
      </c>
      <c r="Q7" s="443">
        <f t="shared" si="0"/>
        <v>8454.8847884505449</v>
      </c>
    </row>
    <row r="8" spans="1:17">
      <c r="A8" s="443" t="s">
        <v>587</v>
      </c>
      <c r="B8" s="444">
        <f>industrie!B18</f>
        <v>33860.868255000001</v>
      </c>
      <c r="C8" s="444">
        <f>industrie!C18</f>
        <v>0</v>
      </c>
      <c r="D8" s="444">
        <f>industrie!D18</f>
        <v>9132.8832786179992</v>
      </c>
      <c r="E8" s="444">
        <f>industrie!E18</f>
        <v>1267.7996114786313</v>
      </c>
      <c r="F8" s="444">
        <f>industrie!F18</f>
        <v>6284.9758217747321</v>
      </c>
      <c r="G8" s="444">
        <f>industrie!G18</f>
        <v>0</v>
      </c>
      <c r="H8" s="444">
        <f>industrie!H18</f>
        <v>0</v>
      </c>
      <c r="I8" s="444">
        <f>industrie!I18</f>
        <v>0</v>
      </c>
      <c r="J8" s="444">
        <f>industrie!J18</f>
        <v>100.3738979492223</v>
      </c>
      <c r="K8" s="444">
        <f>industrie!K18</f>
        <v>0</v>
      </c>
      <c r="L8" s="444">
        <f>industrie!L18</f>
        <v>0</v>
      </c>
      <c r="M8" s="444">
        <f>industrie!M18</f>
        <v>0</v>
      </c>
      <c r="N8" s="444">
        <f>industrie!N18</f>
        <v>1453.0225616619566</v>
      </c>
      <c r="O8" s="444">
        <f>industrie!O18</f>
        <v>0</v>
      </c>
      <c r="P8" s="445">
        <f>industrie!P18</f>
        <v>0</v>
      </c>
      <c r="Q8" s="443">
        <f t="shared" si="0"/>
        <v>52099.923426482535</v>
      </c>
    </row>
    <row r="9" spans="1:17" s="449" customFormat="1">
      <c r="A9" s="447" t="s">
        <v>536</v>
      </c>
      <c r="B9" s="448">
        <f>transport!B14</f>
        <v>69.906665882653868</v>
      </c>
      <c r="C9" s="448">
        <f>transport!C14</f>
        <v>0</v>
      </c>
      <c r="D9" s="448">
        <f>transport!D14</f>
        <v>125.92442324337691</v>
      </c>
      <c r="E9" s="448">
        <f>transport!E14</f>
        <v>107.54210210138557</v>
      </c>
      <c r="F9" s="448">
        <f>transport!F14</f>
        <v>0</v>
      </c>
      <c r="G9" s="448">
        <f>transport!G14</f>
        <v>54880.414881224569</v>
      </c>
      <c r="H9" s="448">
        <f>transport!H14</f>
        <v>12052.514317180441</v>
      </c>
      <c r="I9" s="448">
        <f>transport!I14</f>
        <v>0</v>
      </c>
      <c r="J9" s="448">
        <f>transport!J14</f>
        <v>0</v>
      </c>
      <c r="K9" s="448">
        <f>transport!K14</f>
        <v>0</v>
      </c>
      <c r="L9" s="448">
        <f>transport!L14</f>
        <v>0</v>
      </c>
      <c r="M9" s="448">
        <f>transport!M14</f>
        <v>3961.4052748648246</v>
      </c>
      <c r="N9" s="448">
        <f>transport!N14</f>
        <v>0</v>
      </c>
      <c r="O9" s="448">
        <f>transport!O14</f>
        <v>0</v>
      </c>
      <c r="P9" s="448">
        <f>transport!P14</f>
        <v>0</v>
      </c>
      <c r="Q9" s="447">
        <f>SUM(B9:P9)</f>
        <v>71197.707664497255</v>
      </c>
    </row>
    <row r="10" spans="1:17">
      <c r="A10" s="443" t="s">
        <v>526</v>
      </c>
      <c r="B10" s="444">
        <f>transport!B54</f>
        <v>10.851635932004717</v>
      </c>
      <c r="C10" s="444">
        <f>transport!C54</f>
        <v>0</v>
      </c>
      <c r="D10" s="444">
        <f>transport!D54</f>
        <v>0</v>
      </c>
      <c r="E10" s="444">
        <f>transport!E54</f>
        <v>0</v>
      </c>
      <c r="F10" s="444">
        <f>transport!F54</f>
        <v>0</v>
      </c>
      <c r="G10" s="444">
        <f>transport!G54</f>
        <v>786.21737879057798</v>
      </c>
      <c r="H10" s="444">
        <f>transport!H54</f>
        <v>0</v>
      </c>
      <c r="I10" s="444">
        <f>transport!I54</f>
        <v>0</v>
      </c>
      <c r="J10" s="444">
        <f>transport!J54</f>
        <v>0</v>
      </c>
      <c r="K10" s="444">
        <f>transport!K54</f>
        <v>0</v>
      </c>
      <c r="L10" s="444">
        <f>transport!L54</f>
        <v>0</v>
      </c>
      <c r="M10" s="444">
        <f>transport!M54</f>
        <v>44.47079632598134</v>
      </c>
      <c r="N10" s="444">
        <f>transport!N54</f>
        <v>0</v>
      </c>
      <c r="O10" s="444">
        <f>transport!O54</f>
        <v>0</v>
      </c>
      <c r="P10" s="445">
        <f>transport!P54</f>
        <v>0</v>
      </c>
      <c r="Q10" s="443">
        <f t="shared" si="0"/>
        <v>841.53981104856405</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658.43263200000001</v>
      </c>
      <c r="C14" s="451"/>
      <c r="D14" s="451">
        <f>'SEAP template'!E25</f>
        <v>869.16142600000001</v>
      </c>
      <c r="E14" s="451"/>
      <c r="F14" s="451"/>
      <c r="G14" s="451"/>
      <c r="H14" s="451"/>
      <c r="I14" s="451"/>
      <c r="J14" s="451"/>
      <c r="K14" s="451"/>
      <c r="L14" s="451"/>
      <c r="M14" s="451"/>
      <c r="N14" s="451"/>
      <c r="O14" s="451"/>
      <c r="P14" s="452"/>
      <c r="Q14" s="443">
        <f t="shared" si="0"/>
        <v>1527.5940580000001</v>
      </c>
    </row>
    <row r="15" spans="1:17" s="455" customFormat="1">
      <c r="A15" s="453" t="s">
        <v>530</v>
      </c>
      <c r="B15" s="454">
        <f ca="1">SUM(B4:B14)</f>
        <v>77978.295327499713</v>
      </c>
      <c r="C15" s="454">
        <f t="shared" ref="C15:Q15" ca="1" si="1">SUM(C4:C14)</f>
        <v>0</v>
      </c>
      <c r="D15" s="454">
        <f t="shared" ca="1" si="1"/>
        <v>51039.728183875377</v>
      </c>
      <c r="E15" s="454">
        <f t="shared" si="1"/>
        <v>3948.4610111276525</v>
      </c>
      <c r="F15" s="454">
        <f t="shared" ca="1" si="1"/>
        <v>61812.525614193801</v>
      </c>
      <c r="G15" s="454">
        <f t="shared" si="1"/>
        <v>55666.632260015147</v>
      </c>
      <c r="H15" s="454">
        <f t="shared" si="1"/>
        <v>12052.514317180441</v>
      </c>
      <c r="I15" s="454">
        <f t="shared" si="1"/>
        <v>0</v>
      </c>
      <c r="J15" s="454">
        <f t="shared" si="1"/>
        <v>832.27851903674082</v>
      </c>
      <c r="K15" s="454">
        <f t="shared" si="1"/>
        <v>0</v>
      </c>
      <c r="L15" s="454">
        <f t="shared" ca="1" si="1"/>
        <v>0</v>
      </c>
      <c r="M15" s="454">
        <f t="shared" si="1"/>
        <v>4005.8760711908058</v>
      </c>
      <c r="N15" s="454">
        <f t="shared" ca="1" si="1"/>
        <v>10909.519652548775</v>
      </c>
      <c r="O15" s="454">
        <f t="shared" si="1"/>
        <v>432.37762226112005</v>
      </c>
      <c r="P15" s="454">
        <f t="shared" si="1"/>
        <v>694.97999784335138</v>
      </c>
      <c r="Q15" s="454">
        <f t="shared" ca="1" si="1"/>
        <v>279373.18857677293</v>
      </c>
    </row>
    <row r="17" spans="1:17">
      <c r="A17" s="456" t="s">
        <v>531</v>
      </c>
      <c r="B17" s="736">
        <f ca="1">huishoudens!B10</f>
        <v>0.19051468012415854</v>
      </c>
      <c r="C17" s="736">
        <f ca="1">huishoudens!C10</f>
        <v>0</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5273.9106969228242</v>
      </c>
      <c r="C22" s="444">
        <f t="shared" ref="C22:C32" ca="1" si="3">C4*$C$17</f>
        <v>0</v>
      </c>
      <c r="D22" s="444">
        <f t="shared" ref="D22:D32" si="4">D4*$D$17</f>
        <v>6275.4673729906399</v>
      </c>
      <c r="E22" s="444">
        <f t="shared" ref="E22:E32" si="5">E4*$E$17</f>
        <v>561.25305286570313</v>
      </c>
      <c r="F22" s="444">
        <f t="shared" ref="F22:F32" si="6">F4*$F$17</f>
        <v>12704.16707736545</v>
      </c>
      <c r="G22" s="444">
        <f t="shared" ref="G22:G32" si="7">G4*$G$17</f>
        <v>0</v>
      </c>
      <c r="H22" s="444">
        <f t="shared" ref="H22:H32" si="8">H4*$H$17</f>
        <v>0</v>
      </c>
      <c r="I22" s="444">
        <f t="shared" ref="I22:I32" si="9">I4*$I$17</f>
        <v>0</v>
      </c>
      <c r="J22" s="444">
        <f t="shared" ref="J22:J32" si="10">J4*$J$17</f>
        <v>86.191144543378499</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24900.989344687994</v>
      </c>
    </row>
    <row r="23" spans="1:17">
      <c r="A23" s="443" t="s">
        <v>149</v>
      </c>
      <c r="B23" s="444">
        <f t="shared" ca="1" si="2"/>
        <v>2412.7573548570435</v>
      </c>
      <c r="C23" s="444">
        <f t="shared" ca="1" si="3"/>
        <v>0</v>
      </c>
      <c r="D23" s="444">
        <f t="shared" ca="1" si="4"/>
        <v>1969.1740086965326</v>
      </c>
      <c r="E23" s="444">
        <f t="shared" si="5"/>
        <v>6.9916089023323913</v>
      </c>
      <c r="F23" s="444">
        <f t="shared" ca="1" si="6"/>
        <v>498.09454395881596</v>
      </c>
      <c r="G23" s="444">
        <f t="shared" si="7"/>
        <v>0</v>
      </c>
      <c r="H23" s="444">
        <f t="shared" si="8"/>
        <v>0</v>
      </c>
      <c r="I23" s="444">
        <f t="shared" si="9"/>
        <v>0</v>
      </c>
      <c r="J23" s="444">
        <f t="shared" si="10"/>
        <v>3.3342649612703263E-3</v>
      </c>
      <c r="K23" s="444">
        <f t="shared" si="11"/>
        <v>0</v>
      </c>
      <c r="L23" s="444">
        <f t="shared" ca="1" si="12"/>
        <v>0</v>
      </c>
      <c r="M23" s="444">
        <f t="shared" si="13"/>
        <v>0</v>
      </c>
      <c r="N23" s="444">
        <f t="shared" ca="1" si="14"/>
        <v>0</v>
      </c>
      <c r="O23" s="444">
        <f t="shared" si="15"/>
        <v>0</v>
      </c>
      <c r="P23" s="445">
        <f t="shared" si="16"/>
        <v>0</v>
      </c>
      <c r="Q23" s="443">
        <f t="shared" ref="Q23:Q31" ca="1" si="17">SUM(B23:P23)</f>
        <v>4887.0208506796862</v>
      </c>
    </row>
    <row r="24" spans="1:17">
      <c r="A24" s="443" t="s">
        <v>187</v>
      </c>
      <c r="B24" s="444">
        <f t="shared" ca="1" si="2"/>
        <v>250.01870171137736</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250.01870171137736</v>
      </c>
    </row>
    <row r="25" spans="1:17">
      <c r="A25" s="443" t="s">
        <v>105</v>
      </c>
      <c r="B25" s="444">
        <f t="shared" ca="1" si="2"/>
        <v>327.50402882055437</v>
      </c>
      <c r="C25" s="444">
        <f t="shared" ca="1" si="3"/>
        <v>0</v>
      </c>
      <c r="D25" s="444">
        <f t="shared" si="4"/>
        <v>19.533947627656005</v>
      </c>
      <c r="E25" s="444">
        <f t="shared" si="5"/>
        <v>15.853418775277754</v>
      </c>
      <c r="F25" s="444">
        <f t="shared" si="6"/>
        <v>1623.5941732516258</v>
      </c>
      <c r="G25" s="444">
        <f t="shared" si="7"/>
        <v>0</v>
      </c>
      <c r="H25" s="444">
        <f t="shared" si="8"/>
        <v>0</v>
      </c>
      <c r="I25" s="444">
        <f t="shared" si="9"/>
        <v>0</v>
      </c>
      <c r="J25" s="444">
        <f t="shared" si="10"/>
        <v>172.89975705664179</v>
      </c>
      <c r="K25" s="444">
        <f t="shared" si="11"/>
        <v>0</v>
      </c>
      <c r="L25" s="444">
        <f t="shared" si="12"/>
        <v>0</v>
      </c>
      <c r="M25" s="444">
        <f t="shared" si="13"/>
        <v>0</v>
      </c>
      <c r="N25" s="444">
        <f t="shared" si="14"/>
        <v>0</v>
      </c>
      <c r="O25" s="444">
        <f t="shared" si="15"/>
        <v>0</v>
      </c>
      <c r="P25" s="445">
        <f t="shared" si="16"/>
        <v>0</v>
      </c>
      <c r="Q25" s="443">
        <f t="shared" ca="1" si="17"/>
        <v>2159.3853255317558</v>
      </c>
    </row>
    <row r="26" spans="1:17">
      <c r="A26" s="443" t="s">
        <v>587</v>
      </c>
      <c r="B26" s="444">
        <f t="shared" ca="1" si="2"/>
        <v>6450.9924843275994</v>
      </c>
      <c r="C26" s="444">
        <f t="shared" ca="1" si="3"/>
        <v>0</v>
      </c>
      <c r="D26" s="444">
        <f t="shared" si="4"/>
        <v>1844.842422280836</v>
      </c>
      <c r="E26" s="444">
        <f t="shared" si="5"/>
        <v>287.79051180564932</v>
      </c>
      <c r="F26" s="444">
        <f t="shared" si="6"/>
        <v>1678.0885444138535</v>
      </c>
      <c r="G26" s="444">
        <f t="shared" si="7"/>
        <v>0</v>
      </c>
      <c r="H26" s="444">
        <f t="shared" si="8"/>
        <v>0</v>
      </c>
      <c r="I26" s="444">
        <f t="shared" si="9"/>
        <v>0</v>
      </c>
      <c r="J26" s="444">
        <f t="shared" si="10"/>
        <v>35.532359874024692</v>
      </c>
      <c r="K26" s="444">
        <f t="shared" si="11"/>
        <v>0</v>
      </c>
      <c r="L26" s="444">
        <f t="shared" si="12"/>
        <v>0</v>
      </c>
      <c r="M26" s="444">
        <f t="shared" si="13"/>
        <v>0</v>
      </c>
      <c r="N26" s="444">
        <f t="shared" si="14"/>
        <v>0</v>
      </c>
      <c r="O26" s="444">
        <f t="shared" si="15"/>
        <v>0</v>
      </c>
      <c r="P26" s="445">
        <f t="shared" si="16"/>
        <v>0</v>
      </c>
      <c r="Q26" s="443">
        <f t="shared" ca="1" si="17"/>
        <v>10297.246322701963</v>
      </c>
    </row>
    <row r="27" spans="1:17" s="449" customFormat="1">
      <c r="A27" s="447" t="s">
        <v>536</v>
      </c>
      <c r="B27" s="730">
        <f t="shared" ca="1" si="2"/>
        <v>13.318246089180228</v>
      </c>
      <c r="C27" s="448">
        <f t="shared" ca="1" si="3"/>
        <v>0</v>
      </c>
      <c r="D27" s="448">
        <f t="shared" si="4"/>
        <v>25.436733495162137</v>
      </c>
      <c r="E27" s="448">
        <f t="shared" si="5"/>
        <v>24.412057177014525</v>
      </c>
      <c r="F27" s="448">
        <f t="shared" si="6"/>
        <v>0</v>
      </c>
      <c r="G27" s="448">
        <f t="shared" si="7"/>
        <v>14653.070773286961</v>
      </c>
      <c r="H27" s="448">
        <f t="shared" si="8"/>
        <v>3001.0760649779299</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17717.313875026248</v>
      </c>
    </row>
    <row r="28" spans="1:17" ht="16.5" customHeight="1">
      <c r="A28" s="443" t="s">
        <v>526</v>
      </c>
      <c r="B28" s="444">
        <f t="shared" ca="1" si="2"/>
        <v>2.0673959484097035</v>
      </c>
      <c r="C28" s="444">
        <f t="shared" ca="1" si="3"/>
        <v>0</v>
      </c>
      <c r="D28" s="444">
        <f t="shared" si="4"/>
        <v>0</v>
      </c>
      <c r="E28" s="444">
        <f t="shared" si="5"/>
        <v>0</v>
      </c>
      <c r="F28" s="444">
        <f t="shared" si="6"/>
        <v>0</v>
      </c>
      <c r="G28" s="444">
        <f t="shared" si="7"/>
        <v>209.92004013708433</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211.98743608549404</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125.4410822687878</v>
      </c>
      <c r="C32" s="444">
        <f t="shared" ca="1" si="3"/>
        <v>0</v>
      </c>
      <c r="D32" s="444">
        <f t="shared" si="4"/>
        <v>175.57060805200001</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301.01169032078781</v>
      </c>
    </row>
    <row r="33" spans="1:17" s="455" customFormat="1">
      <c r="A33" s="453" t="s">
        <v>530</v>
      </c>
      <c r="B33" s="454">
        <f ca="1">SUM(B22:B32)</f>
        <v>14856.009990945779</v>
      </c>
      <c r="C33" s="454">
        <f t="shared" ref="C33:Q33" ca="1" si="19">SUM(C22:C32)</f>
        <v>0</v>
      </c>
      <c r="D33" s="454">
        <f t="shared" ca="1" si="19"/>
        <v>10310.025093142825</v>
      </c>
      <c r="E33" s="454">
        <f t="shared" si="19"/>
        <v>896.30064952597706</v>
      </c>
      <c r="F33" s="454">
        <f t="shared" ca="1" si="19"/>
        <v>16503.944338989746</v>
      </c>
      <c r="G33" s="454">
        <f t="shared" si="19"/>
        <v>14862.990813424045</v>
      </c>
      <c r="H33" s="454">
        <f t="shared" si="19"/>
        <v>3001.0760649779299</v>
      </c>
      <c r="I33" s="454">
        <f t="shared" si="19"/>
        <v>0</v>
      </c>
      <c r="J33" s="454">
        <f t="shared" si="19"/>
        <v>294.62659573900623</v>
      </c>
      <c r="K33" s="454">
        <f t="shared" si="19"/>
        <v>0</v>
      </c>
      <c r="L33" s="454">
        <f t="shared" ca="1" si="19"/>
        <v>0</v>
      </c>
      <c r="M33" s="454">
        <f t="shared" si="19"/>
        <v>0</v>
      </c>
      <c r="N33" s="454">
        <f t="shared" ca="1" si="19"/>
        <v>0</v>
      </c>
      <c r="O33" s="454">
        <f t="shared" si="19"/>
        <v>0</v>
      </c>
      <c r="P33" s="454">
        <f t="shared" si="19"/>
        <v>0</v>
      </c>
      <c r="Q33" s="454">
        <f t="shared" ca="1" si="19"/>
        <v>60724.973546745314</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10756.530662586712</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0</v>
      </c>
      <c r="D8" s="979">
        <f>'SEAP template'!D76</f>
        <v>0</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0</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10756.530662586712</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0.19051468012415854</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0</v>
      </c>
      <c r="D17" s="980">
        <f>'SEAP template'!D87</f>
        <v>0</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0</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1" spans="1:16">
      <c r="B21" s="840"/>
    </row>
    <row r="22" spans="1:16">
      <c r="A22" s="456" t="s">
        <v>754</v>
      </c>
      <c r="B22" s="736" t="s">
        <v>752</v>
      </c>
      <c r="C22" s="736">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0.19051468012415854</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1</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4.8972607658411542</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2022-07-26T10:16:50Z</dcterms:modified>
</cp:coreProperties>
</file>