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F69D54BA-FD6D-4C68-A450-4FD0111FE34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<sst xmlns="http://schemas.openxmlformats.org/spreadsheetml/2006/main" count="2410" uniqueCount="886">
  <si>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</si>
  <si>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</si>
  <si>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</si>
  <si>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</si>
  <si>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</si>
  <si>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</si>
  <si>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</si>
  <si>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</si>
  <si>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</si>
  <si>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</si>
  <si>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</si>
  <si>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</si>
  <si>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</si>
  <si>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</si>
  <si>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</si>
  <si>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</si>
  <si>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</si>
  <si>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</si>
  <si>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</si>
  <si>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</si>
  <si>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</si>
  <si>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</si>
  <si>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</si>
  <si>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</si>
  <si>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</si>
  <si>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</si>
  <si>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</si>
  <si>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</si>
  <si>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</si>
  <si>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</si>
  <si>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</si>
  <si>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</si>
  <si>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</si>
  <si>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</si>
  <si>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</si>
  <si>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</si>
  <si>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</si>
  <si>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</si>
  <si>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</si>
  <si>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</si>
  <si>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</si>
  <si>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</si>
  <si>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</si>
  <si>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</si>
  <si>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</si>
  <si>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</si>
  <si>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</si>
  <si>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</si>
  <si>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</si>
  <si>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</si>
  <si>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</si>
  <si>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</si>
  <si>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</si>
  <si>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</si>
  <si>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</si>
  <si>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</si>
  <si>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</si>
  <si>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</si>
  <si>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</si>
  <si>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</si>
  <si>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</si>
  <si>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</si>
  <si>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</si>
  <si>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</si>
  <si>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</si>
  <si>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</si>
  <si>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</si>
  <si>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</si>
  <si>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</si>
  <si>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</si>
  <si>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</si>
  <si>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</si>
  <si>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</si>
  <si>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</si>
  <si>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</si>
  <si>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</si>
  <si>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</si>
  <si>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</si>
  <si>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</si>
  <si>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</si>
  <si>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</si>
  <si>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</si>
  <si>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</si>
  <si>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</si>
  <si>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</si>
  <si>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</si>
  <si>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</si>
  <si>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</si>
  <si>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</si>
  <si>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</si>
  <si>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</si>
  <si>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</si>
  <si>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</si>
  <si>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</si>
  <si>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</si>
  <si>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</si>
  <si>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</si>
  <si>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</si>
  <si>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</si>
  <si>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</si>
  <si>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</si>
  <si>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</si>
  <si>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</si>
  <si>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</si>
  <si>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</si>
  <si>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</si>
  <si>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</si>
  <si>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</si>
  <si>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</si>
  <si>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</si>
  <si>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</si>
  <si>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</si>
  <si>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</si>
  <si>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</si>
  <si>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</si>
  <si>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</si>
  <si>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</si>
  <si>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</si>
  <si>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</si>
  <si>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</si>
  <si>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</si>
  <si>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</si>
  <si>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</si>
  <si>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</si>
  <si>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</si>
  <si>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</si>
  <si>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</si>
  <si>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</si>
  <si>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</si>
  <si>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</si>
  <si>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</si>
  <si>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</si>
  <si>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</si>
  <si>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</si>
  <si>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</si>
  <si>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</si>
  <si>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</si>
  <si>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</si>
  <si>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</si>
  <si>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</si>
  <si>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</si>
  <si>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</si>
  <si>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</si>
  <si>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</si>
  <si>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</si>
  <si>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</si>
  <si>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</si>
  <si>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</si>
  <si>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</si>
  <si>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</si>
  <si>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</si>
  <si>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</si>
  <si>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</si>
  <si>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</si>
  <si>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</si>
  <si>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</si>
  <si>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</si>
  <si>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</si>
  <si>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</si>
  <si>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</si>
  <si>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</si>
  <si>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</si>
  <si>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</si>
  <si>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</si>
  <si>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</si>
  <si>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</si>
  <si>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</si>
  <si>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</si>
  <si>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</si>
  <si>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</si>
  <si>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</si>
  <si>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</si>
  <si>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</si>
  <si>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</si>
  <si>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</si>
  <si>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</si>
  <si>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</si>
  <si>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</si>
  <si>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</si>
  <si>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</si>
  <si>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</si>
  <si>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</si>
  <si>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</si>
  <si>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</si>
  <si>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</si>
  <si>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</si>
  <si>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</si>
  <si>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</si>
  <si>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</si>
  <si>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</si>
  <si>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</si>
  <si>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</si>
  <si>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</si>
  <si>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</si>
  <si>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</si>
  <si>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</si>
  <si>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</si>
  <si>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</si>
  <si>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</si>
  <si>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</si>
  <si>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</si>
  <si>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</si>
  <si>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</si>
  <si>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</si>
  <si>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</si>
  <si>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</si>
  <si>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</si>
  <si>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</si>
  <si>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</si>
  <si>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</si>
  <si>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</si>
  <si>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</si>
  <si>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</si>
  <si>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</si>
  <si>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</si>
  <si>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</si>
  <si>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</si>
  <si>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</si>
  <si>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</si>
  <si>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</si>
  <si>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</si>
  <si>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</si>
  <si>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</si>
  <si>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</si>
  <si>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</si>
  <si>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</si>
  <si>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</si>
  <si>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</si>
  <si>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</si>
  <si>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</si>
  <si>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</si>
  <si>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</si>
  <si>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</si>
  <si>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</si>
  <si>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</si>
  <si>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</si>
  <si>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</si>
  <si>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</si>
  <si>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</si>
  <si>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</si>
  <si>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</si>
  <si>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</si>
  <si>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</si>
  <si>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</si>
  <si>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</si>
  <si>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</si>
  <si>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</si>
  <si>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</si>
  <si>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</si>
  <si>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</si>
  <si>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</si>
  <si>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</si>
  <si>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</si>
  <si>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</si>
  <si>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</si>
  <si>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</si>
  <si>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</si>
  <si>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</si>
  <si>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</si>
  <si>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</si>
  <si>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</si>
  <si>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</si>
  <si>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</si>
  <si>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</si>
  <si>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</si>
  <si>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</si>
  <si>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</si>
  <si>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</si>
  <si>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</si>
  <si>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</si>
  <si>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</si>
  <si>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</si>
  <si>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</si>
  <si>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</si>
  <si>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</si>
  <si>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</si>
  <si>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</si>
  <si>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</si>
  <si>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</si>
  <si>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</si>
  <si>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</si>
  <si>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</si>
  <si>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</si>
  <si>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</si>
  <si>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</si>
  <si>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</si>
  <si>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</si>
  <si>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</si>
  <si>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</si>
  <si>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</si>
  <si>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</si>
  <si>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</si>
  <si>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</si>
  <si>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</si>
  <si>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</si>
  <si>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</si>
  <si>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</si>
  <si>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</si>
  <si>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</si>
  <si>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</si>
  <si>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</si>
  <si>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</si>
  <si>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</si>
  <si>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</si>
  <si>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</si>
  <si>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</si>
  <si>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</si>
  <si>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</si>
  <si>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</si>
  <si>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</si>
  <si>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</si>
  <si>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</si>
  <si>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</si>
  <si>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</si>
  <si>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</si>
  <si>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</si>
  <si>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</si>
  <si>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</si>
  <si>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</si>
  <si>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</si>
  <si>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</si>
  <si>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</si>
  <si>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</si>
  <si>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</si>
  <si>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</si>
  <si>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</si>
  <si>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</si>
  <si>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</si>
  <si>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</si>
  <si>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</si>
  <si>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</si>
  <si>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</si>
  <si>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</si>
  <si>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</si>
  <si>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</si>
  <si>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</si>
  <si>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</si>
  <si>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</si>
  <si>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</si>
  <si>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</si>
  <si>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</si>
  <si>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</si>
  <si>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</si>
  <si>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</si>
  <si>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</si>
  <si>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</si>
  <si>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</si>
  <si>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</si>
  <si>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</si>
  <si>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</si>
  <si>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</si>
  <si>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</si>
  <si>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</si>
  <si>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</si>
  <si>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</si>
  <si>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</si>
  <si>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</si>
  <si>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</si>
  <si>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</si>
  <si>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</si>
  <si>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</si>
  <si>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</si>
  <si>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</si>
  <si>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</si>
  <si>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</si>
  <si>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</si>
  <si>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</si>
  <si>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</si>
  <si>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</si>
  <si>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</si>
  <si>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</si>
  <si>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</si>
  <si>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</si>
  <si>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</si>
  <si>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</si>
  <si>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</si>
  <si>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</si>
  <si>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</si>
  <si>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</si>
  <si>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</si>
  <si>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</si>
  <si>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</si>
  <si>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</si>
  <si>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</si>
  <si>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</si>
  <si>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</si>
  <si>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</si>
  <si>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</si>
  <si>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</si>
  <si>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</si>
  <si>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</si>
  <si>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</si>
  <si>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</si>
  <si>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</si>
  <si>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</si>
  <si>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</si>
  <si>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</si>
  <si>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</si>
  <si>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</si>
  <si>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</si>
  <si>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</si>
  <si>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</si>
  <si>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</si>
  <si>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</si>
  <si>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</si>
  <si>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</si>
  <si>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</si>
  <si>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</si>
  <si>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</si>
  <si>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</si>
  <si>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</si>
  <si>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</si>
  <si>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</si>
  <si>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</si>
  <si>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</si>
  <si>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</si>
  <si>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</si>
  <si>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</si>
  <si>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</si>
  <si>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</si>
  <si>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</si>
  <si>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</si>
  <si>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</si>
  <si>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</si>
  <si>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</si>
  <si>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</si>
  <si>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</si>
  <si>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</si>
  <si>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</si>
  <si>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</si>
  <si>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</si>
  <si>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</si>
  <si>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</si>
  <si>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</si>
  <si>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</si>
  <si>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</si>
  <si>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</si>
  <si>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</si>
  <si>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</si>
  <si>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</si>
  <si>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</si>
  <si>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</si>
  <si>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</si>
  <si>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</si>
  <si>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</si>
  <si>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</si>
  <si>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</si>
  <si>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</si>
  <si>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</si>
  <si>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</si>
  <si>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</si>
  <si>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</si>
  <si>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</si>
  <si>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</si>
  <si>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</si>
  <si>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</si>
  <si>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</si>
  <si>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</si>
  <si>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</si>
  <si>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</si>
  <si>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</si>
  <si>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</si>
  <si>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</si>
  <si>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</si>
  <si>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</si>
  <si>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</si>
  <si>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</si>
  <si>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</si>
  <si>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</si>
  <si>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</si>
  <si>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</si>
  <si>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</si>
  <si>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</si>
  <si>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</si>
  <si>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</si>
  <si>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</si>
  <si>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</si>
  <si>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</si>
  <si>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</si>
  <si>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</si>
  <si>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</si>
  <si>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</si>
  <si>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</si>
  <si>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</si>
  <si>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</si>
  <si>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</si>
  <si>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</si>
  <si>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</si>
  <si>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</si>
  <si>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</si>
  <si>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</si>
  <si>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</si>
  <si>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</si>
  <si>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</si>
  <si>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</si>
  <si>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</si>
  <si>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</si>
  <si>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</si>
  <si>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</si>
  <si>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</si>
  <si>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</si>
  <si>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</si>
  <si>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</si>
  <si>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</si>
  <si>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</si>
  <si>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</si>
  <si>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</si>
  <si>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</si>
  <si>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</si>
  <si>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</si>
  <si>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</si>
  <si>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</si>
  <si>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</si>
  <si>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</si>
  <si>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</si>
  <si>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</si>
  <si>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</si>
  <si>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</si>
  <si>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</si>
  <si>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</si>
  <si>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</si>
  <si>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</si>
  <si>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</si>
  <si>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</si>
  <si>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</si>
  <si>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</si>
  <si>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</si>
  <si>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</si>
  <si>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</si>
  <si>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</si>
  <si>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</si>
  <si>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</si>
  <si>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</si>
  <si>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</si>
  <si>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</si>
  <si>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</si>
  <si>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</si>
  <si>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</si>
  <si>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</si>
  <si>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</si>
  <si>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</si>
  <si>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</si>
  <si>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</si>
  <si>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</si>
  <si>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</si>
  <si>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</si>
  <si>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</si>
  <si>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</si>
  <si>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</si>
  <si>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</si>
  <si>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</si>
  <si>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</si>
  <si>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</si>
  <si>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</si>
  <si>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</si>
  <si>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</si>
  <si>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</si>
  <si>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</si>
  <si>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</si>
  <si>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</si>
  <si>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</si>
  <si>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</si>
  <si>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</si>
  <si>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</si>
  <si>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</si>
  <si>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</si>
  <si>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</si>
  <si>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</si>
  <si>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</si>
  <si>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</si>
  <si>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</si>
  <si>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</si>
  <si>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</si>
  <si>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</si>
  <si>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</si>
  <si>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</si>
  <si>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</si>
  <si>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</si>
  <si>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</si>
  <si>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</si>
  <si>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</si>
  <si>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</si>
  <si>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</si>
  <si>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</si>
  <si>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</si>
  <si>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</si>
  <si>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</si>
  <si>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</si>
  <si>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</si>
  <si>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</si>
  <si>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</si>
  <si>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</si>
  <si>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</si>
  <si>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</si>
  <si>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</si>
  <si>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</si>
  <si>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</si>
  <si>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</si>
  <si>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</si>
  <si>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</si>
  <si>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</si>
  <si>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</si>
  <si>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</si>
  <si>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</si>
  <si>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</si>
  <si>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</si>
  <si>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</si>
  <si>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</si>
  <si>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</si>
  <si>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</si>
  <si>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</si>
  <si>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</si>
  <si>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</si>
  <si>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</si>
  <si>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</si>
  <si>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</si>
  <si>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</si>
  <si>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</si>
  <si>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</si>
  <si>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</si>
  <si>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</si>
  <si>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</si>
  <si>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</si>
  <si>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</si>
  <si>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</si>
  <si>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</si>
  <si>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</si>
  <si>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</si>
  <si>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</si>
  <si>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</si>
  <si>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</si>
  <si>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</si>
  <si>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</si>
  <si>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</si>
  <si>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</si>
  <si>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</si>
  <si>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</si>
  <si>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</si>
  <si>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</si>
  <si>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</si>
  <si>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</si>
  <si>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</si>
  <si>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</si>
  <si>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</si>
  <si>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</si>
  <si>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</si>
  <si>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</si>
  <si>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</si>
  <si>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</si>
  <si>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</si>
  <si>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</si>
  <si>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</si>
  <si>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</si>
  <si>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</si>
  <si>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</si>
  <si>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</si>
  <si>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</si>
  <si>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</si>
  <si>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</si>
  <si>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</si>
  <si>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</si>
  <si>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</si>
  <si>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</si>
  <si>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</si>
  <si>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</si>
  <si>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</si>
  <si>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</si>
  <si>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</si>
  <si>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</si>
  <si>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</si>
  <si>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</si>
  <si>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</si>
  <si>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</si>
  <si>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</si>
  <si>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</si>
  <si>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</si>
  <si>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</si>
  <si>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</si>
  <si>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</si>
  <si>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</si>
  <si>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</si>
  <si>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</si>
  <si>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</si>
  <si>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</si>
  <si>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</si>
  <si>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</si>
  <si>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</si>
  <si>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</si>
  <si>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</si>
  <si>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</si>
  <si>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</si>
  <si>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</si>
  <si>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</si>
  <si>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</si>
  <si>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</si>
  <si>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</si>
  <si>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</si>
  <si>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</si>
  <si>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</si>
  <si>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</si>
  <si>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</si>
  <si>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</si>
  <si>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</si>
  <si>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</si>
  <si>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</si>
  <si>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</si>
  <si>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</si>
  <si>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</si>
  <si>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</si>
  <si>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</si>
  <si>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</si>
  <si>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</si>
  <si>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</si>
  <si>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</si>
  <si>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</si>
  <si>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</si>
  <si>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</si>
  <si>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</si>
  <si>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</si>
  <si>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</si>
  <si>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</si>
  <si>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</si>
  <si>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</si>
  <si>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</si>
  <si>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</si>
  <si>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</si>
  <si>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</si>
  <si>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</si>
  <si>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</si>
  <si>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</si>
  <si>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</si>
  <si>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</si>
  <si>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</si>
  <si>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</si>
  <si>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</si>
  <si>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</si>
  <si>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</si>
  <si>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</si>
  <si>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</si>
  <si>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</si>
  <si>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</si>
  <si>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</si>
  <si>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</si>
  <si>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</si>
  <si>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</si>
  <si>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</si>
  <si>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</si>
  <si>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</si>
  <si>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</si>
  <si>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</si>
  <si>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</si>
  <si>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</si>
  <si>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</si>
  <si>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</si>
  <si>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</si>
  <si>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</si>
  <si>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</si>
  <si>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</si>
  <si>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</si>
  <si>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</si>
  <si>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</si>
  <si>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</si>
  <si>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</si>
  <si>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</si>
  <si>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</si>
  <si>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</si>
  <si>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</si>
  <si>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</si>
  <si>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</si>
  <si>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</si>
  <si>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</si>
  <si>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</si>
  <si>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</si>
  <si>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</si>
  <si>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</si>
  <si>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</si>
  <si>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</si>
  <si>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</si>
  <si>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</si>
  <si>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</si>
  <si>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</si>
  <si>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</si>
  <si>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</si>
  <si>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</si>
  <si>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</si>
  <si>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</si>
  <si>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</si>
  <si>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</si>
  <si>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</si>
  <si>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</si>
  <si>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</si>
  <si>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</si>
  <si>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</si>
  <si>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</si>
  <si>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</si>
  <si>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</si>
  <si>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</si>
  <si>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</si>
  <si>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</si>
  <si>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</si>
  <si>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</si>
  <si>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</si>
  <si>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</si>
  <si>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</si>
  <si>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</si>
  <si>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</si>
  <si>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</si>
  <si>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</si>
  <si>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</si>
  <si>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</si>
  <si>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</si>
  <si>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</si>
  <si>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</si>
  <si>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</si>
  <si>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</si>
  <si>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</si>
  <si>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</si>
  <si>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</si>
  <si>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</si>
  <si>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</si>
  <si>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</si>
  <si>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</si>
  <si>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</si>
  <si>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</si>
  <si>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</si>
  <si>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</si>
  <si>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</si>
  <si>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</si>
  <si>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</si>
  <si>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</si>
  <si>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</si>
  <si>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</si>
  <si>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</si>
  <si>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</si>
  <si>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</si>
  <si>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</si>
  <si>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</si>
  <si>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</si>
  <si>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</si>
  <si>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</si>
  <si>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</si>
  <si>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</si>
  <si>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</si>
  <si>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</si>
  <si>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</si>
  <si>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</si>
  <si>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</si>
  <si>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</si>
  <si>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</si>
  <si>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</si>
  <si>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</si>
  <si>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</si>
  <si>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</si>
  <si>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</si>
  <si>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</si>
  <si>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</si>
  <si>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</si>
  <si>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</si>
  <si>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</si>
  <si>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</si>
  <si>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</si>
  <si>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</si>
  <si>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</si>
  <si>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</si>
  <si>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</si>
  <si>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</si>
  <si>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</si>
  <si>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</si>
  <si>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</si>
  <si>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</si>
  <si>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</si>
  <si>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</si>
  <si>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</si>
  <si>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</si>
  <si>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</si>
  <si>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</si>
  <si>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</si>
  <si>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</si>
  <si>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</si>
  <si>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</si>
  <si>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24134</t>
  </si>
  <si>
    <t>SCHERPENHEUVEL-ZICHEM</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</si>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</sst>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448D8A40-C35B-4D96-A21C-50754BB0C4E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200221.62977534806</c:v>
                </c:pt>
                <c:pt idx="1">
                  <c:v>40590.411818019544</c:v>
                </c:pt>
                <c:pt idx="2">
                  <c:v>898.90200000000004</c:v>
                </c:pt>
                <c:pt idx="3">
                  <c:v>5618.1836608580315</c:v>
                </c:pt>
                <c:pt idx="4">
                  <c:v>4379.7437929348052</c:v>
                </c:pt>
                <c:pt idx="5">
                  <c:v>126584.88646382334</c:v>
                </c:pt>
                <c:pt idx="6">
                  <c:v>1049.7032131536084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200221.62977534806</c:v>
                </c:pt>
                <c:pt idx="1">
                  <c:v>40590.411818019544</c:v>
                </c:pt>
                <c:pt idx="2">
                  <c:v>898.90200000000004</c:v>
                </c:pt>
                <c:pt idx="3">
                  <c:v>5618.1836608580315</c:v>
                </c:pt>
                <c:pt idx="4">
                  <c:v>4379.7437929348052</c:v>
                </c:pt>
                <c:pt idx="5">
                  <c:v>126584.88646382334</c:v>
                </c:pt>
                <c:pt idx="6">
                  <c:v>1049.7032131536084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42273.214870611737</c:v>
                </c:pt>
                <c:pt idx="1">
                  <c:v>8070.9654614402016</c:v>
                </c:pt>
                <c:pt idx="2">
                  <c:v>176.1705207447753</c:v>
                </c:pt>
                <c:pt idx="3">
                  <c:v>1379.5748908557832</c:v>
                </c:pt>
                <c:pt idx="4">
                  <c:v>890.38422656835542</c:v>
                </c:pt>
                <c:pt idx="5">
                  <c:v>31424.820554413658</c:v>
                </c:pt>
                <c:pt idx="6">
                  <c:v>264.49871093503788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42273.214870611737</c:v>
                </c:pt>
                <c:pt idx="1">
                  <c:v>8070.9654614402016</c:v>
                </c:pt>
                <c:pt idx="2">
                  <c:v>176.1705207447753</c:v>
                </c:pt>
                <c:pt idx="3">
                  <c:v>1379.5748908557832</c:v>
                </c:pt>
                <c:pt idx="4">
                  <c:v>890.38422656835542</c:v>
                </c:pt>
                <c:pt idx="5">
                  <c:v>31424.820554413658</c:v>
                </c:pt>
                <c:pt idx="6">
                  <c:v>264.49871093503788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24134</v>
      </c>
      <c r="B6" s="382"/>
      <c r="C6" s="383"/>
    </row>
    <row r="7" spans="1:7" s="380" customFormat="1" ht="15.75" customHeight="1">
      <c r="A7" s="384" t="str">
        <f>txtMunicipality</f>
        <v>SCHERPENHEUVEL-ZICHEM</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0.19598412368064072</v>
      </c>
      <c r="C17" s="492">
        <f ca="1">'EF ele_warmte'!B22</f>
        <v>0.23764705882352946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0.19598412368064072</v>
      </c>
      <c r="C29" s="493">
        <f ca="1">'EF ele_warmte'!B22</f>
        <v>0.23764705882352946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9962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1726.83</v>
      </c>
      <c r="C14" s="324"/>
      <c r="D14" s="324"/>
      <c r="E14" s="324"/>
      <c r="F14" s="324"/>
    </row>
    <row r="15" spans="1:6">
      <c r="A15" s="1257" t="s">
        <v>177</v>
      </c>
      <c r="B15" s="1258">
        <v>14</v>
      </c>
      <c r="C15" s="324"/>
      <c r="D15" s="324"/>
      <c r="E15" s="324"/>
      <c r="F15" s="324"/>
    </row>
    <row r="16" spans="1:6">
      <c r="A16" s="1257" t="s">
        <v>6</v>
      </c>
      <c r="B16" s="1258">
        <v>500</v>
      </c>
      <c r="C16" s="324"/>
      <c r="D16" s="324"/>
      <c r="E16" s="324"/>
      <c r="F16" s="324"/>
    </row>
    <row r="17" spans="1:6">
      <c r="A17" s="1257" t="s">
        <v>7</v>
      </c>
      <c r="B17" s="1258">
        <v>208</v>
      </c>
      <c r="C17" s="324"/>
      <c r="D17" s="324"/>
      <c r="E17" s="324"/>
      <c r="F17" s="324"/>
    </row>
    <row r="18" spans="1:6">
      <c r="A18" s="1257" t="s">
        <v>8</v>
      </c>
      <c r="B18" s="1258">
        <v>413</v>
      </c>
      <c r="C18" s="324"/>
      <c r="D18" s="324"/>
      <c r="E18" s="324"/>
      <c r="F18" s="324"/>
    </row>
    <row r="19" spans="1:6">
      <c r="A19" s="1257" t="s">
        <v>9</v>
      </c>
      <c r="B19" s="1258">
        <v>433</v>
      </c>
      <c r="C19" s="324"/>
      <c r="D19" s="324"/>
      <c r="E19" s="324"/>
      <c r="F19" s="324"/>
    </row>
    <row r="20" spans="1:6">
      <c r="A20" s="1257" t="s">
        <v>10</v>
      </c>
      <c r="B20" s="1258">
        <v>212</v>
      </c>
      <c r="C20" s="324"/>
      <c r="D20" s="324"/>
      <c r="E20" s="324"/>
      <c r="F20" s="324"/>
    </row>
    <row r="21" spans="1:6">
      <c r="A21" s="1257" t="s">
        <v>11</v>
      </c>
      <c r="B21" s="1258">
        <v>0</v>
      </c>
      <c r="C21" s="324"/>
      <c r="D21" s="324"/>
      <c r="E21" s="324"/>
      <c r="F21" s="324"/>
    </row>
    <row r="22" spans="1:6">
      <c r="A22" s="1257" t="s">
        <v>12</v>
      </c>
      <c r="B22" s="1258">
        <v>3062</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118</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115</v>
      </c>
      <c r="C29" s="324"/>
      <c r="D29" s="324"/>
      <c r="E29" s="324"/>
      <c r="F29" s="324"/>
    </row>
    <row r="30" spans="1:6">
      <c r="A30" s="1252" t="s">
        <v>665</v>
      </c>
      <c r="B30" s="1260">
        <v>32</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2</v>
      </c>
      <c r="D38" s="1258">
        <v>26881.350999999999</v>
      </c>
      <c r="E38" s="1258">
        <v>5</v>
      </c>
      <c r="F38" s="1258">
        <v>9943.5370000000003</v>
      </c>
    </row>
    <row r="39" spans="1:6">
      <c r="A39" s="1257" t="s">
        <v>29</v>
      </c>
      <c r="B39" s="1257" t="s">
        <v>30</v>
      </c>
      <c r="C39" s="1258">
        <v>3972</v>
      </c>
      <c r="D39" s="1258">
        <v>61922274</v>
      </c>
      <c r="E39" s="1258">
        <v>9901</v>
      </c>
      <c r="F39" s="1258">
        <v>35015092.32</v>
      </c>
    </row>
    <row r="40" spans="1:6">
      <c r="A40" s="1257" t="s">
        <v>29</v>
      </c>
      <c r="B40" s="1257" t="s">
        <v>28</v>
      </c>
      <c r="C40" s="1258">
        <v>0</v>
      </c>
      <c r="D40" s="1258">
        <v>0</v>
      </c>
      <c r="E40" s="1258">
        <v>0</v>
      </c>
      <c r="F40" s="1258">
        <v>0</v>
      </c>
    </row>
    <row r="41" spans="1:6">
      <c r="A41" s="1257" t="s">
        <v>31</v>
      </c>
      <c r="B41" s="1257" t="s">
        <v>32</v>
      </c>
      <c r="C41" s="1258">
        <v>39</v>
      </c>
      <c r="D41" s="1258">
        <v>678053.73699999996</v>
      </c>
      <c r="E41" s="1258">
        <v>116</v>
      </c>
      <c r="F41" s="1258">
        <v>619531.99399999995</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6</v>
      </c>
      <c r="F44" s="1258">
        <v>166870.37</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29</v>
      </c>
      <c r="D48" s="1258">
        <v>701141.61300000001</v>
      </c>
      <c r="E48" s="1258">
        <v>65</v>
      </c>
      <c r="F48" s="1258">
        <v>865014.13600000006</v>
      </c>
    </row>
    <row r="49" spans="1:6">
      <c r="A49" s="1257" t="s">
        <v>31</v>
      </c>
      <c r="B49" s="1257" t="s">
        <v>39</v>
      </c>
      <c r="C49" s="1258">
        <v>0</v>
      </c>
      <c r="D49" s="1258">
        <v>0</v>
      </c>
      <c r="E49" s="1258">
        <v>0</v>
      </c>
      <c r="F49" s="1258">
        <v>0</v>
      </c>
    </row>
    <row r="50" spans="1:6">
      <c r="A50" s="1257" t="s">
        <v>31</v>
      </c>
      <c r="B50" s="1257" t="s">
        <v>40</v>
      </c>
      <c r="C50" s="1258">
        <v>4</v>
      </c>
      <c r="D50" s="1258">
        <v>77375.33</v>
      </c>
      <c r="E50" s="1258">
        <v>10</v>
      </c>
      <c r="F50" s="1258">
        <v>666734.451</v>
      </c>
    </row>
    <row r="51" spans="1:6">
      <c r="A51" s="1257" t="s">
        <v>41</v>
      </c>
      <c r="B51" s="1257" t="s">
        <v>42</v>
      </c>
      <c r="C51" s="1258">
        <v>3</v>
      </c>
      <c r="D51" s="1258">
        <v>56804.175000000003</v>
      </c>
      <c r="E51" s="1258">
        <v>23</v>
      </c>
      <c r="F51" s="1258">
        <v>254991.902</v>
      </c>
    </row>
    <row r="52" spans="1:6">
      <c r="A52" s="1257" t="s">
        <v>41</v>
      </c>
      <c r="B52" s="1257" t="s">
        <v>28</v>
      </c>
      <c r="C52" s="1258">
        <v>10</v>
      </c>
      <c r="D52" s="1258">
        <v>1252122.5020000001</v>
      </c>
      <c r="E52" s="1258">
        <v>24</v>
      </c>
      <c r="F52" s="1258">
        <v>657686.66399999999</v>
      </c>
    </row>
    <row r="53" spans="1:6">
      <c r="A53" s="1257" t="s">
        <v>43</v>
      </c>
      <c r="B53" s="1257" t="s">
        <v>44</v>
      </c>
      <c r="C53" s="1258">
        <v>120</v>
      </c>
      <c r="D53" s="1258">
        <v>1392255.115</v>
      </c>
      <c r="E53" s="1258">
        <v>352</v>
      </c>
      <c r="F53" s="1258">
        <v>868585.37899999996</v>
      </c>
    </row>
    <row r="54" spans="1:6">
      <c r="A54" s="1257" t="s">
        <v>45</v>
      </c>
      <c r="B54" s="1257" t="s">
        <v>46</v>
      </c>
      <c r="C54" s="1258">
        <v>0</v>
      </c>
      <c r="D54" s="1258">
        <v>0</v>
      </c>
      <c r="E54" s="1258">
        <v>1</v>
      </c>
      <c r="F54" s="1258">
        <v>898902</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52</v>
      </c>
      <c r="D57" s="1258">
        <v>3121981.4160000002</v>
      </c>
      <c r="E57" s="1258">
        <v>112</v>
      </c>
      <c r="F57" s="1258">
        <v>2328849.1609999998</v>
      </c>
    </row>
    <row r="58" spans="1:6">
      <c r="A58" s="1257" t="s">
        <v>48</v>
      </c>
      <c r="B58" s="1257" t="s">
        <v>50</v>
      </c>
      <c r="C58" s="1258">
        <v>18</v>
      </c>
      <c r="D58" s="1258">
        <v>1607219.0009999999</v>
      </c>
      <c r="E58" s="1258">
        <v>71</v>
      </c>
      <c r="F58" s="1258">
        <v>1144159.726</v>
      </c>
    </row>
    <row r="59" spans="1:6">
      <c r="A59" s="1257" t="s">
        <v>48</v>
      </c>
      <c r="B59" s="1257" t="s">
        <v>51</v>
      </c>
      <c r="C59" s="1258">
        <v>37</v>
      </c>
      <c r="D59" s="1258">
        <v>1161822.7749999999</v>
      </c>
      <c r="E59" s="1258">
        <v>146</v>
      </c>
      <c r="F59" s="1258">
        <v>4329977.307</v>
      </c>
    </row>
    <row r="60" spans="1:6">
      <c r="A60" s="1257" t="s">
        <v>48</v>
      </c>
      <c r="B60" s="1257" t="s">
        <v>52</v>
      </c>
      <c r="C60" s="1258">
        <v>47</v>
      </c>
      <c r="D60" s="1258">
        <v>2147941.5580000002</v>
      </c>
      <c r="E60" s="1258">
        <v>79</v>
      </c>
      <c r="F60" s="1258">
        <v>1786951.121</v>
      </c>
    </row>
    <row r="61" spans="1:6">
      <c r="A61" s="1257" t="s">
        <v>48</v>
      </c>
      <c r="B61" s="1257" t="s">
        <v>53</v>
      </c>
      <c r="C61" s="1258">
        <v>96</v>
      </c>
      <c r="D61" s="1258">
        <v>3514195.6839999999</v>
      </c>
      <c r="E61" s="1258">
        <v>307</v>
      </c>
      <c r="F61" s="1258">
        <v>2119057.4339999999</v>
      </c>
    </row>
    <row r="62" spans="1:6">
      <c r="A62" s="1257" t="s">
        <v>48</v>
      </c>
      <c r="B62" s="1257" t="s">
        <v>54</v>
      </c>
      <c r="C62" s="1258">
        <v>7</v>
      </c>
      <c r="D62" s="1258">
        <v>385609.73</v>
      </c>
      <c r="E62" s="1258">
        <v>14</v>
      </c>
      <c r="F62" s="1258">
        <v>141280.17199999999</v>
      </c>
    </row>
    <row r="63" spans="1:6">
      <c r="A63" s="1257" t="s">
        <v>48</v>
      </c>
      <c r="B63" s="1257" t="s">
        <v>28</v>
      </c>
      <c r="C63" s="1258">
        <v>175</v>
      </c>
      <c r="D63" s="1258">
        <v>7776068.9979999997</v>
      </c>
      <c r="E63" s="1258">
        <v>229</v>
      </c>
      <c r="F63" s="1258">
        <v>5510794.9610000001</v>
      </c>
    </row>
    <row r="64" spans="1:6">
      <c r="A64" s="1257" t="s">
        <v>55</v>
      </c>
      <c r="B64" s="1257" t="s">
        <v>56</v>
      </c>
      <c r="C64" s="1258">
        <v>0</v>
      </c>
      <c r="D64" s="1258">
        <v>0</v>
      </c>
      <c r="E64" s="1258">
        <v>0</v>
      </c>
      <c r="F64" s="1258">
        <v>0</v>
      </c>
    </row>
    <row r="65" spans="1:6">
      <c r="A65" s="1257" t="s">
        <v>55</v>
      </c>
      <c r="B65" s="1257" t="s">
        <v>28</v>
      </c>
      <c r="C65" s="1258">
        <v>2</v>
      </c>
      <c r="D65" s="1258">
        <v>0</v>
      </c>
      <c r="E65" s="1258">
        <v>9</v>
      </c>
      <c r="F65" s="1258">
        <v>21286.81</v>
      </c>
    </row>
    <row r="66" spans="1:6">
      <c r="A66" s="1257" t="s">
        <v>55</v>
      </c>
      <c r="B66" s="1257" t="s">
        <v>57</v>
      </c>
      <c r="C66" s="1258">
        <v>0</v>
      </c>
      <c r="D66" s="1258">
        <v>0</v>
      </c>
      <c r="E66" s="1258">
        <v>4</v>
      </c>
      <c r="F66" s="1258">
        <v>3931</v>
      </c>
    </row>
    <row r="67" spans="1:6">
      <c r="A67" s="1257" t="s">
        <v>55</v>
      </c>
      <c r="B67" s="1257" t="s">
        <v>58</v>
      </c>
      <c r="C67" s="1258">
        <v>0</v>
      </c>
      <c r="D67" s="1258">
        <v>0</v>
      </c>
      <c r="E67" s="1258">
        <v>0</v>
      </c>
      <c r="F67" s="1258">
        <v>0</v>
      </c>
    </row>
    <row r="68" spans="1:6">
      <c r="A68" s="1252" t="s">
        <v>55</v>
      </c>
      <c r="B68" s="1252" t="s">
        <v>59</v>
      </c>
      <c r="C68" s="1260">
        <v>3</v>
      </c>
      <c r="D68" s="1260">
        <v>69880.460000000006</v>
      </c>
      <c r="E68" s="1260">
        <v>11</v>
      </c>
      <c r="F68" s="1260">
        <v>64031.93</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66159403</v>
      </c>
      <c r="E73" s="442"/>
      <c r="F73" s="324"/>
    </row>
    <row r="74" spans="1:6">
      <c r="A74" s="1257" t="s">
        <v>63</v>
      </c>
      <c r="B74" s="1257" t="s">
        <v>608</v>
      </c>
      <c r="C74" s="1270" t="s">
        <v>610</v>
      </c>
      <c r="D74" s="1258">
        <v>5470265</v>
      </c>
      <c r="E74" s="442"/>
      <c r="F74" s="324"/>
    </row>
    <row r="75" spans="1:6">
      <c r="A75" s="1257" t="s">
        <v>64</v>
      </c>
      <c r="B75" s="1257" t="s">
        <v>607</v>
      </c>
      <c r="C75" s="1270" t="s">
        <v>611</v>
      </c>
      <c r="D75" s="1258">
        <v>54456016</v>
      </c>
      <c r="E75" s="442"/>
      <c r="F75" s="324"/>
    </row>
    <row r="76" spans="1:6">
      <c r="A76" s="1257" t="s">
        <v>64</v>
      </c>
      <c r="B76" s="1257" t="s">
        <v>608</v>
      </c>
      <c r="C76" s="1270" t="s">
        <v>612</v>
      </c>
      <c r="D76" s="1258">
        <v>2228029</v>
      </c>
      <c r="E76" s="442"/>
      <c r="F76" s="324"/>
    </row>
    <row r="77" spans="1:6">
      <c r="A77" s="1257" t="s">
        <v>65</v>
      </c>
      <c r="B77" s="1257" t="s">
        <v>607</v>
      </c>
      <c r="C77" s="1270" t="s">
        <v>613</v>
      </c>
      <c r="D77" s="1258">
        <v>12455144</v>
      </c>
      <c r="E77" s="442"/>
      <c r="F77" s="324"/>
    </row>
    <row r="78" spans="1:6">
      <c r="A78" s="1252" t="s">
        <v>65</v>
      </c>
      <c r="B78" s="1252" t="s">
        <v>608</v>
      </c>
      <c r="C78" s="1252" t="s">
        <v>614</v>
      </c>
      <c r="D78" s="1260">
        <v>1372582</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287640</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5905.6607377287837</v>
      </c>
      <c r="C91" s="324"/>
      <c r="D91" s="324"/>
      <c r="E91" s="324"/>
      <c r="F91" s="324"/>
    </row>
    <row r="92" spans="1:6">
      <c r="A92" s="1252" t="s">
        <v>68</v>
      </c>
      <c r="B92" s="1253">
        <v>1291.5614782465536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1234</v>
      </c>
      <c r="C97" s="324"/>
      <c r="D97" s="324"/>
      <c r="E97" s="324"/>
      <c r="F97" s="324"/>
    </row>
    <row r="98" spans="1:6">
      <c r="A98" s="1257" t="s">
        <v>71</v>
      </c>
      <c r="B98" s="1258">
        <v>1</v>
      </c>
      <c r="C98" s="324"/>
      <c r="D98" s="324"/>
      <c r="E98" s="324"/>
      <c r="F98" s="324"/>
    </row>
    <row r="99" spans="1:6">
      <c r="A99" s="1257" t="s">
        <v>72</v>
      </c>
      <c r="B99" s="1258">
        <v>130</v>
      </c>
      <c r="C99" s="324"/>
      <c r="D99" s="324"/>
      <c r="E99" s="324"/>
      <c r="F99" s="324"/>
    </row>
    <row r="100" spans="1:6">
      <c r="A100" s="1257" t="s">
        <v>73</v>
      </c>
      <c r="B100" s="1258">
        <v>475</v>
      </c>
      <c r="C100" s="324"/>
      <c r="D100" s="324"/>
      <c r="E100" s="324"/>
      <c r="F100" s="324"/>
    </row>
    <row r="101" spans="1:6">
      <c r="A101" s="1257" t="s">
        <v>74</v>
      </c>
      <c r="B101" s="1258">
        <v>64</v>
      </c>
      <c r="C101" s="324"/>
      <c r="D101" s="324"/>
      <c r="E101" s="324"/>
      <c r="F101" s="324"/>
    </row>
    <row r="102" spans="1:6">
      <c r="A102" s="1257" t="s">
        <v>75</v>
      </c>
      <c r="B102" s="1258">
        <v>106</v>
      </c>
      <c r="C102" s="324"/>
      <c r="D102" s="324"/>
      <c r="E102" s="324"/>
      <c r="F102" s="324"/>
    </row>
    <row r="103" spans="1:6">
      <c r="A103" s="1257" t="s">
        <v>76</v>
      </c>
      <c r="B103" s="1258">
        <v>209</v>
      </c>
      <c r="C103" s="324"/>
      <c r="D103" s="324"/>
      <c r="E103" s="324"/>
      <c r="F103" s="324"/>
    </row>
    <row r="104" spans="1:6">
      <c r="A104" s="1257" t="s">
        <v>77</v>
      </c>
      <c r="B104" s="1258">
        <v>6605</v>
      </c>
      <c r="C104" s="324"/>
      <c r="D104" s="324"/>
      <c r="E104" s="324"/>
      <c r="F104" s="324"/>
    </row>
    <row r="105" spans="1:6">
      <c r="A105" s="1252" t="s">
        <v>78</v>
      </c>
      <c r="B105" s="1260">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49</v>
      </c>
      <c r="C123" s="1258">
        <v>26</v>
      </c>
      <c r="D123" s="324"/>
      <c r="E123" s="324"/>
      <c r="F123" s="324"/>
    </row>
    <row r="124" spans="1:6">
      <c r="A124" s="1257" t="s">
        <v>88</v>
      </c>
      <c r="B124" s="1258">
        <v>3</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238</v>
      </c>
      <c r="C129" s="324"/>
      <c r="D129" s="324"/>
      <c r="E129" s="324"/>
      <c r="F129" s="324"/>
    </row>
    <row r="130" spans="1:6">
      <c r="A130" s="1257" t="s">
        <v>283</v>
      </c>
      <c r="B130" s="1258">
        <v>2</v>
      </c>
      <c r="C130" s="324"/>
      <c r="D130" s="324"/>
      <c r="E130" s="324"/>
      <c r="F130" s="324"/>
    </row>
    <row r="131" spans="1:6">
      <c r="A131" s="1257" t="s">
        <v>284</v>
      </c>
      <c r="B131" s="1258">
        <v>3</v>
      </c>
      <c r="C131" s="324"/>
      <c r="D131" s="324"/>
      <c r="E131" s="324"/>
      <c r="F131" s="324"/>
    </row>
    <row r="132" spans="1:6">
      <c r="A132" s="1252" t="s">
        <v>285</v>
      </c>
      <c r="B132" s="1253">
        <v>38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63523.174409311774</v>
      </c>
      <c r="C3" s="43" t="s">
        <v>163</v>
      </c>
      <c r="D3" s="43"/>
      <c r="E3" s="153"/>
      <c r="F3" s="43"/>
      <c r="G3" s="43"/>
      <c r="H3" s="43"/>
      <c r="I3" s="43"/>
      <c r="J3" s="43"/>
      <c r="K3" s="96"/>
    </row>
    <row r="4" spans="1:11">
      <c r="A4" s="350" t="s">
        <v>164</v>
      </c>
      <c r="B4" s="49">
        <f>IF(ISERROR('SEAP template'!B78+'SEAP template'!C78),0,'SEAP template'!B78+'SEAP template'!C78)</f>
        <v>7287.2222159753373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21.388235294117649</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0.19598412368064072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30.554621848739504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128.57142857142858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898.90200000000004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898.90200000000004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0.19598412368064072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176.1705207447753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35015.092320000003</v>
      </c>
      <c r="C5" s="17">
        <f>IF(ISERROR('Eigen informatie GS &amp; warmtenet'!B59),0,'Eigen informatie GS &amp; warmtenet'!B59)</f>
        <v>0</v>
      </c>
      <c r="D5" s="30">
        <f>(SUM(HH_hh_gas_kWh,HH_rest_gas_kWh)/1000)*0.902</f>
        <v>55853.891148000002</v>
      </c>
      <c r="E5" s="17">
        <f>B32*B41</f>
        <v>4253.803236599857</v>
      </c>
      <c r="F5" s="17">
        <f>B36*B45</f>
        <v>81861.45765288375</v>
      </c>
      <c r="G5" s="18"/>
      <c r="H5" s="17"/>
      <c r="I5" s="17"/>
      <c r="J5" s="17">
        <f>B35*B44+C35*C44</f>
        <v>418.89379185518504</v>
      </c>
      <c r="K5" s="17"/>
      <c r="L5" s="17"/>
      <c r="M5" s="17"/>
      <c r="N5" s="17">
        <f>B34*B43+C34*C43</f>
        <v>15441.00958067065</v>
      </c>
      <c r="O5" s="17">
        <f>B52*B53*B54</f>
        <v>523.76496991817646</v>
      </c>
      <c r="P5" s="17">
        <f>B60*B61*B62/1000-B60*B61*B62/1000/B63</f>
        <v>948.05633769165206</v>
      </c>
    </row>
    <row r="6" spans="1:16">
      <c r="A6" s="16" t="s">
        <v>573</v>
      </c>
      <c r="B6" s="738">
        <f>kWh_PV_kleiner_dan_10kW</f>
        <v>5905.6607377287837</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40920.753057728783</v>
      </c>
      <c r="C8" s="21">
        <f>C5</f>
        <v>0</v>
      </c>
      <c r="D8" s="21">
        <f>D5</f>
        <v>55853.891148000002</v>
      </c>
      <c r="E8" s="21">
        <f>E5</f>
        <v>4253.803236599857</v>
      </c>
      <c r="F8" s="21">
        <f>F5</f>
        <v>81861.45765288375</v>
      </c>
      <c r="G8" s="21"/>
      <c r="H8" s="21"/>
      <c r="I8" s="21"/>
      <c r="J8" s="21">
        <f>J5</f>
        <v>418.89379185518504</v>
      </c>
      <c r="K8" s="21"/>
      <c r="L8" s="21">
        <f>L5</f>
        <v>0</v>
      </c>
      <c r="M8" s="21">
        <f>M5</f>
        <v>0</v>
      </c>
      <c r="N8" s="21">
        <f>N5</f>
        <v>15441.00958067065</v>
      </c>
      <c r="O8" s="21">
        <f>O5</f>
        <v>523.76496991817646</v>
      </c>
      <c r="P8" s="21">
        <f>P5</f>
        <v>948.05633769165206</v>
      </c>
    </row>
    <row r="9" spans="1:16">
      <c r="B9" s="19"/>
      <c r="C9" s="19"/>
      <c r="D9" s="255"/>
      <c r="E9" s="19"/>
      <c r="F9" s="19"/>
      <c r="G9" s="19"/>
      <c r="H9" s="19"/>
      <c r="I9" s="19"/>
      <c r="J9" s="19"/>
      <c r="K9" s="19"/>
      <c r="L9" s="19"/>
      <c r="M9" s="19"/>
      <c r="N9" s="19"/>
      <c r="O9" s="19"/>
      <c r="P9" s="19"/>
    </row>
    <row r="10" spans="1:16">
      <c r="A10" s="24" t="s">
        <v>207</v>
      </c>
      <c r="B10" s="25">
        <f ca="1">'EF ele_warmte'!B12</f>
        <v>0.19598412368064072</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8019.8179283708751</v>
      </c>
      <c r="C12" s="23">
        <f ca="1">C10*C8</f>
        <v>0</v>
      </c>
      <c r="D12" s="23">
        <f>D8*D10</f>
        <v>11282.486011896</v>
      </c>
      <c r="E12" s="23">
        <f>E10*E8</f>
        <v>965.6133347081676</v>
      </c>
      <c r="F12" s="23">
        <f>F10*F8</f>
        <v>21857.009193319962</v>
      </c>
      <c r="G12" s="23"/>
      <c r="H12" s="23"/>
      <c r="I12" s="23"/>
      <c r="J12" s="23">
        <f>J10*J8</f>
        <v>148.2884023167355</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9962</v>
      </c>
      <c r="C26" s="36"/>
      <c r="D26" s="225"/>
    </row>
    <row r="27" spans="1:7" s="15" customFormat="1">
      <c r="A27" s="227" t="s">
        <v>774</v>
      </c>
      <c r="B27" s="37">
        <f>SUM(HH_hh_gas_aantal,HH_rest_gas_aantal)</f>
        <v>3972</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3773.4</v>
      </c>
      <c r="C31" s="165" t="s">
        <v>104</v>
      </c>
      <c r="D31" s="230"/>
      <c r="G31" s="15"/>
    </row>
    <row r="32" spans="1:7">
      <c r="A32" s="168" t="s">
        <v>72</v>
      </c>
      <c r="B32" s="165">
        <f>IF((B21*($B$26-($B$27-0.05*$B$27)-$B$60))&lt;0,0,B21*($B$26-($B$27-0.05*$B$27)-$B$60))</f>
        <v>68.750538279986699</v>
      </c>
      <c r="C32" s="165" t="s">
        <v>104</v>
      </c>
      <c r="D32" s="230"/>
      <c r="G32" s="15"/>
    </row>
    <row r="33" spans="1:7">
      <c r="A33" s="168" t="s">
        <v>73</v>
      </c>
      <c r="B33" s="165">
        <f>IF((B22*($B$26-($B$27-0.05*$B$27)-$B$60))&lt;0,0,B22*($B$26-($B$27-0.05*$B$27)-$B$60))</f>
        <v>1429.3814254311887</v>
      </c>
      <c r="C33" s="165" t="s">
        <v>104</v>
      </c>
      <c r="D33" s="230"/>
      <c r="G33" s="15"/>
    </row>
    <row r="34" spans="1:7">
      <c r="A34" s="168" t="s">
        <v>74</v>
      </c>
      <c r="B34" s="165">
        <f>IF((B24*($B$26-($B$27-0.05*$B$27)-$B$60))&lt;0,0,B24*($B$26-($B$27-0.05*$B$27)-$B$60))</f>
        <v>603.54788963420754</v>
      </c>
      <c r="C34" s="165">
        <f>B26*C24</f>
        <v>1719.0672049287291</v>
      </c>
      <c r="D34" s="230"/>
      <c r="G34" s="15"/>
    </row>
    <row r="35" spans="1:7">
      <c r="A35" s="168" t="s">
        <v>76</v>
      </c>
      <c r="B35" s="165">
        <f>IF((B19*($B$26-($B$27-0.05*$B$27)-$B$60))&lt;0,0,B19*($B$26-($B$27-0.05*$B$27)-$B$60))</f>
        <v>52.036744060829697</v>
      </c>
      <c r="C35" s="165">
        <f>B35/2</f>
        <v>26.018372030414849</v>
      </c>
      <c r="D35" s="231"/>
      <c r="G35" s="15"/>
    </row>
    <row r="36" spans="1:7">
      <c r="A36" s="168" t="s">
        <v>77</v>
      </c>
      <c r="B36" s="165">
        <f>IF((B18*($B$26-($B$27-0.05*$B$27)-$B$60))&lt;0,0,B18*($B$26-($B$27-0.05*$B$27)-$B$60))</f>
        <v>3944.8834025937877</v>
      </c>
      <c r="C36" s="165" t="s">
        <v>104</v>
      </c>
      <c r="D36" s="231"/>
      <c r="G36" s="15"/>
    </row>
    <row r="37" spans="1:7">
      <c r="A37" s="168" t="s">
        <v>78</v>
      </c>
      <c r="B37" s="165">
        <f>B60</f>
        <v>90</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264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90</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17361.069882</v>
      </c>
      <c r="C5" s="17">
        <f>IF(ISERROR('Eigen informatie GS &amp; warmtenet'!B60),0,'Eigen informatie GS &amp; warmtenet'!B60)</f>
        <v>0</v>
      </c>
      <c r="D5" s="30">
        <f>SUM(D6:D12)</f>
        <v>17782.784924124</v>
      </c>
      <c r="E5" s="17">
        <f>SUM(E6:E12)</f>
        <v>53.872925544512555</v>
      </c>
      <c r="F5" s="17">
        <f>SUM(F6:F12)</f>
        <v>3999.4654612863237</v>
      </c>
      <c r="G5" s="18"/>
      <c r="H5" s="17"/>
      <c r="I5" s="17"/>
      <c r="J5" s="17">
        <f>SUM(J6:J12)</f>
        <v>3.4100807418769814E-2</v>
      </c>
      <c r="K5" s="17"/>
      <c r="L5" s="17"/>
      <c r="M5" s="17"/>
      <c r="N5" s="17">
        <f>SUM(N6:N12)</f>
        <v>1264.3440163775576</v>
      </c>
      <c r="O5" s="17">
        <f>B38*B39*B40</f>
        <v>9.7945215316823084</v>
      </c>
      <c r="P5" s="17">
        <f>B46*B47*B48/1000-B46*B47*B48/1000/B49</f>
        <v>157.61741491948504</v>
      </c>
      <c r="R5" s="32"/>
    </row>
    <row r="6" spans="1:18">
      <c r="A6" s="32" t="s">
        <v>53</v>
      </c>
      <c r="B6" s="37">
        <f>B26</f>
        <v>2119.0574339999998</v>
      </c>
      <c r="C6" s="33"/>
      <c r="D6" s="37">
        <f>IF(ISERROR(TER_kantoor_gas_kWh/1000),0,TER_kantoor_gas_kWh/1000)*0.902</f>
        <v>3169.8045069679997</v>
      </c>
      <c r="E6" s="33">
        <f>$C$26*'E Balans VL '!I12/100/3.6*1000000</f>
        <v>0.55334665734993627</v>
      </c>
      <c r="F6" s="33">
        <f>$C$26*('E Balans VL '!L12+'E Balans VL '!N12)/100/3.6*1000000</f>
        <v>211.72816431276644</v>
      </c>
      <c r="G6" s="34"/>
      <c r="H6" s="33"/>
      <c r="I6" s="33"/>
      <c r="J6" s="33">
        <f>$C$26*('E Balans VL '!D12+'E Balans VL '!E12)/100/3.6*1000000</f>
        <v>0</v>
      </c>
      <c r="K6" s="33"/>
      <c r="L6" s="33"/>
      <c r="M6" s="33"/>
      <c r="N6" s="33">
        <f>$C$26*'E Balans VL '!Y12/100/3.6*1000000</f>
        <v>1.5024006688042195</v>
      </c>
      <c r="O6" s="33"/>
      <c r="P6" s="33"/>
      <c r="R6" s="32"/>
    </row>
    <row r="7" spans="1:18">
      <c r="A7" s="32" t="s">
        <v>52</v>
      </c>
      <c r="B7" s="37">
        <f t="shared" ref="B7:B12" si="0">B27</f>
        <v>1786.9511210000001</v>
      </c>
      <c r="C7" s="33"/>
      <c r="D7" s="37">
        <f>IF(ISERROR(TER_horeca_gas_kWh/1000),0,TER_horeca_gas_kWh/1000)*0.902</f>
        <v>1937.4432853160001</v>
      </c>
      <c r="E7" s="33">
        <f>$C$27*'E Balans VL '!I9/100/3.6*1000000</f>
        <v>0</v>
      </c>
      <c r="F7" s="33">
        <f>$C$27*('E Balans VL '!L9+'E Balans VL '!N9)/100/3.6*1000000</f>
        <v>146.75599116537651</v>
      </c>
      <c r="G7" s="34"/>
      <c r="H7" s="33"/>
      <c r="I7" s="33"/>
      <c r="J7" s="33">
        <f>$C$27*('E Balans VL '!D9+'E Balans VL '!E9)/100/3.6*1000000</f>
        <v>0</v>
      </c>
      <c r="K7" s="33"/>
      <c r="L7" s="33"/>
      <c r="M7" s="33"/>
      <c r="N7" s="33">
        <f>$C$27*'E Balans VL '!Y9/100/3.6*1000000</f>
        <v>22.581830669591923</v>
      </c>
      <c r="O7" s="33"/>
      <c r="P7" s="33"/>
      <c r="R7" s="32"/>
    </row>
    <row r="8" spans="1:18">
      <c r="A8" s="6" t="s">
        <v>51</v>
      </c>
      <c r="B8" s="37">
        <f t="shared" si="0"/>
        <v>4329.9773070000001</v>
      </c>
      <c r="C8" s="33"/>
      <c r="D8" s="37">
        <f>IF(ISERROR(TER_handel_gas_kWh/1000),0,TER_handel_gas_kWh/1000)*0.902</f>
        <v>1047.9641430499998</v>
      </c>
      <c r="E8" s="33">
        <f>$C$28*'E Balans VL '!I13/100/3.6*1000000</f>
        <v>15.913802830741789</v>
      </c>
      <c r="F8" s="33">
        <f>$C$28*('E Balans VL '!L13+'E Balans VL '!N13)/100/3.6*1000000</f>
        <v>413.58579503449982</v>
      </c>
      <c r="G8" s="34"/>
      <c r="H8" s="33"/>
      <c r="I8" s="33"/>
      <c r="J8" s="33">
        <f>$C$28*('E Balans VL '!D13+'E Balans VL '!E13)/100/3.6*1000000</f>
        <v>0</v>
      </c>
      <c r="K8" s="33"/>
      <c r="L8" s="33"/>
      <c r="M8" s="33"/>
      <c r="N8" s="33">
        <f>$C$28*'E Balans VL '!Y13/100/3.6*1000000</f>
        <v>1.7132702766552639</v>
      </c>
      <c r="O8" s="33"/>
      <c r="P8" s="33"/>
      <c r="R8" s="32"/>
    </row>
    <row r="9" spans="1:18">
      <c r="A9" s="32" t="s">
        <v>50</v>
      </c>
      <c r="B9" s="37">
        <f t="shared" si="0"/>
        <v>1144.1597260000001</v>
      </c>
      <c r="C9" s="33"/>
      <c r="D9" s="37">
        <f>IF(ISERROR(TER_gezond_gas_kWh/1000),0,TER_gezond_gas_kWh/1000)*0.902</f>
        <v>1449.711538902</v>
      </c>
      <c r="E9" s="33">
        <f>$C$29*'E Balans VL '!I10/100/3.6*1000000</f>
        <v>0</v>
      </c>
      <c r="F9" s="33">
        <f>$C$29*('E Balans VL '!L10+'E Balans VL '!N10)/100/3.6*1000000</f>
        <v>77.293317823330668</v>
      </c>
      <c r="G9" s="34"/>
      <c r="H9" s="33"/>
      <c r="I9" s="33"/>
      <c r="J9" s="33">
        <f>$C$29*('E Balans VL '!D10+'E Balans VL '!E10)/100/3.6*1000000</f>
        <v>0</v>
      </c>
      <c r="K9" s="33"/>
      <c r="L9" s="33"/>
      <c r="M9" s="33"/>
      <c r="N9" s="33">
        <f>$C$29*'E Balans VL '!Y10/100/3.6*1000000</f>
        <v>8.9024163340962357</v>
      </c>
      <c r="O9" s="33"/>
      <c r="P9" s="33"/>
      <c r="R9" s="32"/>
    </row>
    <row r="10" spans="1:18">
      <c r="A10" s="32" t="s">
        <v>49</v>
      </c>
      <c r="B10" s="37">
        <f t="shared" si="0"/>
        <v>2328.8491609999996</v>
      </c>
      <c r="C10" s="33"/>
      <c r="D10" s="37">
        <f>IF(ISERROR(TER_ander_gas_kWh/1000),0,TER_ander_gas_kWh/1000)*0.902</f>
        <v>2816.0272372320001</v>
      </c>
      <c r="E10" s="33">
        <f>$C$30*'E Balans VL '!I14/100/3.6*1000000</f>
        <v>21.117550743042802</v>
      </c>
      <c r="F10" s="33">
        <f>$C$30*('E Balans VL '!L14+'E Balans VL '!N14)/100/3.6*1000000</f>
        <v>1840.8319959052653</v>
      </c>
      <c r="G10" s="34"/>
      <c r="H10" s="33"/>
      <c r="I10" s="33"/>
      <c r="J10" s="33">
        <f>$C$30*('E Balans VL '!D14+'E Balans VL '!E14)/100/3.6*1000000</f>
        <v>2.3049839233187156E-2</v>
      </c>
      <c r="K10" s="33"/>
      <c r="L10" s="33"/>
      <c r="M10" s="33"/>
      <c r="N10" s="33">
        <f>$C$30*'E Balans VL '!Y14/100/3.6*1000000</f>
        <v>821.96503781977719</v>
      </c>
      <c r="O10" s="33"/>
      <c r="P10" s="33"/>
      <c r="R10" s="32"/>
    </row>
    <row r="11" spans="1:18">
      <c r="A11" s="32" t="s">
        <v>54</v>
      </c>
      <c r="B11" s="37">
        <f t="shared" si="0"/>
        <v>141.28017199999999</v>
      </c>
      <c r="C11" s="33"/>
      <c r="D11" s="37">
        <f>IF(ISERROR(TER_onderwijs_gas_kWh/1000),0,TER_onderwijs_gas_kWh/1000)*0.902</f>
        <v>347.81997645999996</v>
      </c>
      <c r="E11" s="33">
        <f>$C$31*'E Balans VL '!I11/100/3.6*1000000</f>
        <v>0</v>
      </c>
      <c r="F11" s="33">
        <f>$C$31*('E Balans VL '!L11+'E Balans VL '!N11)/100/3.6*1000000</f>
        <v>16.814240015821188</v>
      </c>
      <c r="G11" s="34"/>
      <c r="H11" s="33"/>
      <c r="I11" s="33"/>
      <c r="J11" s="33">
        <f>$C$31*('E Balans VL '!D11+'E Balans VL '!E11)/100/3.6*1000000</f>
        <v>0</v>
      </c>
      <c r="K11" s="33"/>
      <c r="L11" s="33"/>
      <c r="M11" s="33"/>
      <c r="N11" s="33">
        <f>$C$31*'E Balans VL '!Y11/100/3.6*1000000</f>
        <v>0.3142036552620992</v>
      </c>
      <c r="O11" s="33"/>
      <c r="P11" s="33"/>
      <c r="R11" s="32"/>
    </row>
    <row r="12" spans="1:18">
      <c r="A12" s="32" t="s">
        <v>248</v>
      </c>
      <c r="B12" s="37">
        <f t="shared" si="0"/>
        <v>5510.7949610000005</v>
      </c>
      <c r="C12" s="33"/>
      <c r="D12" s="37">
        <f>IF(ISERROR(TER_rest_gas_kWh/1000),0,TER_rest_gas_kWh/1000)*0.902</f>
        <v>7014.0142361959997</v>
      </c>
      <c r="E12" s="33">
        <f>$C$32*'E Balans VL '!I8/100/3.6*1000000</f>
        <v>16.288225313378028</v>
      </c>
      <c r="F12" s="33">
        <f>$C$32*('E Balans VL '!L8+'E Balans VL '!N8)/100/3.6*1000000</f>
        <v>1292.4559570292636</v>
      </c>
      <c r="G12" s="34"/>
      <c r="H12" s="33"/>
      <c r="I12" s="33"/>
      <c r="J12" s="33">
        <f>$C$32*('E Balans VL '!D8+'E Balans VL '!E8)/100/3.6*1000000</f>
        <v>1.1050968185582658E-2</v>
      </c>
      <c r="K12" s="33"/>
      <c r="L12" s="33"/>
      <c r="M12" s="33"/>
      <c r="N12" s="33">
        <f>$C$32*'E Balans VL '!Y8/100/3.6*1000000</f>
        <v>407.36485695337069</v>
      </c>
      <c r="O12" s="33"/>
      <c r="P12" s="33"/>
      <c r="R12" s="32"/>
    </row>
    <row r="13" spans="1:18">
      <c r="A13" s="16" t="s">
        <v>464</v>
      </c>
      <c r="B13" s="244">
        <f ca="1">'lokale energieproductie'!N38+'lokale energieproductie'!N31</f>
        <v>90</v>
      </c>
      <c r="C13" s="244">
        <f ca="1">'lokale energieproductie'!O38+'lokale energieproductie'!O31</f>
        <v>128.57142857142858</v>
      </c>
      <c r="D13" s="302">
        <f ca="1">('lokale energieproductie'!P31+'lokale energieproductie'!P38)*(-1)</f>
        <v>-257.14285714285717</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17451.069882</v>
      </c>
      <c r="C16" s="21">
        <f t="shared" ca="1" si="1"/>
        <v>128.57142857142858</v>
      </c>
      <c r="D16" s="21">
        <f t="shared" ca="1" si="1"/>
        <v>17525.642066981141</v>
      </c>
      <c r="E16" s="21">
        <f t="shared" si="1"/>
        <v>53.872925544512555</v>
      </c>
      <c r="F16" s="21">
        <f t="shared" ca="1" si="1"/>
        <v>3999.4654612863237</v>
      </c>
      <c r="G16" s="21">
        <f t="shared" si="1"/>
        <v>0</v>
      </c>
      <c r="H16" s="21">
        <f t="shared" si="1"/>
        <v>0</v>
      </c>
      <c r="I16" s="21">
        <f t="shared" si="1"/>
        <v>0</v>
      </c>
      <c r="J16" s="21">
        <f t="shared" si="1"/>
        <v>3.4100807418769814E-2</v>
      </c>
      <c r="K16" s="21">
        <f t="shared" si="1"/>
        <v>0</v>
      </c>
      <c r="L16" s="21">
        <f t="shared" ca="1" si="1"/>
        <v>0</v>
      </c>
      <c r="M16" s="21">
        <f t="shared" si="1"/>
        <v>0</v>
      </c>
      <c r="N16" s="21">
        <f t="shared" ca="1" si="1"/>
        <v>1264.3440163775576</v>
      </c>
      <c r="O16" s="21">
        <f>O5</f>
        <v>9.7945215316823084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0.19598412368064072</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3420.1326381133922</v>
      </c>
      <c r="C20" s="23">
        <f t="shared" ref="C20:P20" ca="1" si="2">C16*C18</f>
        <v>30.554621848739504</v>
      </c>
      <c r="D20" s="23">
        <f t="shared" ca="1" si="2"/>
        <v>3540.1796975301909</v>
      </c>
      <c r="E20" s="23">
        <f t="shared" si="2"/>
        <v>12.229154098604351</v>
      </c>
      <c r="F20" s="23">
        <f t="shared" ca="1" si="2"/>
        <v>1067.8572781634484</v>
      </c>
      <c r="G20" s="23">
        <f t="shared" si="2"/>
        <v>0</v>
      </c>
      <c r="H20" s="23">
        <f t="shared" si="2"/>
        <v>0</v>
      </c>
      <c r="I20" s="23">
        <f t="shared" si="2"/>
        <v>0</v>
      </c>
      <c r="J20" s="23">
        <f t="shared" si="2"/>
        <v>1.2071685826244514E-2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2119.0574339999998</v>
      </c>
      <c r="C26" s="39">
        <f>IF(ISERROR(B26*3.6/1000000/'E Balans VL '!Z12*100),0,B26*3.6/1000000/'E Balans VL '!Z12*100)</f>
        <v>5.9302280876588946E-2</v>
      </c>
      <c r="D26" s="234" t="s">
        <v>667</v>
      </c>
      <c r="F26" s="6"/>
    </row>
    <row r="27" spans="1:18">
      <c r="A27" s="228" t="s">
        <v>52</v>
      </c>
      <c r="B27" s="33">
        <f>IF(ISERROR(TER_horeca_ele_kWh/1000),0,TER_horeca_ele_kWh/1000)</f>
        <v>1786.9511210000001</v>
      </c>
      <c r="C27" s="39">
        <f>IF(ISERROR(B27*3.6/1000000/'E Balans VL '!Z9*100),0,B27*3.6/1000000/'E Balans VL '!Z9*100)</f>
        <v>0.13318582486327449</v>
      </c>
      <c r="D27" s="234" t="s">
        <v>667</v>
      </c>
      <c r="F27" s="6"/>
    </row>
    <row r="28" spans="1:18">
      <c r="A28" s="168" t="s">
        <v>51</v>
      </c>
      <c r="B28" s="33">
        <f>IF(ISERROR(TER_handel_ele_kWh/1000),0,TER_handel_ele_kWh/1000)</f>
        <v>4329.9773070000001</v>
      </c>
      <c r="C28" s="39">
        <f>IF(ISERROR(B28*3.6/1000000/'E Balans VL '!Z13*100),0,B28*3.6/1000000/'E Balans VL '!Z13*100)</f>
        <v>0.1254509059432751</v>
      </c>
      <c r="D28" s="234" t="s">
        <v>667</v>
      </c>
      <c r="F28" s="6"/>
    </row>
    <row r="29" spans="1:18">
      <c r="A29" s="228" t="s">
        <v>50</v>
      </c>
      <c r="B29" s="33">
        <f>IF(ISERROR(TER_gezond_ele_kWh/1000),0,TER_gezond_ele_kWh/1000)</f>
        <v>1144.1597260000001</v>
      </c>
      <c r="C29" s="39">
        <f>IF(ISERROR(B29*3.6/1000000/'E Balans VL '!Z10*100),0,B29*3.6/1000000/'E Balans VL '!Z10*100)</f>
        <v>0.11538987283314674</v>
      </c>
      <c r="D29" s="234" t="s">
        <v>667</v>
      </c>
      <c r="F29" s="6"/>
    </row>
    <row r="30" spans="1:18">
      <c r="A30" s="228" t="s">
        <v>49</v>
      </c>
      <c r="B30" s="33">
        <f>IF(ISERROR(TER_ander_ele_kWh/1000),0,TER_ander_ele_kWh/1000)</f>
        <v>2328.8491609999996</v>
      </c>
      <c r="C30" s="39">
        <f>IF(ISERROR(B30*3.6/1000000/'E Balans VL '!Z14*100),0,B30*3.6/1000000/'E Balans VL '!Z14*100)</f>
        <v>9.4402071944793803E-2</v>
      </c>
      <c r="D30" s="234" t="s">
        <v>667</v>
      </c>
      <c r="F30" s="6"/>
    </row>
    <row r="31" spans="1:18">
      <c r="A31" s="228" t="s">
        <v>54</v>
      </c>
      <c r="B31" s="33">
        <f>IF(ISERROR(TER_onderwijs_ele_kWh/1000),0,TER_onderwijs_ele_kWh/1000)</f>
        <v>141.28017199999999</v>
      </c>
      <c r="C31" s="39">
        <f>IF(ISERROR(B31*3.6/1000000/'E Balans VL '!Z11*100),0,B31*3.6/1000000/'E Balans VL '!Z11*100)</f>
        <v>4.0270602216493534E-2</v>
      </c>
      <c r="D31" s="234" t="s">
        <v>667</v>
      </c>
    </row>
    <row r="32" spans="1:18">
      <c r="A32" s="228" t="s">
        <v>248</v>
      </c>
      <c r="B32" s="33">
        <f>IF(ISERROR(TER_rest_ele_kWh/1000),0,TER_rest_ele_kWh/1000)</f>
        <v>5510.7949610000005</v>
      </c>
      <c r="C32" s="39">
        <f>IF(ISERROR(B32*3.6/1000000/'E Balans VL '!Z8*100),0,B32*3.6/1000000/'E Balans VL '!Z8*100)</f>
        <v>4.5259937961430678E-2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3</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2318.1509509999996</v>
      </c>
      <c r="C5" s="17">
        <f>IF(ISERROR('Eigen informatie GS &amp; warmtenet'!B61),0,'Eigen informatie GS &amp; warmtenet'!B61)</f>
        <v>0</v>
      </c>
      <c r="D5" s="30">
        <f>SUM(D6:D15)</f>
        <v>1313.8267533600001</v>
      </c>
      <c r="E5" s="17">
        <f>SUM(E6:E15)</f>
        <v>45.216951535634799</v>
      </c>
      <c r="F5" s="17">
        <f>SUM(F6:F15)</f>
        <v>596.15120733459435</v>
      </c>
      <c r="G5" s="18"/>
      <c r="H5" s="17"/>
      <c r="I5" s="17"/>
      <c r="J5" s="17">
        <f>SUM(J6:J15)</f>
        <v>3.485365371555829</v>
      </c>
      <c r="K5" s="17"/>
      <c r="L5" s="17"/>
      <c r="M5" s="17"/>
      <c r="N5" s="17">
        <f>SUM(N6:N15)</f>
        <v>102.91256433302047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166.87037000000001</v>
      </c>
      <c r="C8" s="33"/>
      <c r="D8" s="37">
        <f>IF( ISERROR(IND_metaal_Gas_kWH/1000),0,IND_metaal_Gas_kWH/1000)*0.902</f>
        <v>0</v>
      </c>
      <c r="E8" s="33">
        <f>C30*'E Balans VL '!I18/100/3.6*1000000</f>
        <v>1.1975016203884958</v>
      </c>
      <c r="F8" s="33">
        <f>C30*'E Balans VL '!L18/100/3.6*1000000+C30*'E Balans VL '!N18/100/3.6*1000000</f>
        <v>11.106772363603143</v>
      </c>
      <c r="G8" s="34"/>
      <c r="H8" s="33"/>
      <c r="I8" s="33"/>
      <c r="J8" s="40">
        <f>C30*'E Balans VL '!D18/100/3.6*1000000+C30*'E Balans VL '!E18/100/3.6*1000000</f>
        <v>0.16087017224632677</v>
      </c>
      <c r="K8" s="33"/>
      <c r="L8" s="33"/>
      <c r="M8" s="33"/>
      <c r="N8" s="33">
        <f>C30*'E Balans VL '!Y18/100/3.6*1000000</f>
        <v>2.0220847553332812</v>
      </c>
      <c r="O8" s="33"/>
      <c r="P8" s="33"/>
      <c r="R8" s="32"/>
    </row>
    <row r="9" spans="1:18">
      <c r="A9" s="6" t="s">
        <v>32</v>
      </c>
      <c r="B9" s="37">
        <f t="shared" si="0"/>
        <v>619.53199399999994</v>
      </c>
      <c r="C9" s="33"/>
      <c r="D9" s="37">
        <f>IF( ISERROR(IND_andere_gas_kWh/1000),0,IND_andere_gas_kWh/1000)*0.902</f>
        <v>611.60447077399999</v>
      </c>
      <c r="E9" s="33">
        <f>C31*'E Balans VL '!I19/100/3.6*1000000</f>
        <v>1.6288589089724061</v>
      </c>
      <c r="F9" s="33">
        <f>C31*'E Balans VL '!L19/100/3.6*1000000+C31*'E Balans VL '!N19/100/3.6*1000000</f>
        <v>409.14182164085634</v>
      </c>
      <c r="G9" s="34"/>
      <c r="H9" s="33"/>
      <c r="I9" s="33"/>
      <c r="J9" s="40">
        <f>C31*'E Balans VL '!D19/100/3.6*1000000+C31*'E Balans VL '!E19/100/3.6*1000000</f>
        <v>0</v>
      </c>
      <c r="K9" s="33"/>
      <c r="L9" s="33"/>
      <c r="M9" s="33"/>
      <c r="N9" s="33">
        <f>C31*'E Balans VL '!Y19/100/3.6*1000000</f>
        <v>33.07582738746018</v>
      </c>
      <c r="O9" s="33"/>
      <c r="P9" s="33"/>
      <c r="R9" s="32"/>
    </row>
    <row r="10" spans="1:18">
      <c r="A10" s="6" t="s">
        <v>40</v>
      </c>
      <c r="B10" s="37">
        <f t="shared" si="0"/>
        <v>666.73445100000004</v>
      </c>
      <c r="C10" s="33"/>
      <c r="D10" s="37">
        <f>IF( ISERROR(IND_voed_gas_kWh/1000),0,IND_voed_gas_kWh/1000)*0.902</f>
        <v>69.792547660000011</v>
      </c>
      <c r="E10" s="33">
        <f>C32*'E Balans VL '!I20/100/3.6*1000000</f>
        <v>1.1256001694762001</v>
      </c>
      <c r="F10" s="33">
        <f>C32*'E Balans VL '!L20/100/3.6*1000000+C32*'E Balans VL '!N20/100/3.6*1000000</f>
        <v>39.134402395416032</v>
      </c>
      <c r="G10" s="34"/>
      <c r="H10" s="33"/>
      <c r="I10" s="33"/>
      <c r="J10" s="40">
        <f>C32*'E Balans VL '!D20/100/3.6*1000000+C32*'E Balans VL '!E20/100/3.6*1000000</f>
        <v>0</v>
      </c>
      <c r="K10" s="33"/>
      <c r="L10" s="33"/>
      <c r="M10" s="33"/>
      <c r="N10" s="33">
        <f>C32*'E Balans VL '!Y20/100/3.6*1000000</f>
        <v>36.300353183780651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865.01413600000001</v>
      </c>
      <c r="C15" s="33"/>
      <c r="D15" s="37">
        <f>IF( ISERROR(IND_rest_gas_kWh/1000),0,IND_rest_gas_kWh/1000)*0.902</f>
        <v>632.42973492600004</v>
      </c>
      <c r="E15" s="33">
        <f>C37*'E Balans VL '!I15/100/3.6*1000000</f>
        <v>41.264990836797693</v>
      </c>
      <c r="F15" s="33">
        <f>C37*'E Balans VL '!L15/100/3.6*1000000+C37*'E Balans VL '!N15/100/3.6*1000000</f>
        <v>136.76821093471878</v>
      </c>
      <c r="G15" s="34"/>
      <c r="H15" s="33"/>
      <c r="I15" s="33"/>
      <c r="J15" s="40">
        <f>C37*'E Balans VL '!D15/100/3.6*1000000+C37*'E Balans VL '!E15/100/3.6*1000000</f>
        <v>3.3244951993095024</v>
      </c>
      <c r="K15" s="33"/>
      <c r="L15" s="33"/>
      <c r="M15" s="33"/>
      <c r="N15" s="33">
        <f>C37*'E Balans VL '!Y15/100/3.6*1000000</f>
        <v>31.51429900644635</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2318.1509509999996</v>
      </c>
      <c r="C18" s="21">
        <f>C5+C16</f>
        <v>0</v>
      </c>
      <c r="D18" s="21">
        <f>MAX((D5+D16),0)</f>
        <v>1313.8267533600001</v>
      </c>
      <c r="E18" s="21">
        <f>MAX((E5+E16),0)</f>
        <v>45.216951535634799</v>
      </c>
      <c r="F18" s="21">
        <f>MAX((F5+F16),0)</f>
        <v>596.15120733459435</v>
      </c>
      <c r="G18" s="21"/>
      <c r="H18" s="21"/>
      <c r="I18" s="21"/>
      <c r="J18" s="21">
        <f>MAX((J5+J16),0)</f>
        <v>3.485365371555829</v>
      </c>
      <c r="K18" s="21"/>
      <c r="L18" s="21">
        <f>MAX((L5+L16),0)</f>
        <v>0</v>
      </c>
      <c r="M18" s="21"/>
      <c r="N18" s="21">
        <f>MAX((N5+N16),0)</f>
        <v>102.91256433302047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0.19598412368064072</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454.32078269117881</v>
      </c>
      <c r="C22" s="23">
        <f ca="1">C18*C20</f>
        <v>0</v>
      </c>
      <c r="D22" s="23">
        <f>D18*D20</f>
        <v>265.39300417872005</v>
      </c>
      <c r="E22" s="23">
        <f>E18*E20</f>
        <v>10.2642479985891</v>
      </c>
      <c r="F22" s="23">
        <f>F18*F20</f>
        <v>159.1723723583367</v>
      </c>
      <c r="G22" s="23"/>
      <c r="H22" s="23"/>
      <c r="I22" s="23"/>
      <c r="J22" s="23">
        <f>J18*J20</f>
        <v>1.2338193415307634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166.87037000000001</v>
      </c>
      <c r="C30" s="39">
        <f>IF(ISERROR(B30*3.6/1000000/'E Balans VL '!Z18*100),0,B30*3.6/1000000/'E Balans VL '!Z18*100)</f>
        <v>9.2331779424896475E-3</v>
      </c>
      <c r="D30" s="234" t="s">
        <v>667</v>
      </c>
    </row>
    <row r="31" spans="1:18">
      <c r="A31" s="6" t="s">
        <v>32</v>
      </c>
      <c r="B31" s="37">
        <f>IF( ISERROR(IND_ander_ele_kWh/1000),0,IND_ander_ele_kWh/1000)</f>
        <v>619.53199399999994</v>
      </c>
      <c r="C31" s="39">
        <f>IF(ISERROR(B31*3.6/1000000/'E Balans VL '!Z19*100),0,B31*3.6/1000000/'E Balans VL '!Z19*100)</f>
        <v>2.702592135276842E-2</v>
      </c>
      <c r="D31" s="234" t="s">
        <v>667</v>
      </c>
    </row>
    <row r="32" spans="1:18">
      <c r="A32" s="168" t="s">
        <v>40</v>
      </c>
      <c r="B32" s="37">
        <f>IF( ISERROR(IND_voed_ele_kWh/1000),0,IND_voed_ele_kWh/1000)</f>
        <v>666.73445100000004</v>
      </c>
      <c r="C32" s="39">
        <f>IF(ISERROR(B32*3.6/1000000/'E Balans VL '!Z20*100),0,B32*3.6/1000000/'E Balans VL '!Z20*100)</f>
        <v>2.0928321420562512E-2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865.01413600000001</v>
      </c>
      <c r="C37" s="39">
        <f>IF(ISERROR(B37*3.6/1000000/'E Balans VL '!Z15*100),0,B37*3.6/1000000/'E Balans VL '!Z15*100)</f>
        <v>7.039846592458163E-3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912.67856600000005</v>
      </c>
      <c r="C5" s="17">
        <f>'Eigen informatie GS &amp; warmtenet'!B62</f>
        <v>0</v>
      </c>
      <c r="D5" s="30">
        <f>IF(ISERROR(SUM(LB_lb_gas_kWh,LB_rest_gas_kWh)/1000),0,SUM(LB_lb_gas_kWh,LB_rest_gas_kWh)/1000)*0.902</f>
        <v>1180.6518626540001</v>
      </c>
      <c r="E5" s="17">
        <f>B17*'E Balans VL '!I25/3.6*1000000/100</f>
        <v>37.078890043155866</v>
      </c>
      <c r="F5" s="17">
        <f>B17*('E Balans VL '!L25/3.6*1000000+'E Balans VL '!N25/3.6*1000000)/100</f>
        <v>3228.4634428124755</v>
      </c>
      <c r="G5" s="18"/>
      <c r="H5" s="17"/>
      <c r="I5" s="17"/>
      <c r="J5" s="17">
        <f>('E Balans VL '!D25+'E Balans VL '!E25)/3.6*1000000*landbouw!B17/100</f>
        <v>259.3108993484006</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912.67856600000005</v>
      </c>
      <c r="C8" s="21">
        <f>C5+C6</f>
        <v>0</v>
      </c>
      <c r="D8" s="21">
        <f>MAX((D5+D6),0)</f>
        <v>1180.6518626540001</v>
      </c>
      <c r="E8" s="21">
        <f>MAX((E5+E6),0)</f>
        <v>37.078890043155866</v>
      </c>
      <c r="F8" s="21">
        <f>MAX((F5+F6),0)</f>
        <v>3228.4634428124755</v>
      </c>
      <c r="G8" s="21"/>
      <c r="H8" s="21"/>
      <c r="I8" s="21"/>
      <c r="J8" s="21">
        <f>MAX((J5+J6),0)</f>
        <v>259.3108993484006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0.19598412368064072</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178.87050895961383</v>
      </c>
      <c r="C12" s="23">
        <f ca="1">C8*C10</f>
        <v>0</v>
      </c>
      <c r="D12" s="23">
        <f>D8*D10</f>
        <v>238.49167625610804</v>
      </c>
      <c r="E12" s="23">
        <f>E8*E10</f>
        <v>8.4169080397963825</v>
      </c>
      <c r="F12" s="23">
        <f>F8*F10</f>
        <v>861.99973923093103</v>
      </c>
      <c r="G12" s="23"/>
      <c r="H12" s="23"/>
      <c r="I12" s="23"/>
      <c r="J12" s="23">
        <f>J8*J10</f>
        <v>91.796058369333807</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0.13567621153559986</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130.29938421342803</v>
      </c>
      <c r="C26" s="244">
        <f>B26*'GWP N2O_CH4'!B5</f>
        <v>2736.2870684819886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35.075876912192896</v>
      </c>
      <c r="C27" s="244">
        <f>B27*'GWP N2O_CH4'!B5</f>
        <v>736.59341515605081</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1.7208034700440618</v>
      </c>
      <c r="C28" s="244">
        <f>B28*'GWP N2O_CH4'!B4</f>
        <v>533.44907571365911</v>
      </c>
      <c r="D28" s="50"/>
    </row>
    <row r="29" spans="1:4">
      <c r="A29" s="41" t="s">
        <v>265</v>
      </c>
      <c r="B29" s="244">
        <f>B34*'ha_N2O bodem landbouw'!B4</f>
        <v>11.659312038516465</v>
      </c>
      <c r="C29" s="244">
        <f>B29*'GWP N2O_CH4'!B4</f>
        <v>3614.3867319401038</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2.5566772088534465E-3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5.0219523183993244E-4</v>
      </c>
      <c r="C5" s="429" t="s">
        <v>204</v>
      </c>
      <c r="D5" s="414">
        <f>SUM(D6:D11)</f>
        <v>9.4164637953511891E-4</v>
      </c>
      <c r="E5" s="414">
        <f>SUM(E6:E11)</f>
        <v>8.0927598826220659E-4</v>
      </c>
      <c r="F5" s="427" t="s">
        <v>204</v>
      </c>
      <c r="G5" s="414">
        <f>SUM(G6:G11)</f>
        <v>0.33792687145268474</v>
      </c>
      <c r="H5" s="414">
        <f>SUM(H6:H11)</f>
        <v>9.0082485171052135E-2</v>
      </c>
      <c r="I5" s="429" t="s">
        <v>204</v>
      </c>
      <c r="J5" s="429" t="s">
        <v>204</v>
      </c>
      <c r="K5" s="429" t="s">
        <v>204</v>
      </c>
      <c r="L5" s="429" t="s">
        <v>204</v>
      </c>
      <c r="M5" s="414">
        <f>SUM(M6:M11)</f>
        <v>2.5443117046389855E-2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2.1464295487765142E-4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3.6415312250920187E-4</v>
      </c>
      <c r="E6" s="843">
        <f>vkm_GW_PW*SUMIFS(TableVerdeelsleutelVkm[LPG],TableVerdeelsleutelVkm[Voertuigtype],"Lichte voertuigen")*SUMIFS(TableECFTransport[EnergieConsumptieFactor (PJ per km)],TableECFTransport[Index],CONCATENATE($A6,"_LPG_LPG"))</f>
        <v>3.1528718910354096E-4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0.10071594770202581</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3.503781857273968E-2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8.1253294967665608E-3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1.3599992214781924E-6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5.1907198666729659E-2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8.272700764931738E-7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2.9920614670528932E-3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2.3519335962885005E-4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5.0870978467130405E-4</v>
      </c>
      <c r="E8" s="417">
        <f>vkm_NGW_PW*SUMIFS(TableVerdeelsleutelVkm[LPG],TableVerdeelsleutelVkm[Voertuigtype],"Lichte voertuigen")*SUMIFS(TableECFTransport[EnergieConsumptieFactor (PJ per km)],TableECFTransport[Index],CONCATENATE($A8,"_LPG_LPG"))</f>
        <v>4.2067137625042807E-4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0.12468381433437675</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4.8095118820289065E-2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1.0371419006781383E-2</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5.5392521302548159E-7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2.7179299517247384E-2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4.06701931956379E-7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1.5666814220371764E-3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5.0103746094354793E-5</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6.8783472354612966E-5</v>
      </c>
      <c r="E10" s="417">
        <f>vkm_SW_PW*SUMIFS(TableVerdeelsleutelVkm[LPG],TableVerdeelsleutelVkm[Voertuigtype],"Lichte voertuigen")*SUMIFS(TableECFTransport[EnergieConsumptieFactor (PJ per km)],TableECFTransport[Index],CONCATENATE($A10,"_LPG_LPG"))</f>
        <v>7.3317422908237512E-5</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2.1087585957677481E-2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6.9481001536578317E-3</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1.6755651008269995E-3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3.4124680457253542E-7</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1.235302527462769E-2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2.1365235711053074E-7</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7.1206055292484213E-4</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139.49867551109236</v>
      </c>
      <c r="C14" s="21"/>
      <c r="D14" s="21">
        <f t="shared" ref="D14:M14" si="0">((D5)*10^9/3600)+D12</f>
        <v>261.56843875975528</v>
      </c>
      <c r="E14" s="21">
        <f t="shared" si="0"/>
        <v>224.79888562839071</v>
      </c>
      <c r="F14" s="21"/>
      <c r="G14" s="21">
        <f t="shared" si="0"/>
        <v>93868.575403523544</v>
      </c>
      <c r="H14" s="21">
        <f t="shared" si="0"/>
        <v>25022.912547514479</v>
      </c>
      <c r="I14" s="21"/>
      <c r="J14" s="21"/>
      <c r="K14" s="21"/>
      <c r="L14" s="21"/>
      <c r="M14" s="21">
        <f t="shared" si="0"/>
        <v>7067.5325128860713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0.19598412368064072</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27.33952567465149</v>
      </c>
      <c r="C18" s="23"/>
      <c r="D18" s="23">
        <f t="shared" ref="D18:M18" si="1">D14*D16</f>
        <v>52.83682462947057</v>
      </c>
      <c r="E18" s="23">
        <f t="shared" si="1"/>
        <v>51.02934703764469</v>
      </c>
      <c r="F18" s="23"/>
      <c r="G18" s="23">
        <f t="shared" si="1"/>
        <v>25062.909632740786</v>
      </c>
      <c r="H18" s="23">
        <f t="shared" si="1"/>
        <v>6230.7052243311055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4.872923305883639E-5</v>
      </c>
      <c r="C50" s="313">
        <f t="shared" ref="C50:P50" si="2">SUM(C51:C52)</f>
        <v>0</v>
      </c>
      <c r="D50" s="313">
        <f t="shared" si="2"/>
        <v>0</v>
      </c>
      <c r="E50" s="313">
        <f t="shared" si="2"/>
        <v>0</v>
      </c>
      <c r="F50" s="313">
        <f t="shared" si="2"/>
        <v>0</v>
      </c>
      <c r="G50" s="313">
        <f t="shared" si="2"/>
        <v>3.5305063795036348E-3</v>
      </c>
      <c r="H50" s="313">
        <f t="shared" si="2"/>
        <v>0</v>
      </c>
      <c r="I50" s="313">
        <f t="shared" si="2"/>
        <v>0</v>
      </c>
      <c r="J50" s="313">
        <f t="shared" si="2"/>
        <v>0</v>
      </c>
      <c r="K50" s="313">
        <f t="shared" si="2"/>
        <v>0</v>
      </c>
      <c r="L50" s="313">
        <f t="shared" si="2"/>
        <v>0</v>
      </c>
      <c r="M50" s="313">
        <f t="shared" si="2"/>
        <v>1.9969595479051938E-4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4.872923305883639E-5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3.5305063795036348E-3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1.9969595479051938E-4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13.535898071898998</v>
      </c>
      <c r="C54" s="21">
        <f t="shared" ref="C54:P54" si="3">(C50)*10^9/3600</f>
        <v>0</v>
      </c>
      <c r="D54" s="21">
        <f t="shared" si="3"/>
        <v>0</v>
      </c>
      <c r="E54" s="21">
        <f t="shared" si="3"/>
        <v>0</v>
      </c>
      <c r="F54" s="21">
        <f t="shared" si="3"/>
        <v>0</v>
      </c>
      <c r="G54" s="21">
        <f t="shared" si="3"/>
        <v>980.69621652878743</v>
      </c>
      <c r="H54" s="21">
        <f t="shared" si="3"/>
        <v>0</v>
      </c>
      <c r="I54" s="21">
        <f t="shared" si="3"/>
        <v>0</v>
      </c>
      <c r="J54" s="21">
        <f t="shared" si="3"/>
        <v>0</v>
      </c>
      <c r="K54" s="21">
        <f t="shared" si="3"/>
        <v>0</v>
      </c>
      <c r="L54" s="21">
        <f t="shared" si="3"/>
        <v>0</v>
      </c>
      <c r="M54" s="21">
        <f t="shared" si="3"/>
        <v>55.471098552922051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0.19598412368064072</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2.6528211218515994</v>
      </c>
      <c r="C58" s="23">
        <f t="shared" ref="C58:P58" ca="1" si="4">C54*C56</f>
        <v>0</v>
      </c>
      <c r="D58" s="23">
        <f t="shared" si="4"/>
        <v>0</v>
      </c>
      <c r="E58" s="23">
        <f t="shared" si="4"/>
        <v>0</v>
      </c>
      <c r="F58" s="23">
        <f t="shared" si="4"/>
        <v>0</v>
      </c>
      <c r="G58" s="23">
        <f t="shared" si="4"/>
        <v>261.84588981318626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7197.2222159753373</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90</v>
      </c>
      <c r="C8" s="539">
        <f>B48</f>
        <v>105.88235294117648</v>
      </c>
      <c r="D8" s="540"/>
      <c r="E8" s="540">
        <f>E48</f>
        <v>0</v>
      </c>
      <c r="F8" s="541"/>
      <c r="G8" s="542"/>
      <c r="H8" s="540">
        <f>I48</f>
        <v>0</v>
      </c>
      <c r="I8" s="540">
        <f>G48+F48</f>
        <v>0</v>
      </c>
      <c r="J8" s="540">
        <f>H48+D48+C48</f>
        <v>0</v>
      </c>
      <c r="K8" s="540"/>
      <c r="L8" s="540"/>
      <c r="M8" s="540"/>
      <c r="N8" s="543"/>
      <c r="O8" s="544">
        <f>C8*$C$12+D8*$D$12+E8*$E$12+F8*$F$12+G8*$G$12+H8*$H$12+I8*$I$12+J8*$J$12</f>
        <v>21.388235294117649</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7287.2222159753373</v>
      </c>
      <c r="C10" s="554">
        <f t="shared" ref="C10:L10" si="0">SUM(C8:C9)</f>
        <v>105.88235294117648</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21.388235294117649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128.57142857142858</v>
      </c>
      <c r="C17" s="570">
        <f>B49</f>
        <v>151.2605042016807</v>
      </c>
      <c r="D17" s="571"/>
      <c r="E17" s="571">
        <f>E49</f>
        <v>0</v>
      </c>
      <c r="F17" s="572"/>
      <c r="G17" s="573"/>
      <c r="H17" s="570">
        <f>I49</f>
        <v>0</v>
      </c>
      <c r="I17" s="571">
        <f>G49+F49</f>
        <v>0</v>
      </c>
      <c r="J17" s="571">
        <f>H49+D49+C49</f>
        <v>0</v>
      </c>
      <c r="K17" s="571"/>
      <c r="L17" s="571"/>
      <c r="M17" s="571"/>
      <c r="N17" s="924"/>
      <c r="O17" s="574">
        <f>C17*$C$22+E17*$E$22+H17*$H$22+I17*$I$22+J17*$J$22+D17*$D$22+F17*$F$22+G17*$G$22+K17*$K$22+L17*$L$22</f>
        <v>30.554621848739504</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128.57142857142858</v>
      </c>
      <c r="C20" s="553">
        <f>SUM(C17:C19)</f>
        <v>151.2605042016807</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30.554621848739504</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63.75" hidden="1">
      <c r="A28" s="583"/>
      <c r="B28" s="745">
        <v>24134</v>
      </c>
      <c r="C28" s="745">
        <v>3271</v>
      </c>
      <c r="D28" s="631"/>
      <c r="E28" s="630"/>
      <c r="F28" s="630"/>
      <c r="G28" s="630" t="s">
        <v>883</v>
      </c>
      <c r="H28" s="630" t="s">
        <v>884</v>
      </c>
      <c r="I28" s="630"/>
      <c r="J28" s="744"/>
      <c r="K28" s="744"/>
      <c r="L28" s="630" t="s">
        <v>885</v>
      </c>
      <c r="M28" s="630">
        <v>20</v>
      </c>
      <c r="N28" s="630">
        <v>90</v>
      </c>
      <c r="O28" s="630">
        <v>128.57142857142858</v>
      </c>
      <c r="P28" s="630">
        <v>257.14285714285717</v>
      </c>
      <c r="Q28" s="630">
        <v>0</v>
      </c>
      <c r="R28" s="630">
        <v>0</v>
      </c>
      <c r="S28" s="630">
        <v>0</v>
      </c>
      <c r="T28" s="630">
        <v>0</v>
      </c>
      <c r="U28" s="630">
        <v>0</v>
      </c>
      <c r="V28" s="630">
        <v>0</v>
      </c>
      <c r="W28" s="630">
        <v>0</v>
      </c>
      <c r="X28" s="630"/>
      <c r="Y28" s="630">
        <v>1600</v>
      </c>
      <c r="Z28" s="630" t="s">
        <v>49</v>
      </c>
      <c r="AA28" s="632" t="s">
        <v>149</v>
      </c>
    </row>
    <row r="29" spans="1:27" s="564" customFormat="1" hidden="1">
      <c r="A29" s="586" t="s">
        <v>268</v>
      </c>
      <c r="B29" s="587"/>
      <c r="C29" s="587"/>
      <c r="D29" s="587"/>
      <c r="E29" s="587"/>
      <c r="F29" s="587"/>
      <c r="G29" s="587"/>
      <c r="H29" s="587"/>
      <c r="I29" s="587"/>
      <c r="J29" s="587"/>
      <c r="K29" s="587"/>
      <c r="L29" s="588"/>
      <c r="M29" s="588">
        <f>SUM(M28:M28)</f>
        <v>20</v>
      </c>
      <c r="N29" s="588">
        <f>SUM(N28:N28)</f>
        <v>90</v>
      </c>
      <c r="O29" s="588">
        <f>SUM(O28:O28)</f>
        <v>128.57142857142858</v>
      </c>
      <c r="P29" s="588">
        <f>SUM(P28:P28)</f>
        <v>257.14285714285717</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20</v>
      </c>
      <c r="N31" s="588">
        <f ca="1">SUMIF($AA$28:AE28,"tertiair",N28:N28)</f>
        <v>90</v>
      </c>
      <c r="O31" s="588">
        <f ca="1">SUMIF($AA$28:AF28,"tertiair",O28:O28)</f>
        <v>128.57142857142858</v>
      </c>
      <c r="P31" s="588">
        <f ca="1">SUMIF($AA$28:AG28,"tertiair",P28:P28)</f>
        <v>257.14285714285717</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105.88235294117648</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151.2605042016807</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18349.971881999998</v>
      </c>
      <c r="D10" s="641">
        <f ca="1">tertiair!C16</f>
        <v>128.57142857142858</v>
      </c>
      <c r="E10" s="641">
        <f ca="1">tertiair!D16</f>
        <v>17525.642066981141</v>
      </c>
      <c r="F10" s="641">
        <f>tertiair!E16</f>
        <v>53.872925544512555</v>
      </c>
      <c r="G10" s="641">
        <f ca="1">tertiair!F16</f>
        <v>3999.4654612863237</v>
      </c>
      <c r="H10" s="641">
        <f>tertiair!G16</f>
        <v>0</v>
      </c>
      <c r="I10" s="641">
        <f>tertiair!H16</f>
        <v>0</v>
      </c>
      <c r="J10" s="641">
        <f>tertiair!I16</f>
        <v>0</v>
      </c>
      <c r="K10" s="641">
        <f>tertiair!J16</f>
        <v>3.4100807418769814E-2</v>
      </c>
      <c r="L10" s="641">
        <f>tertiair!K16</f>
        <v>0</v>
      </c>
      <c r="M10" s="641">
        <f ca="1">tertiair!L16</f>
        <v>0</v>
      </c>
      <c r="N10" s="641">
        <f>tertiair!M16</f>
        <v>0</v>
      </c>
      <c r="O10" s="641">
        <f ca="1">tertiair!N16</f>
        <v>1264.3440163775576</v>
      </c>
      <c r="P10" s="641">
        <f>tertiair!O16</f>
        <v>9.7945215316823084</v>
      </c>
      <c r="Q10" s="642">
        <f>tertiair!P16</f>
        <v>157.61741491948504</v>
      </c>
      <c r="R10" s="644">
        <f ca="1">SUM(C10:Q10)</f>
        <v>41489.313818019546</v>
      </c>
      <c r="S10" s="67"/>
    </row>
    <row r="11" spans="1:19" s="440" customFormat="1">
      <c r="A11" s="761" t="s">
        <v>213</v>
      </c>
      <c r="B11" s="766"/>
      <c r="C11" s="641">
        <f>huishoudens!B8</f>
        <v>40920.753057728783</v>
      </c>
      <c r="D11" s="641">
        <f>huishoudens!C8</f>
        <v>0</v>
      </c>
      <c r="E11" s="641">
        <f>huishoudens!D8</f>
        <v>55853.891148000002</v>
      </c>
      <c r="F11" s="641">
        <f>huishoudens!E8</f>
        <v>4253.803236599857</v>
      </c>
      <c r="G11" s="641">
        <f>huishoudens!F8</f>
        <v>81861.45765288375</v>
      </c>
      <c r="H11" s="641">
        <f>huishoudens!G8</f>
        <v>0</v>
      </c>
      <c r="I11" s="641">
        <f>huishoudens!H8</f>
        <v>0</v>
      </c>
      <c r="J11" s="641">
        <f>huishoudens!I8</f>
        <v>0</v>
      </c>
      <c r="K11" s="641">
        <f>huishoudens!J8</f>
        <v>418.89379185518504</v>
      </c>
      <c r="L11" s="641">
        <f>huishoudens!K8</f>
        <v>0</v>
      </c>
      <c r="M11" s="641">
        <f>huishoudens!L8</f>
        <v>0</v>
      </c>
      <c r="N11" s="641">
        <f>huishoudens!M8</f>
        <v>0</v>
      </c>
      <c r="O11" s="641">
        <f>huishoudens!N8</f>
        <v>15441.00958067065</v>
      </c>
      <c r="P11" s="641">
        <f>huishoudens!O8</f>
        <v>523.76496991817646</v>
      </c>
      <c r="Q11" s="642">
        <f>huishoudens!P8</f>
        <v>948.05633769165206</v>
      </c>
      <c r="R11" s="644">
        <f>SUM(C11:Q11)</f>
        <v>200221.62977534806</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2318.1509509999996</v>
      </c>
      <c r="D13" s="641">
        <f>industrie!C18</f>
        <v>0</v>
      </c>
      <c r="E13" s="641">
        <f>industrie!D18</f>
        <v>1313.8267533600001</v>
      </c>
      <c r="F13" s="641">
        <f>industrie!E18</f>
        <v>45.216951535634799</v>
      </c>
      <c r="G13" s="641">
        <f>industrie!F18</f>
        <v>596.15120733459435</v>
      </c>
      <c r="H13" s="641">
        <f>industrie!G18</f>
        <v>0</v>
      </c>
      <c r="I13" s="641">
        <f>industrie!H18</f>
        <v>0</v>
      </c>
      <c r="J13" s="641">
        <f>industrie!I18</f>
        <v>0</v>
      </c>
      <c r="K13" s="641">
        <f>industrie!J18</f>
        <v>3.485365371555829</v>
      </c>
      <c r="L13" s="641">
        <f>industrie!K18</f>
        <v>0</v>
      </c>
      <c r="M13" s="641">
        <f>industrie!L18</f>
        <v>0</v>
      </c>
      <c r="N13" s="641">
        <f>industrie!M18</f>
        <v>0</v>
      </c>
      <c r="O13" s="641">
        <f>industrie!N18</f>
        <v>102.91256433302047</v>
      </c>
      <c r="P13" s="641">
        <f>industrie!O18</f>
        <v>0</v>
      </c>
      <c r="Q13" s="642">
        <f>industrie!P18</f>
        <v>0</v>
      </c>
      <c r="R13" s="644">
        <f>SUM(C13:Q13)</f>
        <v>4379.7437929348052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61588.875890728785</v>
      </c>
      <c r="D16" s="677">
        <f t="shared" ref="D16:R16" ca="1" si="0">SUM(D9:D15)</f>
        <v>128.57142857142858</v>
      </c>
      <c r="E16" s="677">
        <f t="shared" ca="1" si="0"/>
        <v>74693.359968341145</v>
      </c>
      <c r="F16" s="677">
        <f t="shared" si="0"/>
        <v>4352.8931136800038</v>
      </c>
      <c r="G16" s="677">
        <f t="shared" ca="1" si="0"/>
        <v>86457.074321504668</v>
      </c>
      <c r="H16" s="677">
        <f t="shared" si="0"/>
        <v>0</v>
      </c>
      <c r="I16" s="677">
        <f t="shared" si="0"/>
        <v>0</v>
      </c>
      <c r="J16" s="677">
        <f t="shared" si="0"/>
        <v>0</v>
      </c>
      <c r="K16" s="677">
        <f t="shared" si="0"/>
        <v>422.41325803415964</v>
      </c>
      <c r="L16" s="677">
        <f t="shared" si="0"/>
        <v>0</v>
      </c>
      <c r="M16" s="677">
        <f t="shared" ca="1" si="0"/>
        <v>0</v>
      </c>
      <c r="N16" s="677">
        <f t="shared" si="0"/>
        <v>0</v>
      </c>
      <c r="O16" s="677">
        <f t="shared" ca="1" si="0"/>
        <v>16808.266161381227</v>
      </c>
      <c r="P16" s="677">
        <f t="shared" si="0"/>
        <v>533.5594914498588</v>
      </c>
      <c r="Q16" s="677">
        <f t="shared" si="0"/>
        <v>1105.6737526111372</v>
      </c>
      <c r="R16" s="677">
        <f t="shared" ca="1" si="0"/>
        <v>246090.68738630242</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13.535898071898998</v>
      </c>
      <c r="D19" s="641">
        <f>transport!C54</f>
        <v>0</v>
      </c>
      <c r="E19" s="641">
        <f>transport!D54</f>
        <v>0</v>
      </c>
      <c r="F19" s="641">
        <f>transport!E54</f>
        <v>0</v>
      </c>
      <c r="G19" s="641">
        <f>transport!F54</f>
        <v>0</v>
      </c>
      <c r="H19" s="641">
        <f>transport!G54</f>
        <v>980.69621652878743</v>
      </c>
      <c r="I19" s="641">
        <f>transport!H54</f>
        <v>0</v>
      </c>
      <c r="J19" s="641">
        <f>transport!I54</f>
        <v>0</v>
      </c>
      <c r="K19" s="641">
        <f>transport!J54</f>
        <v>0</v>
      </c>
      <c r="L19" s="641">
        <f>transport!K54</f>
        <v>0</v>
      </c>
      <c r="M19" s="641">
        <f>transport!L54</f>
        <v>0</v>
      </c>
      <c r="N19" s="641">
        <f>transport!M54</f>
        <v>55.471098552922051</v>
      </c>
      <c r="O19" s="641">
        <f>transport!N54</f>
        <v>0</v>
      </c>
      <c r="P19" s="641">
        <f>transport!O54</f>
        <v>0</v>
      </c>
      <c r="Q19" s="642">
        <f>transport!P54</f>
        <v>0</v>
      </c>
      <c r="R19" s="644">
        <f>SUM(C19:Q19)</f>
        <v>1049.7032131536084</v>
      </c>
      <c r="S19" s="67"/>
    </row>
    <row r="20" spans="1:19" s="440" customFormat="1">
      <c r="A20" s="761" t="s">
        <v>295</v>
      </c>
      <c r="B20" s="766"/>
      <c r="C20" s="641">
        <f>transport!B14</f>
        <v>139.49867551109236</v>
      </c>
      <c r="D20" s="641">
        <f>transport!C14</f>
        <v>0</v>
      </c>
      <c r="E20" s="641">
        <f>transport!D14</f>
        <v>261.56843875975528</v>
      </c>
      <c r="F20" s="641">
        <f>transport!E14</f>
        <v>224.79888562839071</v>
      </c>
      <c r="G20" s="641">
        <f>transport!F14</f>
        <v>0</v>
      </c>
      <c r="H20" s="641">
        <f>transport!G14</f>
        <v>93868.575403523544</v>
      </c>
      <c r="I20" s="641">
        <f>transport!H14</f>
        <v>25022.912547514479</v>
      </c>
      <c r="J20" s="641">
        <f>transport!I14</f>
        <v>0</v>
      </c>
      <c r="K20" s="641">
        <f>transport!J14</f>
        <v>0</v>
      </c>
      <c r="L20" s="641">
        <f>transport!K14</f>
        <v>0</v>
      </c>
      <c r="M20" s="641">
        <f>transport!L14</f>
        <v>0</v>
      </c>
      <c r="N20" s="641">
        <f>transport!M14</f>
        <v>7067.5325128860713</v>
      </c>
      <c r="O20" s="641">
        <f>transport!N14</f>
        <v>0</v>
      </c>
      <c r="P20" s="641">
        <f>transport!O14</f>
        <v>0</v>
      </c>
      <c r="Q20" s="642">
        <f>transport!P14</f>
        <v>0</v>
      </c>
      <c r="R20" s="644">
        <f>SUM(C20:Q20)</f>
        <v>126584.88646382334</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153.03457358299136</v>
      </c>
      <c r="D22" s="764">
        <f t="shared" ref="D22:R22" si="1">SUM(D18:D21)</f>
        <v>0</v>
      </c>
      <c r="E22" s="764">
        <f t="shared" si="1"/>
        <v>261.56843875975528</v>
      </c>
      <c r="F22" s="764">
        <f t="shared" si="1"/>
        <v>224.79888562839071</v>
      </c>
      <c r="G22" s="764">
        <f t="shared" si="1"/>
        <v>0</v>
      </c>
      <c r="H22" s="764">
        <f t="shared" si="1"/>
        <v>94849.271620052328</v>
      </c>
      <c r="I22" s="764">
        <f t="shared" si="1"/>
        <v>25022.912547514479</v>
      </c>
      <c r="J22" s="764">
        <f t="shared" si="1"/>
        <v>0</v>
      </c>
      <c r="K22" s="764">
        <f t="shared" si="1"/>
        <v>0</v>
      </c>
      <c r="L22" s="764">
        <f t="shared" si="1"/>
        <v>0</v>
      </c>
      <c r="M22" s="764">
        <f t="shared" si="1"/>
        <v>0</v>
      </c>
      <c r="N22" s="764">
        <f t="shared" si="1"/>
        <v>7123.0036114389932</v>
      </c>
      <c r="O22" s="764">
        <f t="shared" si="1"/>
        <v>0</v>
      </c>
      <c r="P22" s="764">
        <f t="shared" si="1"/>
        <v>0</v>
      </c>
      <c r="Q22" s="764">
        <f t="shared" si="1"/>
        <v>0</v>
      </c>
      <c r="R22" s="764">
        <f t="shared" si="1"/>
        <v>127634.58967697695</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912.67856600000005</v>
      </c>
      <c r="D24" s="641">
        <f>+landbouw!C8</f>
        <v>0</v>
      </c>
      <c r="E24" s="641">
        <f>+landbouw!D8</f>
        <v>1180.6518626540001</v>
      </c>
      <c r="F24" s="641">
        <f>+landbouw!E8</f>
        <v>37.078890043155866</v>
      </c>
      <c r="G24" s="641">
        <f>+landbouw!F8</f>
        <v>3228.4634428124755</v>
      </c>
      <c r="H24" s="641">
        <f>+landbouw!G8</f>
        <v>0</v>
      </c>
      <c r="I24" s="641">
        <f>+landbouw!H8</f>
        <v>0</v>
      </c>
      <c r="J24" s="641">
        <f>+landbouw!I8</f>
        <v>0</v>
      </c>
      <c r="K24" s="641">
        <f>+landbouw!J8</f>
        <v>259.3108993484006</v>
      </c>
      <c r="L24" s="641">
        <f>+landbouw!K8</f>
        <v>0</v>
      </c>
      <c r="M24" s="641">
        <f>+landbouw!L8</f>
        <v>0</v>
      </c>
      <c r="N24" s="641">
        <f>+landbouw!M8</f>
        <v>0</v>
      </c>
      <c r="O24" s="641">
        <f>+landbouw!N8</f>
        <v>0</v>
      </c>
      <c r="P24" s="641">
        <f>+landbouw!O8</f>
        <v>0</v>
      </c>
      <c r="Q24" s="642">
        <f>+landbouw!P8</f>
        <v>0</v>
      </c>
      <c r="R24" s="644">
        <f>SUM(C24:Q24)</f>
        <v>5618.1836608580315</v>
      </c>
      <c r="S24" s="67"/>
    </row>
    <row r="25" spans="1:19" s="440" customFormat="1" ht="15" thickBot="1">
      <c r="A25" s="783" t="s">
        <v>683</v>
      </c>
      <c r="B25" s="901"/>
      <c r="C25" s="902">
        <f>IF(Onbekend_ele_kWh="---",0,Onbekend_ele_kWh)/1000+IF(REST_rest_ele_kWh="---",0,REST_rest_ele_kWh)/1000</f>
        <v>868.58537899999999</v>
      </c>
      <c r="D25" s="902"/>
      <c r="E25" s="902">
        <f>IF(onbekend_gas_kWh="---",0,onbekend_gas_kWh)/1000+IF(REST_rest_gas_kWh="---",0,REST_rest_gas_kWh)/1000</f>
        <v>1392.2551149999999</v>
      </c>
      <c r="F25" s="902"/>
      <c r="G25" s="902"/>
      <c r="H25" s="902"/>
      <c r="I25" s="902"/>
      <c r="J25" s="902"/>
      <c r="K25" s="902"/>
      <c r="L25" s="902"/>
      <c r="M25" s="902"/>
      <c r="N25" s="902"/>
      <c r="O25" s="902"/>
      <c r="P25" s="902"/>
      <c r="Q25" s="903"/>
      <c r="R25" s="644">
        <f>SUM(C25:Q25)</f>
        <v>2260.840494</v>
      </c>
      <c r="S25" s="67"/>
    </row>
    <row r="26" spans="1:19" s="440" customFormat="1" ht="15.75" thickBot="1">
      <c r="A26" s="649" t="s">
        <v>684</v>
      </c>
      <c r="B26" s="769"/>
      <c r="C26" s="764">
        <f>SUM(C24:C25)</f>
        <v>1781.2639450000001</v>
      </c>
      <c r="D26" s="764">
        <f t="shared" ref="D26:R26" si="2">SUM(D24:D25)</f>
        <v>0</v>
      </c>
      <c r="E26" s="764">
        <f t="shared" si="2"/>
        <v>2572.906977654</v>
      </c>
      <c r="F26" s="764">
        <f t="shared" si="2"/>
        <v>37.078890043155866</v>
      </c>
      <c r="G26" s="764">
        <f t="shared" si="2"/>
        <v>3228.4634428124755</v>
      </c>
      <c r="H26" s="764">
        <f t="shared" si="2"/>
        <v>0</v>
      </c>
      <c r="I26" s="764">
        <f t="shared" si="2"/>
        <v>0</v>
      </c>
      <c r="J26" s="764">
        <f t="shared" si="2"/>
        <v>0</v>
      </c>
      <c r="K26" s="764">
        <f t="shared" si="2"/>
        <v>259.3108993484006</v>
      </c>
      <c r="L26" s="764">
        <f t="shared" si="2"/>
        <v>0</v>
      </c>
      <c r="M26" s="764">
        <f t="shared" si="2"/>
        <v>0</v>
      </c>
      <c r="N26" s="764">
        <f t="shared" si="2"/>
        <v>0</v>
      </c>
      <c r="O26" s="764">
        <f t="shared" si="2"/>
        <v>0</v>
      </c>
      <c r="P26" s="764">
        <f t="shared" si="2"/>
        <v>0</v>
      </c>
      <c r="Q26" s="764">
        <f t="shared" si="2"/>
        <v>0</v>
      </c>
      <c r="R26" s="764">
        <f t="shared" si="2"/>
        <v>7879.0241548580316</v>
      </c>
      <c r="S26" s="67"/>
    </row>
    <row r="27" spans="1:19" s="440" customFormat="1" ht="17.25" thickTop="1" thickBot="1">
      <c r="A27" s="650" t="s">
        <v>109</v>
      </c>
      <c r="B27" s="756"/>
      <c r="C27" s="651">
        <f ca="1">C22+C16+C26</f>
        <v>63523.174409311774</v>
      </c>
      <c r="D27" s="651">
        <f t="shared" ref="D27:R27" ca="1" si="3">D22+D16+D26</f>
        <v>128.57142857142858</v>
      </c>
      <c r="E27" s="651">
        <f t="shared" ca="1" si="3"/>
        <v>77527.835384754901</v>
      </c>
      <c r="F27" s="651">
        <f t="shared" si="3"/>
        <v>4614.770889351551</v>
      </c>
      <c r="G27" s="651">
        <f t="shared" ca="1" si="3"/>
        <v>89685.537764317138</v>
      </c>
      <c r="H27" s="651">
        <f t="shared" si="3"/>
        <v>94849.271620052328</v>
      </c>
      <c r="I27" s="651">
        <f t="shared" si="3"/>
        <v>25022.912547514479</v>
      </c>
      <c r="J27" s="651">
        <f t="shared" si="3"/>
        <v>0</v>
      </c>
      <c r="K27" s="651">
        <f t="shared" si="3"/>
        <v>681.72415738256018</v>
      </c>
      <c r="L27" s="651">
        <f t="shared" si="3"/>
        <v>0</v>
      </c>
      <c r="M27" s="651">
        <f t="shared" ca="1" si="3"/>
        <v>0</v>
      </c>
      <c r="N27" s="651">
        <f t="shared" si="3"/>
        <v>7123.0036114389932</v>
      </c>
      <c r="O27" s="651">
        <f t="shared" ca="1" si="3"/>
        <v>16808.266161381227</v>
      </c>
      <c r="P27" s="651">
        <f t="shared" si="3"/>
        <v>533.5594914498588</v>
      </c>
      <c r="Q27" s="651">
        <f t="shared" si="3"/>
        <v>1105.6737526111372</v>
      </c>
      <c r="R27" s="651">
        <f t="shared" ca="1" si="3"/>
        <v>381604.30121813738</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3596.3031588581675</v>
      </c>
      <c r="D40" s="641">
        <f ca="1">tertiair!C20</f>
        <v>30.554621848739504</v>
      </c>
      <c r="E40" s="641">
        <f ca="1">tertiair!D20</f>
        <v>3540.1796975301909</v>
      </c>
      <c r="F40" s="641">
        <f>tertiair!E20</f>
        <v>12.229154098604351</v>
      </c>
      <c r="G40" s="641">
        <f ca="1">tertiair!F20</f>
        <v>1067.8572781634484</v>
      </c>
      <c r="H40" s="641">
        <f>tertiair!G20</f>
        <v>0</v>
      </c>
      <c r="I40" s="641">
        <f>tertiair!H20</f>
        <v>0</v>
      </c>
      <c r="J40" s="641">
        <f>tertiair!I20</f>
        <v>0</v>
      </c>
      <c r="K40" s="641">
        <f>tertiair!J20</f>
        <v>1.2071685826244514E-2</v>
      </c>
      <c r="L40" s="641">
        <f>tertiair!K20</f>
        <v>0</v>
      </c>
      <c r="M40" s="641">
        <f ca="1">tertiair!L20</f>
        <v>0</v>
      </c>
      <c r="N40" s="641">
        <f>tertiair!M20</f>
        <v>0</v>
      </c>
      <c r="O40" s="641">
        <f ca="1">tertiair!N20</f>
        <v>0</v>
      </c>
      <c r="P40" s="641">
        <f>tertiair!O20</f>
        <v>0</v>
      </c>
      <c r="Q40" s="724">
        <f>tertiair!P20</f>
        <v>0</v>
      </c>
      <c r="R40" s="802">
        <f t="shared" ca="1" si="4"/>
        <v>8247.1359821849765</v>
      </c>
    </row>
    <row r="41" spans="1:18">
      <c r="A41" s="774" t="s">
        <v>213</v>
      </c>
      <c r="B41" s="781"/>
      <c r="C41" s="641">
        <f ca="1">huishoudens!B12</f>
        <v>8019.8179283708751</v>
      </c>
      <c r="D41" s="641">
        <f ca="1">huishoudens!C12</f>
        <v>0</v>
      </c>
      <c r="E41" s="641">
        <f>huishoudens!D12</f>
        <v>11282.486011896</v>
      </c>
      <c r="F41" s="641">
        <f>huishoudens!E12</f>
        <v>965.6133347081676</v>
      </c>
      <c r="G41" s="641">
        <f>huishoudens!F12</f>
        <v>21857.009193319962</v>
      </c>
      <c r="H41" s="641">
        <f>huishoudens!G12</f>
        <v>0</v>
      </c>
      <c r="I41" s="641">
        <f>huishoudens!H12</f>
        <v>0</v>
      </c>
      <c r="J41" s="641">
        <f>huishoudens!I12</f>
        <v>0</v>
      </c>
      <c r="K41" s="641">
        <f>huishoudens!J12</f>
        <v>148.2884023167355</v>
      </c>
      <c r="L41" s="641">
        <f>huishoudens!K12</f>
        <v>0</v>
      </c>
      <c r="M41" s="641">
        <f>huishoudens!L12</f>
        <v>0</v>
      </c>
      <c r="N41" s="641">
        <f>huishoudens!M12</f>
        <v>0</v>
      </c>
      <c r="O41" s="641">
        <f>huishoudens!N12</f>
        <v>0</v>
      </c>
      <c r="P41" s="641">
        <f>huishoudens!O12</f>
        <v>0</v>
      </c>
      <c r="Q41" s="724">
        <f>huishoudens!P12</f>
        <v>0</v>
      </c>
      <c r="R41" s="802">
        <f t="shared" ca="1" si="4"/>
        <v>42273.214870611737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454.32078269117881</v>
      </c>
      <c r="D43" s="641">
        <f ca="1">industrie!C22</f>
        <v>0</v>
      </c>
      <c r="E43" s="641">
        <f>industrie!D22</f>
        <v>265.39300417872005</v>
      </c>
      <c r="F43" s="641">
        <f>industrie!E22</f>
        <v>10.2642479985891</v>
      </c>
      <c r="G43" s="641">
        <f>industrie!F22</f>
        <v>159.1723723583367</v>
      </c>
      <c r="H43" s="641">
        <f>industrie!G22</f>
        <v>0</v>
      </c>
      <c r="I43" s="641">
        <f>industrie!H22</f>
        <v>0</v>
      </c>
      <c r="J43" s="641">
        <f>industrie!I22</f>
        <v>0</v>
      </c>
      <c r="K43" s="641">
        <f>industrie!J22</f>
        <v>1.2338193415307634</v>
      </c>
      <c r="L43" s="641">
        <f>industrie!K22</f>
        <v>0</v>
      </c>
      <c r="M43" s="641">
        <f>industrie!L22</f>
        <v>0</v>
      </c>
      <c r="N43" s="641">
        <f>industrie!M22</f>
        <v>0</v>
      </c>
      <c r="O43" s="641">
        <f>industrie!N22</f>
        <v>0</v>
      </c>
      <c r="P43" s="641">
        <f>industrie!O22</f>
        <v>0</v>
      </c>
      <c r="Q43" s="724">
        <f>industrie!P22</f>
        <v>0</v>
      </c>
      <c r="R43" s="801">
        <f t="shared" ca="1" si="4"/>
        <v>890.38422656835542</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12070.441869920222</v>
      </c>
      <c r="D46" s="677">
        <f t="shared" ref="D46:Q46" ca="1" si="5">SUM(D39:D45)</f>
        <v>30.554621848739504</v>
      </c>
      <c r="E46" s="677">
        <f t="shared" ca="1" si="5"/>
        <v>15088.058713604913</v>
      </c>
      <c r="F46" s="677">
        <f t="shared" si="5"/>
        <v>988.10673680536104</v>
      </c>
      <c r="G46" s="677">
        <f t="shared" ca="1" si="5"/>
        <v>23084.038843841747</v>
      </c>
      <c r="H46" s="677">
        <f t="shared" si="5"/>
        <v>0</v>
      </c>
      <c r="I46" s="677">
        <f t="shared" si="5"/>
        <v>0</v>
      </c>
      <c r="J46" s="677">
        <f t="shared" si="5"/>
        <v>0</v>
      </c>
      <c r="K46" s="677">
        <f t="shared" si="5"/>
        <v>149.5342933440925</v>
      </c>
      <c r="L46" s="677">
        <f t="shared" si="5"/>
        <v>0</v>
      </c>
      <c r="M46" s="677">
        <f t="shared" ca="1" si="5"/>
        <v>0</v>
      </c>
      <c r="N46" s="677">
        <f t="shared" si="5"/>
        <v>0</v>
      </c>
      <c r="O46" s="677">
        <f t="shared" ca="1" si="5"/>
        <v>0</v>
      </c>
      <c r="P46" s="677">
        <f t="shared" si="5"/>
        <v>0</v>
      </c>
      <c r="Q46" s="677">
        <f t="shared" si="5"/>
        <v>0</v>
      </c>
      <c r="R46" s="677">
        <f ca="1">SUM(R39:R45)</f>
        <v>51410.735079365069</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2.6528211218515994</v>
      </c>
      <c r="D49" s="641">
        <f ca="1">transport!C58</f>
        <v>0</v>
      </c>
      <c r="E49" s="641">
        <f>transport!D58</f>
        <v>0</v>
      </c>
      <c r="F49" s="641">
        <f>transport!E58</f>
        <v>0</v>
      </c>
      <c r="G49" s="641">
        <f>transport!F58</f>
        <v>0</v>
      </c>
      <c r="H49" s="641">
        <f>transport!G58</f>
        <v>261.84588981318626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264.49871093503788</v>
      </c>
    </row>
    <row r="50" spans="1:18">
      <c r="A50" s="777" t="s">
        <v>295</v>
      </c>
      <c r="B50" s="787"/>
      <c r="C50" s="647">
        <f ca="1">transport!B18</f>
        <v>27.33952567465149</v>
      </c>
      <c r="D50" s="647">
        <f>transport!C18</f>
        <v>0</v>
      </c>
      <c r="E50" s="647">
        <f>transport!D18</f>
        <v>52.83682462947057</v>
      </c>
      <c r="F50" s="647">
        <f>transport!E18</f>
        <v>51.02934703764469</v>
      </c>
      <c r="G50" s="647">
        <f>transport!F18</f>
        <v>0</v>
      </c>
      <c r="H50" s="647">
        <f>transport!G18</f>
        <v>25062.909632740786</v>
      </c>
      <c r="I50" s="647">
        <f>transport!H18</f>
        <v>6230.7052243311055</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31424.820554413658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29.992346796503089</v>
      </c>
      <c r="D52" s="677">
        <f t="shared" ref="D52:Q52" ca="1" si="6">SUM(D48:D51)</f>
        <v>0</v>
      </c>
      <c r="E52" s="677">
        <f t="shared" si="6"/>
        <v>52.83682462947057</v>
      </c>
      <c r="F52" s="677">
        <f t="shared" si="6"/>
        <v>51.02934703764469</v>
      </c>
      <c r="G52" s="677">
        <f t="shared" si="6"/>
        <v>0</v>
      </c>
      <c r="H52" s="677">
        <f t="shared" si="6"/>
        <v>25324.755522553973</v>
      </c>
      <c r="I52" s="677">
        <f t="shared" si="6"/>
        <v>6230.7052243311055</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31689.319265348695</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178.87050895961383</v>
      </c>
      <c r="D54" s="647">
        <f ca="1">+landbouw!C12</f>
        <v>0</v>
      </c>
      <c r="E54" s="647">
        <f>+landbouw!D12</f>
        <v>238.49167625610804</v>
      </c>
      <c r="F54" s="647">
        <f>+landbouw!E12</f>
        <v>8.4169080397963825</v>
      </c>
      <c r="G54" s="647">
        <f>+landbouw!F12</f>
        <v>861.99973923093103</v>
      </c>
      <c r="H54" s="647">
        <f>+landbouw!G12</f>
        <v>0</v>
      </c>
      <c r="I54" s="647">
        <f>+landbouw!H12</f>
        <v>0</v>
      </c>
      <c r="J54" s="647">
        <f>+landbouw!I12</f>
        <v>0</v>
      </c>
      <c r="K54" s="647">
        <f>+landbouw!J12</f>
        <v>91.796058369333807</v>
      </c>
      <c r="L54" s="647">
        <f>+landbouw!K12</f>
        <v>0</v>
      </c>
      <c r="M54" s="647">
        <f>+landbouw!L12</f>
        <v>0</v>
      </c>
      <c r="N54" s="647">
        <f>+landbouw!M12</f>
        <v>0</v>
      </c>
      <c r="O54" s="647">
        <f>+landbouw!N12</f>
        <v>0</v>
      </c>
      <c r="P54" s="647">
        <f>+landbouw!O12</f>
        <v>0</v>
      </c>
      <c r="Q54" s="648">
        <f>+landbouw!P12</f>
        <v>0</v>
      </c>
      <c r="R54" s="676">
        <f ca="1">SUM(C54:Q54)</f>
        <v>1379.5748908557832</v>
      </c>
    </row>
    <row r="55" spans="1:18" ht="15" thickBot="1">
      <c r="A55" s="777" t="s">
        <v>683</v>
      </c>
      <c r="B55" s="787"/>
      <c r="C55" s="647">
        <f ca="1">C25*'EF ele_warmte'!B12</f>
        <v>170.22894434513219</v>
      </c>
      <c r="D55" s="647"/>
      <c r="E55" s="647">
        <f>E25*EF_CO2_aardgas</f>
        <v>281.23553322999999</v>
      </c>
      <c r="F55" s="647"/>
      <c r="G55" s="647"/>
      <c r="H55" s="647"/>
      <c r="I55" s="647"/>
      <c r="J55" s="647"/>
      <c r="K55" s="647"/>
      <c r="L55" s="647"/>
      <c r="M55" s="647"/>
      <c r="N55" s="647"/>
      <c r="O55" s="647"/>
      <c r="P55" s="647"/>
      <c r="Q55" s="648"/>
      <c r="R55" s="676">
        <f ca="1">SUM(C55:Q55)</f>
        <v>451.46447757513215</v>
      </c>
    </row>
    <row r="56" spans="1:18" ht="15.75" thickBot="1">
      <c r="A56" s="775" t="s">
        <v>684</v>
      </c>
      <c r="B56" s="788"/>
      <c r="C56" s="677">
        <f ca="1">SUM(C54:C55)</f>
        <v>349.09945330474602</v>
      </c>
      <c r="D56" s="677">
        <f t="shared" ref="D56:Q56" ca="1" si="7">SUM(D54:D55)</f>
        <v>0</v>
      </c>
      <c r="E56" s="677">
        <f t="shared" si="7"/>
        <v>519.72720948610799</v>
      </c>
      <c r="F56" s="677">
        <f t="shared" si="7"/>
        <v>8.4169080397963825</v>
      </c>
      <c r="G56" s="677">
        <f t="shared" si="7"/>
        <v>861.99973923093103</v>
      </c>
      <c r="H56" s="677">
        <f t="shared" si="7"/>
        <v>0</v>
      </c>
      <c r="I56" s="677">
        <f t="shared" si="7"/>
        <v>0</v>
      </c>
      <c r="J56" s="677">
        <f t="shared" si="7"/>
        <v>0</v>
      </c>
      <c r="K56" s="677">
        <f t="shared" si="7"/>
        <v>91.796058369333807</v>
      </c>
      <c r="L56" s="677">
        <f t="shared" si="7"/>
        <v>0</v>
      </c>
      <c r="M56" s="677">
        <f t="shared" si="7"/>
        <v>0</v>
      </c>
      <c r="N56" s="677">
        <f t="shared" si="7"/>
        <v>0</v>
      </c>
      <c r="O56" s="677">
        <f t="shared" si="7"/>
        <v>0</v>
      </c>
      <c r="P56" s="677">
        <f t="shared" si="7"/>
        <v>0</v>
      </c>
      <c r="Q56" s="678">
        <f t="shared" si="7"/>
        <v>0</v>
      </c>
      <c r="R56" s="679">
        <f ca="1">SUM(R54:R55)</f>
        <v>1831.0393684309154</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12449.533670021472</v>
      </c>
      <c r="D61" s="685">
        <f t="shared" ref="D61:Q61" ca="1" si="8">D46+D52+D56</f>
        <v>30.554621848739504</v>
      </c>
      <c r="E61" s="685">
        <f t="shared" ca="1" si="8"/>
        <v>15660.62274772049</v>
      </c>
      <c r="F61" s="685">
        <f t="shared" si="8"/>
        <v>1047.5529918828022</v>
      </c>
      <c r="G61" s="685">
        <f t="shared" ca="1" si="8"/>
        <v>23946.038583072677</v>
      </c>
      <c r="H61" s="685">
        <f t="shared" si="8"/>
        <v>25324.755522553973</v>
      </c>
      <c r="I61" s="685">
        <f t="shared" si="8"/>
        <v>6230.7052243311055</v>
      </c>
      <c r="J61" s="685">
        <f t="shared" si="8"/>
        <v>0</v>
      </c>
      <c r="K61" s="685">
        <f t="shared" si="8"/>
        <v>241.3303517134263</v>
      </c>
      <c r="L61" s="685">
        <f t="shared" si="8"/>
        <v>0</v>
      </c>
      <c r="M61" s="685">
        <f t="shared" ca="1" si="8"/>
        <v>0</v>
      </c>
      <c r="N61" s="685">
        <f t="shared" si="8"/>
        <v>0</v>
      </c>
      <c r="O61" s="685">
        <f t="shared" ca="1" si="8"/>
        <v>0</v>
      </c>
      <c r="P61" s="685">
        <f t="shared" si="8"/>
        <v>0</v>
      </c>
      <c r="Q61" s="685">
        <f t="shared" si="8"/>
        <v>0</v>
      </c>
      <c r="R61" s="685">
        <f ca="1">R46+R52+R56</f>
        <v>84931.09371314467</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0.19598412368064075</v>
      </c>
      <c r="D63" s="731">
        <f t="shared" ca="1" si="9"/>
        <v>0.23764705882352946</v>
      </c>
      <c r="E63" s="927">
        <f t="shared" ca="1" si="9"/>
        <v>0.20200000000000001</v>
      </c>
      <c r="F63" s="731">
        <f t="shared" si="9"/>
        <v>0.22700000000000004</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7197.2222159753373</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90</v>
      </c>
      <c r="D76" s="910">
        <f>'lokale energieproductie'!C8</f>
        <v>105.88235294117648</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21.388235294117649</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7197.2222159753373</v>
      </c>
      <c r="C78" s="703">
        <f>SUM(C72:C77)</f>
        <v>90</v>
      </c>
      <c r="D78" s="704">
        <f t="shared" ref="D78:H78" si="10">SUM(D76:D77)</f>
        <v>105.88235294117648</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21.388235294117649</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128.57142857142858</v>
      </c>
      <c r="D87" s="727">
        <f>'lokale energieproductie'!C17</f>
        <v>151.2605042016807</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30.554621848739504</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128.57142857142858</v>
      </c>
      <c r="D90" s="703">
        <f t="shared" ref="D90:H90" si="12">SUM(D87:D89)</f>
        <v>151.2605042016807</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30.554621848739504</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40920.753057728783</v>
      </c>
      <c r="C4" s="444">
        <f>huishoudens!C8</f>
        <v>0</v>
      </c>
      <c r="D4" s="444">
        <f>huishoudens!D8</f>
        <v>55853.891148000002</v>
      </c>
      <c r="E4" s="444">
        <f>huishoudens!E8</f>
        <v>4253.803236599857</v>
      </c>
      <c r="F4" s="444">
        <f>huishoudens!F8</f>
        <v>81861.45765288375</v>
      </c>
      <c r="G4" s="444">
        <f>huishoudens!G8</f>
        <v>0</v>
      </c>
      <c r="H4" s="444">
        <f>huishoudens!H8</f>
        <v>0</v>
      </c>
      <c r="I4" s="444">
        <f>huishoudens!I8</f>
        <v>0</v>
      </c>
      <c r="J4" s="444">
        <f>huishoudens!J8</f>
        <v>418.89379185518504</v>
      </c>
      <c r="K4" s="444">
        <f>huishoudens!K8</f>
        <v>0</v>
      </c>
      <c r="L4" s="444">
        <f>huishoudens!L8</f>
        <v>0</v>
      </c>
      <c r="M4" s="444">
        <f>huishoudens!M8</f>
        <v>0</v>
      </c>
      <c r="N4" s="444">
        <f>huishoudens!N8</f>
        <v>15441.00958067065</v>
      </c>
      <c r="O4" s="444">
        <f>huishoudens!O8</f>
        <v>523.76496991817646</v>
      </c>
      <c r="P4" s="445">
        <f>huishoudens!P8</f>
        <v>948.05633769165206</v>
      </c>
      <c r="Q4" s="446">
        <f>SUM(B4:P4)</f>
        <v>200221.62977534806</v>
      </c>
    </row>
    <row r="5" spans="1:17">
      <c r="A5" s="443" t="s">
        <v>149</v>
      </c>
      <c r="B5" s="444">
        <f ca="1">tertiair!B16</f>
        <v>17451.069882</v>
      </c>
      <c r="C5" s="444">
        <f ca="1">tertiair!C16</f>
        <v>128.57142857142858</v>
      </c>
      <c r="D5" s="444">
        <f ca="1">tertiair!D16</f>
        <v>17525.642066981141</v>
      </c>
      <c r="E5" s="444">
        <f>tertiair!E16</f>
        <v>53.872925544512555</v>
      </c>
      <c r="F5" s="444">
        <f ca="1">tertiair!F16</f>
        <v>3999.4654612863237</v>
      </c>
      <c r="G5" s="444">
        <f>tertiair!G16</f>
        <v>0</v>
      </c>
      <c r="H5" s="444">
        <f>tertiair!H16</f>
        <v>0</v>
      </c>
      <c r="I5" s="444">
        <f>tertiair!I16</f>
        <v>0</v>
      </c>
      <c r="J5" s="444">
        <f>tertiair!J16</f>
        <v>3.4100807418769814E-2</v>
      </c>
      <c r="K5" s="444">
        <f>tertiair!K16</f>
        <v>0</v>
      </c>
      <c r="L5" s="444">
        <f ca="1">tertiair!L16</f>
        <v>0</v>
      </c>
      <c r="M5" s="444">
        <f>tertiair!M16</f>
        <v>0</v>
      </c>
      <c r="N5" s="444">
        <f ca="1">tertiair!N16</f>
        <v>1264.3440163775576</v>
      </c>
      <c r="O5" s="444">
        <f>tertiair!O16</f>
        <v>9.7945215316823084</v>
      </c>
      <c r="P5" s="445">
        <f>tertiair!P16</f>
        <v>157.61741491948504</v>
      </c>
      <c r="Q5" s="443">
        <f t="shared" ref="Q5:Q14" ca="1" si="0">SUM(B5:P5)</f>
        <v>40590.411818019544</v>
      </c>
    </row>
    <row r="6" spans="1:17">
      <c r="A6" s="443" t="s">
        <v>187</v>
      </c>
      <c r="B6" s="444">
        <f>'openbare verlichting'!B8</f>
        <v>898.90200000000004</v>
      </c>
      <c r="C6" s="444"/>
      <c r="D6" s="444"/>
      <c r="E6" s="444"/>
      <c r="F6" s="444"/>
      <c r="G6" s="444"/>
      <c r="H6" s="444"/>
      <c r="I6" s="444"/>
      <c r="J6" s="444"/>
      <c r="K6" s="444"/>
      <c r="L6" s="444"/>
      <c r="M6" s="444"/>
      <c r="N6" s="444"/>
      <c r="O6" s="444"/>
      <c r="P6" s="445"/>
      <c r="Q6" s="443">
        <f t="shared" si="0"/>
        <v>898.90200000000004</v>
      </c>
    </row>
    <row r="7" spans="1:17">
      <c r="A7" s="443" t="s">
        <v>105</v>
      </c>
      <c r="B7" s="444">
        <f>landbouw!B8</f>
        <v>912.67856600000005</v>
      </c>
      <c r="C7" s="444">
        <f>landbouw!C8</f>
        <v>0</v>
      </c>
      <c r="D7" s="444">
        <f>landbouw!D8</f>
        <v>1180.6518626540001</v>
      </c>
      <c r="E7" s="444">
        <f>landbouw!E8</f>
        <v>37.078890043155866</v>
      </c>
      <c r="F7" s="444">
        <f>landbouw!F8</f>
        <v>3228.4634428124755</v>
      </c>
      <c r="G7" s="444">
        <f>landbouw!G8</f>
        <v>0</v>
      </c>
      <c r="H7" s="444">
        <f>landbouw!H8</f>
        <v>0</v>
      </c>
      <c r="I7" s="444">
        <f>landbouw!I8</f>
        <v>0</v>
      </c>
      <c r="J7" s="444">
        <f>landbouw!J8</f>
        <v>259.3108993484006</v>
      </c>
      <c r="K7" s="444">
        <f>landbouw!K8</f>
        <v>0</v>
      </c>
      <c r="L7" s="444">
        <f>landbouw!L8</f>
        <v>0</v>
      </c>
      <c r="M7" s="444">
        <f>landbouw!M8</f>
        <v>0</v>
      </c>
      <c r="N7" s="444">
        <f>landbouw!N8</f>
        <v>0</v>
      </c>
      <c r="O7" s="444">
        <f>landbouw!O8</f>
        <v>0</v>
      </c>
      <c r="P7" s="445">
        <f>landbouw!P8</f>
        <v>0</v>
      </c>
      <c r="Q7" s="443">
        <f t="shared" si="0"/>
        <v>5618.1836608580315</v>
      </c>
    </row>
    <row r="8" spans="1:17">
      <c r="A8" s="443" t="s">
        <v>587</v>
      </c>
      <c r="B8" s="444">
        <f>industrie!B18</f>
        <v>2318.1509509999996</v>
      </c>
      <c r="C8" s="444">
        <f>industrie!C18</f>
        <v>0</v>
      </c>
      <c r="D8" s="444">
        <f>industrie!D18</f>
        <v>1313.8267533600001</v>
      </c>
      <c r="E8" s="444">
        <f>industrie!E18</f>
        <v>45.216951535634799</v>
      </c>
      <c r="F8" s="444">
        <f>industrie!F18</f>
        <v>596.15120733459435</v>
      </c>
      <c r="G8" s="444">
        <f>industrie!G18</f>
        <v>0</v>
      </c>
      <c r="H8" s="444">
        <f>industrie!H18</f>
        <v>0</v>
      </c>
      <c r="I8" s="444">
        <f>industrie!I18</f>
        <v>0</v>
      </c>
      <c r="J8" s="444">
        <f>industrie!J18</f>
        <v>3.485365371555829</v>
      </c>
      <c r="K8" s="444">
        <f>industrie!K18</f>
        <v>0</v>
      </c>
      <c r="L8" s="444">
        <f>industrie!L18</f>
        <v>0</v>
      </c>
      <c r="M8" s="444">
        <f>industrie!M18</f>
        <v>0</v>
      </c>
      <c r="N8" s="444">
        <f>industrie!N18</f>
        <v>102.91256433302047</v>
      </c>
      <c r="O8" s="444">
        <f>industrie!O18</f>
        <v>0</v>
      </c>
      <c r="P8" s="445">
        <f>industrie!P18</f>
        <v>0</v>
      </c>
      <c r="Q8" s="443">
        <f t="shared" si="0"/>
        <v>4379.7437929348052</v>
      </c>
    </row>
    <row r="9" spans="1:17" s="449" customFormat="1">
      <c r="A9" s="447" t="s">
        <v>536</v>
      </c>
      <c r="B9" s="448">
        <f>transport!B14</f>
        <v>139.49867551109236</v>
      </c>
      <c r="C9" s="448">
        <f>transport!C14</f>
        <v>0</v>
      </c>
      <c r="D9" s="448">
        <f>transport!D14</f>
        <v>261.56843875975528</v>
      </c>
      <c r="E9" s="448">
        <f>transport!E14</f>
        <v>224.79888562839071</v>
      </c>
      <c r="F9" s="448">
        <f>transport!F14</f>
        <v>0</v>
      </c>
      <c r="G9" s="448">
        <f>transport!G14</f>
        <v>93868.575403523544</v>
      </c>
      <c r="H9" s="448">
        <f>transport!H14</f>
        <v>25022.912547514479</v>
      </c>
      <c r="I9" s="448">
        <f>transport!I14</f>
        <v>0</v>
      </c>
      <c r="J9" s="448">
        <f>transport!J14</f>
        <v>0</v>
      </c>
      <c r="K9" s="448">
        <f>transport!K14</f>
        <v>0</v>
      </c>
      <c r="L9" s="448">
        <f>transport!L14</f>
        <v>0</v>
      </c>
      <c r="M9" s="448">
        <f>transport!M14</f>
        <v>7067.5325128860713</v>
      </c>
      <c r="N9" s="448">
        <f>transport!N14</f>
        <v>0</v>
      </c>
      <c r="O9" s="448">
        <f>transport!O14</f>
        <v>0</v>
      </c>
      <c r="P9" s="448">
        <f>transport!P14</f>
        <v>0</v>
      </c>
      <c r="Q9" s="447">
        <f>SUM(B9:P9)</f>
        <v>126584.88646382334</v>
      </c>
    </row>
    <row r="10" spans="1:17">
      <c r="A10" s="443" t="s">
        <v>526</v>
      </c>
      <c r="B10" s="444">
        <f>transport!B54</f>
        <v>13.535898071898998</v>
      </c>
      <c r="C10" s="444">
        <f>transport!C54</f>
        <v>0</v>
      </c>
      <c r="D10" s="444">
        <f>transport!D54</f>
        <v>0</v>
      </c>
      <c r="E10" s="444">
        <f>transport!E54</f>
        <v>0</v>
      </c>
      <c r="F10" s="444">
        <f>transport!F54</f>
        <v>0</v>
      </c>
      <c r="G10" s="444">
        <f>transport!G54</f>
        <v>980.69621652878743</v>
      </c>
      <c r="H10" s="444">
        <f>transport!H54</f>
        <v>0</v>
      </c>
      <c r="I10" s="444">
        <f>transport!I54</f>
        <v>0</v>
      </c>
      <c r="J10" s="444">
        <f>transport!J54</f>
        <v>0</v>
      </c>
      <c r="K10" s="444">
        <f>transport!K54</f>
        <v>0</v>
      </c>
      <c r="L10" s="444">
        <f>transport!L54</f>
        <v>0</v>
      </c>
      <c r="M10" s="444">
        <f>transport!M54</f>
        <v>55.471098552922051</v>
      </c>
      <c r="N10" s="444">
        <f>transport!N54</f>
        <v>0</v>
      </c>
      <c r="O10" s="444">
        <f>transport!O54</f>
        <v>0</v>
      </c>
      <c r="P10" s="445">
        <f>transport!P54</f>
        <v>0</v>
      </c>
      <c r="Q10" s="443">
        <f t="shared" si="0"/>
        <v>1049.7032131536084</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868.58537899999999</v>
      </c>
      <c r="C14" s="451"/>
      <c r="D14" s="451">
        <f>'SEAP template'!E25</f>
        <v>1392.2551149999999</v>
      </c>
      <c r="E14" s="451"/>
      <c r="F14" s="451"/>
      <c r="G14" s="451"/>
      <c r="H14" s="451"/>
      <c r="I14" s="451"/>
      <c r="J14" s="451"/>
      <c r="K14" s="451"/>
      <c r="L14" s="451"/>
      <c r="M14" s="451"/>
      <c r="N14" s="451"/>
      <c r="O14" s="451"/>
      <c r="P14" s="452"/>
      <c r="Q14" s="443">
        <f t="shared" si="0"/>
        <v>2260.840494</v>
      </c>
    </row>
    <row r="15" spans="1:17" s="455" customFormat="1">
      <c r="A15" s="453" t="s">
        <v>530</v>
      </c>
      <c r="B15" s="454">
        <f ca="1">SUM(B4:B14)</f>
        <v>63523.174409311774</v>
      </c>
      <c r="C15" s="454">
        <f t="shared" ref="C15:Q15" ca="1" si="1">SUM(C4:C14)</f>
        <v>128.57142857142858</v>
      </c>
      <c r="D15" s="454">
        <f t="shared" ca="1" si="1"/>
        <v>77527.835384754901</v>
      </c>
      <c r="E15" s="454">
        <f t="shared" si="1"/>
        <v>4614.770889351551</v>
      </c>
      <c r="F15" s="454">
        <f t="shared" ca="1" si="1"/>
        <v>89685.537764317138</v>
      </c>
      <c r="G15" s="454">
        <f t="shared" si="1"/>
        <v>94849.271620052328</v>
      </c>
      <c r="H15" s="454">
        <f t="shared" si="1"/>
        <v>25022.912547514479</v>
      </c>
      <c r="I15" s="454">
        <f t="shared" si="1"/>
        <v>0</v>
      </c>
      <c r="J15" s="454">
        <f t="shared" si="1"/>
        <v>681.72415738256029</v>
      </c>
      <c r="K15" s="454">
        <f t="shared" si="1"/>
        <v>0</v>
      </c>
      <c r="L15" s="454">
        <f t="shared" ca="1" si="1"/>
        <v>0</v>
      </c>
      <c r="M15" s="454">
        <f t="shared" si="1"/>
        <v>7123.0036114389932</v>
      </c>
      <c r="N15" s="454">
        <f t="shared" ca="1" si="1"/>
        <v>16808.266161381227</v>
      </c>
      <c r="O15" s="454">
        <f t="shared" si="1"/>
        <v>533.5594914498588</v>
      </c>
      <c r="P15" s="454">
        <f t="shared" si="1"/>
        <v>1105.6737526111372</v>
      </c>
      <c r="Q15" s="454">
        <f t="shared" ca="1" si="1"/>
        <v>381604.30121813738</v>
      </c>
    </row>
    <row r="17" spans="1:17">
      <c r="A17" s="456" t="s">
        <v>531</v>
      </c>
      <c r="B17" s="736">
        <f ca="1">huishoudens!B10</f>
        <v>0.19598412368064072</v>
      </c>
      <c r="C17" s="736">
        <f ca="1">huishoudens!C10</f>
        <v>0.23764705882352946</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8019.8179283708751</v>
      </c>
      <c r="C22" s="444">
        <f t="shared" ref="C22:C32" ca="1" si="3">C4*$C$17</f>
        <v>0</v>
      </c>
      <c r="D22" s="444">
        <f t="shared" ref="D22:D32" si="4">D4*$D$17</f>
        <v>11282.486011896</v>
      </c>
      <c r="E22" s="444">
        <f t="shared" ref="E22:E32" si="5">E4*$E$17</f>
        <v>965.6133347081676</v>
      </c>
      <c r="F22" s="444">
        <f t="shared" ref="F22:F32" si="6">F4*$F$17</f>
        <v>21857.009193319962</v>
      </c>
      <c r="G22" s="444">
        <f t="shared" ref="G22:G32" si="7">G4*$G$17</f>
        <v>0</v>
      </c>
      <c r="H22" s="444">
        <f t="shared" ref="H22:H32" si="8">H4*$H$17</f>
        <v>0</v>
      </c>
      <c r="I22" s="444">
        <f t="shared" ref="I22:I32" si="9">I4*$I$17</f>
        <v>0</v>
      </c>
      <c r="J22" s="444">
        <f t="shared" ref="J22:J32" si="10">J4*$J$17</f>
        <v>148.2884023167355</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42273.214870611737</v>
      </c>
    </row>
    <row r="23" spans="1:17">
      <c r="A23" s="443" t="s">
        <v>149</v>
      </c>
      <c r="B23" s="444">
        <f t="shared" ca="1" si="2"/>
        <v>3420.1326381133922</v>
      </c>
      <c r="C23" s="444">
        <f t="shared" ca="1" si="3"/>
        <v>30.554621848739504</v>
      </c>
      <c r="D23" s="444">
        <f t="shared" ca="1" si="4"/>
        <v>3540.1796975301909</v>
      </c>
      <c r="E23" s="444">
        <f t="shared" si="5"/>
        <v>12.229154098604351</v>
      </c>
      <c r="F23" s="444">
        <f t="shared" ca="1" si="6"/>
        <v>1067.8572781634484</v>
      </c>
      <c r="G23" s="444">
        <f t="shared" si="7"/>
        <v>0</v>
      </c>
      <c r="H23" s="444">
        <f t="shared" si="8"/>
        <v>0</v>
      </c>
      <c r="I23" s="444">
        <f t="shared" si="9"/>
        <v>0</v>
      </c>
      <c r="J23" s="444">
        <f t="shared" si="10"/>
        <v>1.2071685826244514E-2</v>
      </c>
      <c r="K23" s="444">
        <f t="shared" si="11"/>
        <v>0</v>
      </c>
      <c r="L23" s="444">
        <f t="shared" ca="1" si="12"/>
        <v>0</v>
      </c>
      <c r="M23" s="444">
        <f t="shared" si="13"/>
        <v>0</v>
      </c>
      <c r="N23" s="444">
        <f t="shared" ca="1" si="14"/>
        <v>0</v>
      </c>
      <c r="O23" s="444">
        <f t="shared" si="15"/>
        <v>0</v>
      </c>
      <c r="P23" s="445">
        <f t="shared" si="16"/>
        <v>0</v>
      </c>
      <c r="Q23" s="443">
        <f t="shared" ref="Q23:Q31" ca="1" si="17">SUM(B23:P23)</f>
        <v>8070.9654614402016</v>
      </c>
    </row>
    <row r="24" spans="1:17">
      <c r="A24" s="443" t="s">
        <v>187</v>
      </c>
      <c r="B24" s="444">
        <f t="shared" ca="1" si="2"/>
        <v>176.1705207447753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176.1705207447753</v>
      </c>
    </row>
    <row r="25" spans="1:17">
      <c r="A25" s="443" t="s">
        <v>105</v>
      </c>
      <c r="B25" s="444">
        <f t="shared" ca="1" si="2"/>
        <v>178.87050895961383</v>
      </c>
      <c r="C25" s="444">
        <f t="shared" ca="1" si="3"/>
        <v>0</v>
      </c>
      <c r="D25" s="444">
        <f t="shared" si="4"/>
        <v>238.49167625610804</v>
      </c>
      <c r="E25" s="444">
        <f t="shared" si="5"/>
        <v>8.4169080397963825</v>
      </c>
      <c r="F25" s="444">
        <f t="shared" si="6"/>
        <v>861.99973923093103</v>
      </c>
      <c r="G25" s="444">
        <f t="shared" si="7"/>
        <v>0</v>
      </c>
      <c r="H25" s="444">
        <f t="shared" si="8"/>
        <v>0</v>
      </c>
      <c r="I25" s="444">
        <f t="shared" si="9"/>
        <v>0</v>
      </c>
      <c r="J25" s="444">
        <f t="shared" si="10"/>
        <v>91.796058369333807</v>
      </c>
      <c r="K25" s="444">
        <f t="shared" si="11"/>
        <v>0</v>
      </c>
      <c r="L25" s="444">
        <f t="shared" si="12"/>
        <v>0</v>
      </c>
      <c r="M25" s="444">
        <f t="shared" si="13"/>
        <v>0</v>
      </c>
      <c r="N25" s="444">
        <f t="shared" si="14"/>
        <v>0</v>
      </c>
      <c r="O25" s="444">
        <f t="shared" si="15"/>
        <v>0</v>
      </c>
      <c r="P25" s="445">
        <f t="shared" si="16"/>
        <v>0</v>
      </c>
      <c r="Q25" s="443">
        <f t="shared" ca="1" si="17"/>
        <v>1379.5748908557832</v>
      </c>
    </row>
    <row r="26" spans="1:17">
      <c r="A26" s="443" t="s">
        <v>587</v>
      </c>
      <c r="B26" s="444">
        <f t="shared" ca="1" si="2"/>
        <v>454.32078269117881</v>
      </c>
      <c r="C26" s="444">
        <f t="shared" ca="1" si="3"/>
        <v>0</v>
      </c>
      <c r="D26" s="444">
        <f t="shared" si="4"/>
        <v>265.39300417872005</v>
      </c>
      <c r="E26" s="444">
        <f t="shared" si="5"/>
        <v>10.2642479985891</v>
      </c>
      <c r="F26" s="444">
        <f t="shared" si="6"/>
        <v>159.1723723583367</v>
      </c>
      <c r="G26" s="444">
        <f t="shared" si="7"/>
        <v>0</v>
      </c>
      <c r="H26" s="444">
        <f t="shared" si="8"/>
        <v>0</v>
      </c>
      <c r="I26" s="444">
        <f t="shared" si="9"/>
        <v>0</v>
      </c>
      <c r="J26" s="444">
        <f t="shared" si="10"/>
        <v>1.2338193415307634</v>
      </c>
      <c r="K26" s="444">
        <f t="shared" si="11"/>
        <v>0</v>
      </c>
      <c r="L26" s="444">
        <f t="shared" si="12"/>
        <v>0</v>
      </c>
      <c r="M26" s="444">
        <f t="shared" si="13"/>
        <v>0</v>
      </c>
      <c r="N26" s="444">
        <f t="shared" si="14"/>
        <v>0</v>
      </c>
      <c r="O26" s="444">
        <f t="shared" si="15"/>
        <v>0</v>
      </c>
      <c r="P26" s="445">
        <f t="shared" si="16"/>
        <v>0</v>
      </c>
      <c r="Q26" s="443">
        <f t="shared" ca="1" si="17"/>
        <v>890.38422656835542</v>
      </c>
    </row>
    <row r="27" spans="1:17" s="449" customFormat="1">
      <c r="A27" s="447" t="s">
        <v>536</v>
      </c>
      <c r="B27" s="730">
        <f t="shared" ca="1" si="2"/>
        <v>27.33952567465149</v>
      </c>
      <c r="C27" s="448">
        <f t="shared" ca="1" si="3"/>
        <v>0</v>
      </c>
      <c r="D27" s="448">
        <f t="shared" si="4"/>
        <v>52.83682462947057</v>
      </c>
      <c r="E27" s="448">
        <f t="shared" si="5"/>
        <v>51.02934703764469</v>
      </c>
      <c r="F27" s="448">
        <f t="shared" si="6"/>
        <v>0</v>
      </c>
      <c r="G27" s="448">
        <f t="shared" si="7"/>
        <v>25062.909632740786</v>
      </c>
      <c r="H27" s="448">
        <f t="shared" si="8"/>
        <v>6230.7052243311055</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31424.820554413658</v>
      </c>
    </row>
    <row r="28" spans="1:17" ht="16.5" customHeight="1">
      <c r="A28" s="443" t="s">
        <v>526</v>
      </c>
      <c r="B28" s="444">
        <f t="shared" ca="1" si="2"/>
        <v>2.6528211218515994</v>
      </c>
      <c r="C28" s="444">
        <f t="shared" ca="1" si="3"/>
        <v>0</v>
      </c>
      <c r="D28" s="444">
        <f t="shared" si="4"/>
        <v>0</v>
      </c>
      <c r="E28" s="444">
        <f t="shared" si="5"/>
        <v>0</v>
      </c>
      <c r="F28" s="444">
        <f t="shared" si="6"/>
        <v>0</v>
      </c>
      <c r="G28" s="444">
        <f t="shared" si="7"/>
        <v>261.84588981318626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264.49871093503788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170.22894434513219</v>
      </c>
      <c r="C32" s="444">
        <f t="shared" ca="1" si="3"/>
        <v>0</v>
      </c>
      <c r="D32" s="444">
        <f t="shared" si="4"/>
        <v>281.23553322999999</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451.46447757513215</v>
      </c>
    </row>
    <row r="33" spans="1:17" s="455" customFormat="1">
      <c r="A33" s="453" t="s">
        <v>530</v>
      </c>
      <c r="B33" s="454">
        <f ca="1">SUM(B22:B32)</f>
        <v>12449.53367002147</v>
      </c>
      <c r="C33" s="454">
        <f t="shared" ref="C33:Q33" ca="1" si="19">SUM(C22:C32)</f>
        <v>30.554621848739504</v>
      </c>
      <c r="D33" s="454">
        <f t="shared" ca="1" si="19"/>
        <v>15660.62274772049</v>
      </c>
      <c r="E33" s="454">
        <f t="shared" si="19"/>
        <v>1047.552991882802</v>
      </c>
      <c r="F33" s="454">
        <f t="shared" ca="1" si="19"/>
        <v>23946.038583072677</v>
      </c>
      <c r="G33" s="454">
        <f t="shared" si="19"/>
        <v>25324.755522553973</v>
      </c>
      <c r="H33" s="454">
        <f t="shared" si="19"/>
        <v>6230.7052243311055</v>
      </c>
      <c r="I33" s="454">
        <f t="shared" si="19"/>
        <v>0</v>
      </c>
      <c r="J33" s="454">
        <f t="shared" si="19"/>
        <v>241.3303517134263</v>
      </c>
      <c r="K33" s="454">
        <f t="shared" si="19"/>
        <v>0</v>
      </c>
      <c r="L33" s="454">
        <f t="shared" ca="1" si="19"/>
        <v>0</v>
      </c>
      <c r="M33" s="454">
        <f t="shared" si="19"/>
        <v>0</v>
      </c>
      <c r="N33" s="454">
        <f t="shared" ca="1" si="19"/>
        <v>0</v>
      </c>
      <c r="O33" s="454">
        <f t="shared" si="19"/>
        <v>0</v>
      </c>
      <c r="P33" s="454">
        <f t="shared" si="19"/>
        <v>0</v>
      </c>
      <c r="Q33" s="454">
        <f t="shared" ca="1" si="19"/>
        <v>84931.09371314467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7197.2222159753373</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90</v>
      </c>
      <c r="D8" s="979">
        <f>'SEAP template'!D76</f>
        <v>105.88235294117648</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21.388235294117649</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7197.2222159753373</v>
      </c>
      <c r="C10" s="981">
        <f>SUM(C4:C9)</f>
        <v>90</v>
      </c>
      <c r="D10" s="981">
        <f t="shared" ref="D10:H10" si="0">SUM(D8:D9)</f>
        <v>105.88235294117648</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21.388235294117649</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0.19598412368064072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128.57142857142858</v>
      </c>
      <c r="D17" s="980">
        <f>'SEAP template'!D87</f>
        <v>151.2605042016807</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30.554621848739504</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128.57142857142858</v>
      </c>
      <c r="D20" s="981">
        <f t="shared" ref="D20:H20" si="2">SUM(D17:D19)</f>
        <v>151.2605042016807</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30.554621848739504</v>
      </c>
    </row>
    <row r="21" spans="1:16">
      <c r="B21" s="840"/>
    </row>
    <row r="22" spans="1:16">
      <c r="A22" s="456" t="s">
        <v>754</v>
      </c>
      <c r="B22" s="736" t="s">
        <v>752</v>
      </c>
      <c r="C22" s="736">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0.19598412368064072</v>
      </c>
      <c r="C17" s="492">
        <f ca="1">'EF ele_warmte'!B22</f>
        <v>0.23764705882352946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2022-07-26T10:14:37Z</dcterms:modified>
</cp:coreProperties>
</file>