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5AA50F27-BFD2-499B-8233-C9288F0ABC7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<sst xmlns="http://schemas.openxmlformats.org/spreadsheetml/2006/main" count="2405" uniqueCount="883">
  <si>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</si>
  <si>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</si>
  <si>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</si>
  <si>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</si>
  <si>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</si>
  <si>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</si>
  <si>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</si>
  <si>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</si>
  <si>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</si>
  <si>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</si>
  <si>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</si>
  <si>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</si>
  <si>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</si>
  <si>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</si>
  <si>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</si>
  <si>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</si>
  <si>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</si>
  <si>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</si>
  <si>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</si>
  <si>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</si>
  <si>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</si>
  <si>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</si>
  <si>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</si>
  <si>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</si>
  <si>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</si>
  <si>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</si>
  <si>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</si>
  <si>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</si>
  <si>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</si>
  <si>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</si>
  <si>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</si>
  <si>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</si>
  <si>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</si>
  <si>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</si>
  <si>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</si>
  <si>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</si>
  <si>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</si>
  <si>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</si>
  <si>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</si>
  <si>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</si>
  <si>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</si>
  <si>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</si>
  <si>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</si>
  <si>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</si>
  <si>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</si>
  <si>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</si>
  <si>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</si>
  <si>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</si>
  <si>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</si>
  <si>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</si>
  <si>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</si>
  <si>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</si>
  <si>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</si>
  <si>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</si>
  <si>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</si>
  <si>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</si>
  <si>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</si>
  <si>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</si>
  <si>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</si>
  <si>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</si>
  <si>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</si>
  <si>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</si>
  <si>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</si>
  <si>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</si>
  <si>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</si>
  <si>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</si>
  <si>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</si>
  <si>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</si>
  <si>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</si>
  <si>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</si>
  <si>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</si>
  <si>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</si>
  <si>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</si>
  <si>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</si>
  <si>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</si>
  <si>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</si>
  <si>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</si>
  <si>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</si>
  <si>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</si>
  <si>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</si>
  <si>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</si>
  <si>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</si>
  <si>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</si>
  <si>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</si>
  <si>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</si>
  <si>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</si>
  <si>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</si>
  <si>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</si>
  <si>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</si>
  <si>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</si>
  <si>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</si>
  <si>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</si>
  <si>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</si>
  <si>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</si>
  <si>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</si>
  <si>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</si>
  <si>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</si>
  <si>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</si>
  <si>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</si>
  <si>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</si>
  <si>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</si>
  <si>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</si>
  <si>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</si>
  <si>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</si>
  <si>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</si>
  <si>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</si>
  <si>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</si>
  <si>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</si>
  <si>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</si>
  <si>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</si>
  <si>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</si>
  <si>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</si>
  <si>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</si>
  <si>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</si>
  <si>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</si>
  <si>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</si>
  <si>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</si>
  <si>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</si>
  <si>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</si>
  <si>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</si>
  <si>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</si>
  <si>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</si>
  <si>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</si>
  <si>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</si>
  <si>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</si>
  <si>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</si>
  <si>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</si>
  <si>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</si>
  <si>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</si>
  <si>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</si>
  <si>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</si>
  <si>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</si>
  <si>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</si>
  <si>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</si>
  <si>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</si>
  <si>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</si>
  <si>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</si>
  <si>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</si>
  <si>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</si>
  <si>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</si>
  <si>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</si>
  <si>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</si>
  <si>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</si>
  <si>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</si>
  <si>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</si>
  <si>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</si>
  <si>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</si>
  <si>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</si>
  <si>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</si>
  <si>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</si>
  <si>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</si>
  <si>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</si>
  <si>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</si>
  <si>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</si>
  <si>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</si>
  <si>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</si>
  <si>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</si>
  <si>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</si>
  <si>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</si>
  <si>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</si>
  <si>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</si>
  <si>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</si>
  <si>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</si>
  <si>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</si>
  <si>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</si>
  <si>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</si>
  <si>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</si>
  <si>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</si>
  <si>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</si>
  <si>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</si>
  <si>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</si>
  <si>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</si>
  <si>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</si>
  <si>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</si>
  <si>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</si>
  <si>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</si>
  <si>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</si>
  <si>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</si>
  <si>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</si>
  <si>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</si>
  <si>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</si>
  <si>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</si>
  <si>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</si>
  <si>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</si>
  <si>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</si>
  <si>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</si>
  <si>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</si>
  <si>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</si>
  <si>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</si>
  <si>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</si>
  <si>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</si>
  <si>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</si>
  <si>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</si>
  <si>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</si>
  <si>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</si>
  <si>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</si>
  <si>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</si>
  <si>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</si>
  <si>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</si>
  <si>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</si>
  <si>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</si>
  <si>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</si>
  <si>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</si>
  <si>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</si>
  <si>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</si>
  <si>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</si>
  <si>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</si>
  <si>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</si>
  <si>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</si>
  <si>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</si>
  <si>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</si>
  <si>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</si>
  <si>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</si>
  <si>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</si>
  <si>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</si>
  <si>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</si>
  <si>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</si>
  <si>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</si>
  <si>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</si>
  <si>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</si>
  <si>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</si>
  <si>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</si>
  <si>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</si>
  <si>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</si>
  <si>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</si>
  <si>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</si>
  <si>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</si>
  <si>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</si>
  <si>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</si>
  <si>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</si>
  <si>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</si>
  <si>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</si>
  <si>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</si>
  <si>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</si>
  <si>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</si>
  <si>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</si>
  <si>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</si>
  <si>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</si>
  <si>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</si>
  <si>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</si>
  <si>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</si>
  <si>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</si>
  <si>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</si>
  <si>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</si>
  <si>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</si>
  <si>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</si>
  <si>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</si>
  <si>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</si>
  <si>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</si>
  <si>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</si>
  <si>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</si>
  <si>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</si>
  <si>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</si>
  <si>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</si>
  <si>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</si>
  <si>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</si>
  <si>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</si>
  <si>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</si>
  <si>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</si>
  <si>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</si>
  <si>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</si>
  <si>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</si>
  <si>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</si>
  <si>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</si>
  <si>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</si>
  <si>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</si>
  <si>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</si>
  <si>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</si>
  <si>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</si>
  <si>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</si>
  <si>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</si>
  <si>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</si>
  <si>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</si>
  <si>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</si>
  <si>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</si>
  <si>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</si>
  <si>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</si>
  <si>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</si>
  <si>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</si>
  <si>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</si>
  <si>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</si>
  <si>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</si>
  <si>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</si>
  <si>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</si>
  <si>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</si>
  <si>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</si>
  <si>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</si>
  <si>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</si>
  <si>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</si>
  <si>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</si>
  <si>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</si>
  <si>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</si>
  <si>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</si>
  <si>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</si>
  <si>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</si>
  <si>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</si>
  <si>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</si>
  <si>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</si>
  <si>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</si>
  <si>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</si>
  <si>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</si>
  <si>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</si>
  <si>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</si>
  <si>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</si>
  <si>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</si>
  <si>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</si>
  <si>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</si>
  <si>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</si>
  <si>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</si>
  <si>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</si>
  <si>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</si>
  <si>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</si>
  <si>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</si>
  <si>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</si>
  <si>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</si>
  <si>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</si>
  <si>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</si>
  <si>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</si>
  <si>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</si>
  <si>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</si>
  <si>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</si>
  <si>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</si>
  <si>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</si>
  <si>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</si>
  <si>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</si>
  <si>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</si>
  <si>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</si>
  <si>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</si>
  <si>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</si>
  <si>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</si>
  <si>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</si>
  <si>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</si>
  <si>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</si>
  <si>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</si>
  <si>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</si>
  <si>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</si>
  <si>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</si>
  <si>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</si>
  <si>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</si>
  <si>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</si>
  <si>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</si>
  <si>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</si>
  <si>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</si>
  <si>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</si>
  <si>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</si>
  <si>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</si>
  <si>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</si>
  <si>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</si>
  <si>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</si>
  <si>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</si>
  <si>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</si>
  <si>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</si>
  <si>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</si>
  <si>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</si>
  <si>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</si>
  <si>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</si>
  <si>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</si>
  <si>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</si>
  <si>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</si>
  <si>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</si>
  <si>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</si>
  <si>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</si>
  <si>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</si>
  <si>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</si>
  <si>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</si>
  <si>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</si>
  <si>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</si>
  <si>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</si>
  <si>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</si>
  <si>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</si>
  <si>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</si>
  <si>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</si>
  <si>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</si>
  <si>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</si>
  <si>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</si>
  <si>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</si>
  <si>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</si>
  <si>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</si>
  <si>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</si>
  <si>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</si>
  <si>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</si>
  <si>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</si>
  <si>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</si>
  <si>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</si>
  <si>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</si>
  <si>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</si>
  <si>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</si>
  <si>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</si>
  <si>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</si>
  <si>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</si>
  <si>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</si>
  <si>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</si>
  <si>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</si>
  <si>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</si>
  <si>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</si>
  <si>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</si>
  <si>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</si>
  <si>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</si>
  <si>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</si>
  <si>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</si>
  <si>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</si>
  <si>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</si>
  <si>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</si>
  <si>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</si>
  <si>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</si>
  <si>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</si>
  <si>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</si>
  <si>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</si>
  <si>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</si>
  <si>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</si>
  <si>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</si>
  <si>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</si>
  <si>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</si>
  <si>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</si>
  <si>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</si>
  <si>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</si>
  <si>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</si>
  <si>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</si>
  <si>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</si>
  <si>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</si>
  <si>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</si>
  <si>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</si>
  <si>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</si>
  <si>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</si>
  <si>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</si>
  <si>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</si>
  <si>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</si>
  <si>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</si>
  <si>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</si>
  <si>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</si>
  <si>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</si>
  <si>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</si>
  <si>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</si>
  <si>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</si>
  <si>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</si>
  <si>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</si>
  <si>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</si>
  <si>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</si>
  <si>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</si>
  <si>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</si>
  <si>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</si>
  <si>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</si>
  <si>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</si>
  <si>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</si>
  <si>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</si>
  <si>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</si>
  <si>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</si>
  <si>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</si>
  <si>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</si>
  <si>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</si>
  <si>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</si>
  <si>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</si>
  <si>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</si>
  <si>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</si>
  <si>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</si>
  <si>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</si>
  <si>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</si>
  <si>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</si>
  <si>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</si>
  <si>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</si>
  <si>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</si>
  <si>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</si>
  <si>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</si>
  <si>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</si>
  <si>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</si>
  <si>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</si>
  <si>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</si>
  <si>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</si>
  <si>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</si>
  <si>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</si>
  <si>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</si>
  <si>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</si>
  <si>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</si>
  <si>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</si>
  <si>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</si>
  <si>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</si>
  <si>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</si>
  <si>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</si>
  <si>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</si>
  <si>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</si>
  <si>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</si>
  <si>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</si>
  <si>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</si>
  <si>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</si>
  <si>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</si>
  <si>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</si>
  <si>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</si>
  <si>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</si>
  <si>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</si>
  <si>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</si>
  <si>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</si>
  <si>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</si>
  <si>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</si>
  <si>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</si>
  <si>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</si>
  <si>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</si>
  <si>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</si>
  <si>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</si>
  <si>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</si>
  <si>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</si>
  <si>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</si>
  <si>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</si>
  <si>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</si>
  <si>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</si>
  <si>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</si>
  <si>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</si>
  <si>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</si>
  <si>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</si>
  <si>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</si>
  <si>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</si>
  <si>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</si>
  <si>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</si>
  <si>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</si>
  <si>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</si>
  <si>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</si>
  <si>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</si>
  <si>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</si>
  <si>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</si>
  <si>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</si>
  <si>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</si>
  <si>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</si>
  <si>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</si>
  <si>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</si>
  <si>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</si>
  <si>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</si>
  <si>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</si>
  <si>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</si>
  <si>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</si>
  <si>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</si>
  <si>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</si>
  <si>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</si>
  <si>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</si>
  <si>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</si>
  <si>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</si>
  <si>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</si>
  <si>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</si>
  <si>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</si>
  <si>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</si>
  <si>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</si>
  <si>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</si>
  <si>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</si>
  <si>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</si>
  <si>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</si>
  <si>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</si>
  <si>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</si>
  <si>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</si>
  <si>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</si>
  <si>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</si>
  <si>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</si>
  <si>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</si>
  <si>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</si>
  <si>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</si>
  <si>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</si>
  <si>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</si>
  <si>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</si>
  <si>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</si>
  <si>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</si>
  <si>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</si>
  <si>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</si>
  <si>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</si>
  <si>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</si>
  <si>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</si>
  <si>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</si>
  <si>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</si>
  <si>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</si>
  <si>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</si>
  <si>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</si>
  <si>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</si>
  <si>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</si>
  <si>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</si>
  <si>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</si>
  <si>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</si>
  <si>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</si>
  <si>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</si>
  <si>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</si>
  <si>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</si>
  <si>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</si>
  <si>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</si>
  <si>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</si>
  <si>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</si>
  <si>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</si>
  <si>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</si>
  <si>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</si>
  <si>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</si>
  <si>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</si>
  <si>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</si>
  <si>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</si>
  <si>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</si>
  <si>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</si>
  <si>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</si>
  <si>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</si>
  <si>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</si>
  <si>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</si>
  <si>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</si>
  <si>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</si>
  <si>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</si>
  <si>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</si>
  <si>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</si>
  <si>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</si>
  <si>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</si>
  <si>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</si>
  <si>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</si>
  <si>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</si>
  <si>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</si>
  <si>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</si>
  <si>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</si>
  <si>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</si>
  <si>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</si>
  <si>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</si>
  <si>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</si>
  <si>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</si>
  <si>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</si>
  <si>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</si>
  <si>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</si>
  <si>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</si>
  <si>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</si>
  <si>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</si>
  <si>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</si>
  <si>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</si>
  <si>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</si>
  <si>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</si>
  <si>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</si>
  <si>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</si>
  <si>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</si>
  <si>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</si>
  <si>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</si>
  <si>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</si>
  <si>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</si>
  <si>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</si>
  <si>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</si>
  <si>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</si>
  <si>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</si>
  <si>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</si>
  <si>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</si>
  <si>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</si>
  <si>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</si>
  <si>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</si>
  <si>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</si>
  <si>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</si>
  <si>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</si>
  <si>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</si>
  <si>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</si>
  <si>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</si>
  <si>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</si>
  <si>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</si>
  <si>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</si>
  <si>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</si>
  <si>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</si>
  <si>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</si>
  <si>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</si>
  <si>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</si>
  <si>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</si>
  <si>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</si>
  <si>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</si>
  <si>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</si>
  <si>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</si>
  <si>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</si>
  <si>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</si>
  <si>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</si>
  <si>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</si>
  <si>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</si>
  <si>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</si>
  <si>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</si>
  <si>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</si>
  <si>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</si>
  <si>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</si>
  <si>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</si>
  <si>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</si>
  <si>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</si>
  <si>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</si>
  <si>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</si>
  <si>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</si>
  <si>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</si>
  <si>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</si>
  <si>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</si>
  <si>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</si>
  <si>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</si>
  <si>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</si>
  <si>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</si>
  <si>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</si>
  <si>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</si>
  <si>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</si>
  <si>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</si>
  <si>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</si>
  <si>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</si>
  <si>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</si>
  <si>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</si>
  <si>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</si>
  <si>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</si>
  <si>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</si>
  <si>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</si>
  <si>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</si>
  <si>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</si>
  <si>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</si>
  <si>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</si>
  <si>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</si>
  <si>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</si>
  <si>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</si>
  <si>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</si>
  <si>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</si>
  <si>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</si>
  <si>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</si>
  <si>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</si>
  <si>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</si>
  <si>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</si>
  <si>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</si>
  <si>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</si>
  <si>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</si>
  <si>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</si>
  <si>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</si>
  <si>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</si>
  <si>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</si>
  <si>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</si>
  <si>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</si>
  <si>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</si>
  <si>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</si>
  <si>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</si>
  <si>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</si>
  <si>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</si>
  <si>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</si>
  <si>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</si>
  <si>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</si>
  <si>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</si>
  <si>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</si>
  <si>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</si>
  <si>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</si>
  <si>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</si>
  <si>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</si>
  <si>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</si>
  <si>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</si>
  <si>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</si>
  <si>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</si>
  <si>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</si>
  <si>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</si>
  <si>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</si>
  <si>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</si>
  <si>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</si>
  <si>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</si>
  <si>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</si>
  <si>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</si>
  <si>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</si>
  <si>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</si>
  <si>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</si>
  <si>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</si>
  <si>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</si>
  <si>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</si>
  <si>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</si>
  <si>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</si>
  <si>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</si>
  <si>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</si>
  <si>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</si>
  <si>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</si>
  <si>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</si>
  <si>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</si>
  <si>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</si>
  <si>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</si>
  <si>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</si>
  <si>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</si>
  <si>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</si>
  <si>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</si>
  <si>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</si>
  <si>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</si>
  <si>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</si>
  <si>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</si>
  <si>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</si>
  <si>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</si>
  <si>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</si>
  <si>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</si>
  <si>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</si>
  <si>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</si>
  <si>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</si>
  <si>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</si>
  <si>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</si>
  <si>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</si>
  <si>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</si>
  <si>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</si>
  <si>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</si>
  <si>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</si>
  <si>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</si>
  <si>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</si>
  <si>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</si>
  <si>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</si>
  <si>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</si>
  <si>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</si>
  <si>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</si>
  <si>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</si>
  <si>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</si>
  <si>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</si>
  <si>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</si>
  <si>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</si>
  <si>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</si>
  <si>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</si>
  <si>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</si>
  <si>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</si>
  <si>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</si>
  <si>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</si>
  <si>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</si>
  <si>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</si>
  <si>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</si>
  <si>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</si>
  <si>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</si>
  <si>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</si>
  <si>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</si>
  <si>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</si>
  <si>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</si>
  <si>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</si>
  <si>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</si>
  <si>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</si>
  <si>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</si>
  <si>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</si>
  <si>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</si>
  <si>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</si>
  <si>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</si>
  <si>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</si>
  <si>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</si>
  <si>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</si>
  <si>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</si>
  <si>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</si>
  <si>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</si>
  <si>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</si>
  <si>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</si>
  <si>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</si>
  <si>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</si>
  <si>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</si>
  <si>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</si>
  <si>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</si>
  <si>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</si>
  <si>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</si>
  <si>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</si>
  <si>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</si>
  <si>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</si>
  <si>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</si>
  <si>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</si>
  <si>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</si>
  <si>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</si>
  <si>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</si>
  <si>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</si>
  <si>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</si>
  <si>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</si>
  <si>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</si>
  <si>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</si>
  <si>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</si>
  <si>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</si>
  <si>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</si>
  <si>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</si>
  <si>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</si>
  <si>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</si>
  <si>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</si>
  <si>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</si>
  <si>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</si>
  <si>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</si>
  <si>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</si>
  <si>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</si>
  <si>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</si>
  <si>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</si>
  <si>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</si>
  <si>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</si>
  <si>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</si>
  <si>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</si>
  <si>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</si>
  <si>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</si>
  <si>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</si>
  <si>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</si>
  <si>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</si>
  <si>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</si>
  <si>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</si>
  <si>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</si>
  <si>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</si>
  <si>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</si>
  <si>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</si>
  <si>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</si>
  <si>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</si>
  <si>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</si>
  <si>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</si>
  <si>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</si>
  <si>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</si>
  <si>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</si>
  <si>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</si>
  <si>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</si>
  <si>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</si>
  <si>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24107</t>
  </si>
  <si>
    <t>TIENEN</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</si>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</sst>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81B27BB3-2713-47BD-AF7C-41E8D7629AF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293068.58704880101</c:v>
                </c:pt>
                <c:pt idx="1">
                  <c:v>168834.6468045103</c:v>
                </c:pt>
                <c:pt idx="2">
                  <c:v>2346.0709999999999</c:v>
                </c:pt>
                <c:pt idx="3">
                  <c:v>11600.519909376955</c:v>
                </c:pt>
                <c:pt idx="4">
                  <c:v>149365.99323405052</c:v>
                </c:pt>
                <c:pt idx="5">
                  <c:v>228960.43332812603</c:v>
                </c:pt>
                <c:pt idx="6">
                  <c:v>3440.6281767753044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293068.58704880101</c:v>
                </c:pt>
                <c:pt idx="1">
                  <c:v>168834.6468045103</c:v>
                </c:pt>
                <c:pt idx="2">
                  <c:v>2346.0709999999999</c:v>
                </c:pt>
                <c:pt idx="3">
                  <c:v>11600.519909376955</c:v>
                </c:pt>
                <c:pt idx="4">
                  <c:v>149365.99323405052</c:v>
                </c:pt>
                <c:pt idx="5">
                  <c:v>228960.43332812603</c:v>
                </c:pt>
                <c:pt idx="6">
                  <c:v>3440.6281767753044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59649.494185714837</c:v>
                </c:pt>
                <c:pt idx="1">
                  <c:v>34856.415075210476</c:v>
                </c:pt>
                <c:pt idx="2">
                  <c:v>493.829987741671</c:v>
                </c:pt>
                <c:pt idx="3">
                  <c:v>2982.8287341351815</c:v>
                </c:pt>
                <c:pt idx="4">
                  <c:v>32154.266347005108</c:v>
                </c:pt>
                <c:pt idx="5">
                  <c:v>56965.175400701184</c:v>
                </c:pt>
                <c:pt idx="6">
                  <c:v>867.59512874835048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59649.494185714837</c:v>
                </c:pt>
                <c:pt idx="1">
                  <c:v>34856.415075210476</c:v>
                </c:pt>
                <c:pt idx="2">
                  <c:v>493.829987741671</c:v>
                </c:pt>
                <c:pt idx="3">
                  <c:v>2982.8287341351815</c:v>
                </c:pt>
                <c:pt idx="4">
                  <c:v>32154.266347005108</c:v>
                </c:pt>
                <c:pt idx="5">
                  <c:v>56965.175400701184</c:v>
                </c:pt>
                <c:pt idx="6">
                  <c:v>867.59512874835048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24107</v>
      </c>
      <c r="B6" s="382"/>
      <c r="C6" s="383"/>
    </row>
    <row r="7" spans="1:7" s="380" customFormat="1" ht="15.75" customHeight="1">
      <c r="A7" s="384" t="str">
        <f>txtMunicipality</f>
        <v>TIENEN</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0.21049234560321109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0.21049234560321109</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15107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4717.8999999999996</v>
      </c>
      <c r="C14" s="324"/>
      <c r="D14" s="324"/>
      <c r="E14" s="324"/>
      <c r="F14" s="324"/>
    </row>
    <row r="15" spans="1:6">
      <c r="A15" s="1257" t="s">
        <v>177</v>
      </c>
      <c r="B15" s="1258">
        <v>25</v>
      </c>
      <c r="C15" s="324"/>
      <c r="D15" s="324"/>
      <c r="E15" s="324"/>
      <c r="F15" s="324"/>
    </row>
    <row r="16" spans="1:6">
      <c r="A16" s="1257" t="s">
        <v>6</v>
      </c>
      <c r="B16" s="1258">
        <v>1199</v>
      </c>
      <c r="C16" s="324"/>
      <c r="D16" s="324"/>
      <c r="E16" s="324"/>
      <c r="F16" s="324"/>
    </row>
    <row r="17" spans="1:6">
      <c r="A17" s="1257" t="s">
        <v>7</v>
      </c>
      <c r="B17" s="1258">
        <v>822</v>
      </c>
      <c r="C17" s="324"/>
      <c r="D17" s="324"/>
      <c r="E17" s="324"/>
      <c r="F17" s="324"/>
    </row>
    <row r="18" spans="1:6">
      <c r="A18" s="1257" t="s">
        <v>8</v>
      </c>
      <c r="B18" s="1258">
        <v>1290</v>
      </c>
      <c r="C18" s="324"/>
      <c r="D18" s="324"/>
      <c r="E18" s="324"/>
      <c r="F18" s="324"/>
    </row>
    <row r="19" spans="1:6">
      <c r="A19" s="1257" t="s">
        <v>9</v>
      </c>
      <c r="B19" s="1258">
        <v>1011</v>
      </c>
      <c r="C19" s="324"/>
      <c r="D19" s="324"/>
      <c r="E19" s="324"/>
      <c r="F19" s="324"/>
    </row>
    <row r="20" spans="1:6">
      <c r="A20" s="1257" t="s">
        <v>10</v>
      </c>
      <c r="B20" s="1258">
        <v>743</v>
      </c>
      <c r="C20" s="324"/>
      <c r="D20" s="324"/>
      <c r="E20" s="324"/>
      <c r="F20" s="324"/>
    </row>
    <row r="21" spans="1:6">
      <c r="A21" s="1257" t="s">
        <v>11</v>
      </c>
      <c r="B21" s="1258">
        <v>1485</v>
      </c>
      <c r="C21" s="324"/>
      <c r="D21" s="324"/>
      <c r="E21" s="324"/>
      <c r="F21" s="324"/>
    </row>
    <row r="22" spans="1:6">
      <c r="A22" s="1257" t="s">
        <v>12</v>
      </c>
      <c r="B22" s="1258">
        <v>8333</v>
      </c>
      <c r="C22" s="324"/>
      <c r="D22" s="324"/>
      <c r="E22" s="324"/>
      <c r="F22" s="324"/>
    </row>
    <row r="23" spans="1:6">
      <c r="A23" s="1257" t="s">
        <v>13</v>
      </c>
      <c r="B23" s="1258">
        <v>54</v>
      </c>
      <c r="C23" s="324"/>
      <c r="D23" s="324"/>
      <c r="E23" s="324"/>
      <c r="F23" s="324"/>
    </row>
    <row r="24" spans="1:6">
      <c r="A24" s="1257" t="s">
        <v>14</v>
      </c>
      <c r="B24" s="1258">
        <v>13</v>
      </c>
      <c r="C24" s="324"/>
      <c r="D24" s="324"/>
      <c r="E24" s="324"/>
      <c r="F24" s="324"/>
    </row>
    <row r="25" spans="1:6">
      <c r="A25" s="1257" t="s">
        <v>15</v>
      </c>
      <c r="B25" s="1258">
        <v>228</v>
      </c>
      <c r="C25" s="324"/>
      <c r="D25" s="324"/>
      <c r="E25" s="324"/>
      <c r="F25" s="324"/>
    </row>
    <row r="26" spans="1:6">
      <c r="A26" s="1257" t="s">
        <v>16</v>
      </c>
      <c r="B26" s="1258">
        <v>235</v>
      </c>
      <c r="C26" s="324"/>
      <c r="D26" s="324"/>
      <c r="E26" s="324"/>
      <c r="F26" s="324"/>
    </row>
    <row r="27" spans="1:6">
      <c r="A27" s="1257" t="s">
        <v>17</v>
      </c>
      <c r="B27" s="1258">
        <v>6</v>
      </c>
      <c r="C27" s="324"/>
      <c r="D27" s="324"/>
      <c r="E27" s="324"/>
      <c r="F27" s="324"/>
    </row>
    <row r="28" spans="1:6">
      <c r="A28" s="1257" t="s">
        <v>18</v>
      </c>
      <c r="B28" s="1259">
        <v>22262</v>
      </c>
      <c r="C28" s="324"/>
      <c r="D28" s="324"/>
      <c r="E28" s="324"/>
      <c r="F28" s="324"/>
    </row>
    <row r="29" spans="1:6">
      <c r="A29" s="1257" t="s">
        <v>664</v>
      </c>
      <c r="B29" s="1259">
        <v>187</v>
      </c>
      <c r="C29" s="324"/>
      <c r="D29" s="324"/>
      <c r="E29" s="324"/>
      <c r="F29" s="324"/>
    </row>
    <row r="30" spans="1:6">
      <c r="A30" s="1252" t="s">
        <v>665</v>
      </c>
      <c r="B30" s="1260">
        <v>15</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18</v>
      </c>
      <c r="F36" s="1258">
        <v>50684</v>
      </c>
    </row>
    <row r="37" spans="1:6">
      <c r="A37" s="1257" t="s">
        <v>24</v>
      </c>
      <c r="B37" s="1257" t="s">
        <v>27</v>
      </c>
      <c r="C37" s="1258">
        <v>0</v>
      </c>
      <c r="D37" s="1258">
        <v>0</v>
      </c>
      <c r="E37" s="1258">
        <v>0</v>
      </c>
      <c r="F37" s="1258">
        <v>0</v>
      </c>
    </row>
    <row r="38" spans="1:6">
      <c r="A38" s="1257" t="s">
        <v>24</v>
      </c>
      <c r="B38" s="1257" t="s">
        <v>28</v>
      </c>
      <c r="C38" s="1258">
        <v>1</v>
      </c>
      <c r="D38" s="1258">
        <v>179580.61300000001</v>
      </c>
      <c r="E38" s="1258">
        <v>2</v>
      </c>
      <c r="F38" s="1258">
        <v>12100</v>
      </c>
    </row>
    <row r="39" spans="1:6">
      <c r="A39" s="1257" t="s">
        <v>29</v>
      </c>
      <c r="B39" s="1257" t="s">
        <v>30</v>
      </c>
      <c r="C39" s="1258">
        <v>11165</v>
      </c>
      <c r="D39" s="1258">
        <v>174633238.80000001</v>
      </c>
      <c r="E39" s="1258">
        <v>15126</v>
      </c>
      <c r="F39" s="1258">
        <v>47184151.600000001</v>
      </c>
    </row>
    <row r="40" spans="1:6">
      <c r="A40" s="1257" t="s">
        <v>29</v>
      </c>
      <c r="B40" s="1257" t="s">
        <v>28</v>
      </c>
      <c r="C40" s="1258">
        <v>0</v>
      </c>
      <c r="D40" s="1258">
        <v>0</v>
      </c>
      <c r="E40" s="1258">
        <v>0</v>
      </c>
      <c r="F40" s="1258">
        <v>0</v>
      </c>
    </row>
    <row r="41" spans="1:6">
      <c r="A41" s="1257" t="s">
        <v>31</v>
      </c>
      <c r="B41" s="1257" t="s">
        <v>32</v>
      </c>
      <c r="C41" s="1258">
        <v>180</v>
      </c>
      <c r="D41" s="1258">
        <v>3553567.6880000001</v>
      </c>
      <c r="E41" s="1258">
        <v>297</v>
      </c>
      <c r="F41" s="1258">
        <v>13244299.619999999</v>
      </c>
    </row>
    <row r="42" spans="1:6">
      <c r="A42" s="1257" t="s">
        <v>31</v>
      </c>
      <c r="B42" s="1257" t="s">
        <v>33</v>
      </c>
      <c r="C42" s="1258">
        <v>3</v>
      </c>
      <c r="D42" s="1258">
        <v>64190.608</v>
      </c>
      <c r="E42" s="1258">
        <v>0</v>
      </c>
      <c r="F42" s="1258">
        <v>0</v>
      </c>
    </row>
    <row r="43" spans="1:6">
      <c r="A43" s="1257" t="s">
        <v>31</v>
      </c>
      <c r="B43" s="1257" t="s">
        <v>34</v>
      </c>
      <c r="C43" s="1258">
        <v>0</v>
      </c>
      <c r="D43" s="1258">
        <v>0</v>
      </c>
      <c r="E43" s="1258">
        <v>0</v>
      </c>
      <c r="F43" s="1258">
        <v>0</v>
      </c>
    </row>
    <row r="44" spans="1:6">
      <c r="A44" s="1257" t="s">
        <v>31</v>
      </c>
      <c r="B44" s="1257" t="s">
        <v>35</v>
      </c>
      <c r="C44" s="1258">
        <v>12</v>
      </c>
      <c r="D44" s="1258">
        <v>297661.777</v>
      </c>
      <c r="E44" s="1258">
        <v>32</v>
      </c>
      <c r="F44" s="1258">
        <v>551044.25399999996</v>
      </c>
    </row>
    <row r="45" spans="1:6">
      <c r="A45" s="1257" t="s">
        <v>31</v>
      </c>
      <c r="B45" s="1257" t="s">
        <v>36</v>
      </c>
      <c r="C45" s="1258">
        <v>0</v>
      </c>
      <c r="D45" s="1258">
        <v>0</v>
      </c>
      <c r="E45" s="1258">
        <v>0</v>
      </c>
      <c r="F45" s="1258">
        <v>0</v>
      </c>
    </row>
    <row r="46" spans="1:6">
      <c r="A46" s="1257" t="s">
        <v>31</v>
      </c>
      <c r="B46" s="1257" t="s">
        <v>37</v>
      </c>
      <c r="C46" s="1258">
        <v>3</v>
      </c>
      <c r="D46" s="1258">
        <v>3488047.2880000002</v>
      </c>
      <c r="E46" s="1258">
        <v>3</v>
      </c>
      <c r="F46" s="1258">
        <v>22546298.760000002</v>
      </c>
    </row>
    <row r="47" spans="1:6">
      <c r="A47" s="1257" t="s">
        <v>31</v>
      </c>
      <c r="B47" s="1257" t="s">
        <v>38</v>
      </c>
      <c r="C47" s="1258">
        <v>0</v>
      </c>
      <c r="D47" s="1258">
        <v>0</v>
      </c>
      <c r="E47" s="1258">
        <v>0</v>
      </c>
      <c r="F47" s="1258">
        <v>0</v>
      </c>
    </row>
    <row r="48" spans="1:6">
      <c r="A48" s="1257" t="s">
        <v>31</v>
      </c>
      <c r="B48" s="1257" t="s">
        <v>28</v>
      </c>
      <c r="C48" s="1258">
        <v>28</v>
      </c>
      <c r="D48" s="1258">
        <v>20197783.949999999</v>
      </c>
      <c r="E48" s="1258">
        <v>41</v>
      </c>
      <c r="F48" s="1258">
        <v>50317415.100000001</v>
      </c>
    </row>
    <row r="49" spans="1:6">
      <c r="A49" s="1257" t="s">
        <v>31</v>
      </c>
      <c r="B49" s="1257" t="s">
        <v>39</v>
      </c>
      <c r="C49" s="1258">
        <v>0</v>
      </c>
      <c r="D49" s="1258">
        <v>0</v>
      </c>
      <c r="E49" s="1258">
        <v>0</v>
      </c>
      <c r="F49" s="1258">
        <v>0</v>
      </c>
    </row>
    <row r="50" spans="1:6">
      <c r="A50" s="1257" t="s">
        <v>31</v>
      </c>
      <c r="B50" s="1257" t="s">
        <v>40</v>
      </c>
      <c r="C50" s="1258">
        <v>19</v>
      </c>
      <c r="D50" s="1258">
        <v>701604.223</v>
      </c>
      <c r="E50" s="1258">
        <v>23</v>
      </c>
      <c r="F50" s="1258">
        <v>12151888.35</v>
      </c>
    </row>
    <row r="51" spans="1:6">
      <c r="A51" s="1257" t="s">
        <v>41</v>
      </c>
      <c r="B51" s="1257" t="s">
        <v>42</v>
      </c>
      <c r="C51" s="1258">
        <v>23</v>
      </c>
      <c r="D51" s="1258">
        <v>510497.56300000002</v>
      </c>
      <c r="E51" s="1258">
        <v>111</v>
      </c>
      <c r="F51" s="1258">
        <v>2190381.3229999999</v>
      </c>
    </row>
    <row r="52" spans="1:6">
      <c r="A52" s="1257" t="s">
        <v>41</v>
      </c>
      <c r="B52" s="1257" t="s">
        <v>28</v>
      </c>
      <c r="C52" s="1258">
        <v>7</v>
      </c>
      <c r="D52" s="1258">
        <v>152979.334</v>
      </c>
      <c r="E52" s="1258">
        <v>7</v>
      </c>
      <c r="F52" s="1258">
        <v>72441.395000000004</v>
      </c>
    </row>
    <row r="53" spans="1:6">
      <c r="A53" s="1257" t="s">
        <v>43</v>
      </c>
      <c r="B53" s="1257" t="s">
        <v>44</v>
      </c>
      <c r="C53" s="1258">
        <v>353</v>
      </c>
      <c r="D53" s="1258">
        <v>6602453.3629999999</v>
      </c>
      <c r="E53" s="1258">
        <v>647</v>
      </c>
      <c r="F53" s="1258">
        <v>2112639.0750000002</v>
      </c>
    </row>
    <row r="54" spans="1:6">
      <c r="A54" s="1257" t="s">
        <v>45</v>
      </c>
      <c r="B54" s="1257" t="s">
        <v>46</v>
      </c>
      <c r="C54" s="1258">
        <v>0</v>
      </c>
      <c r="D54" s="1258">
        <v>0</v>
      </c>
      <c r="E54" s="1258">
        <v>1</v>
      </c>
      <c r="F54" s="1258">
        <v>2346071</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100</v>
      </c>
      <c r="D57" s="1258">
        <v>3479732.2749999999</v>
      </c>
      <c r="E57" s="1258">
        <v>155</v>
      </c>
      <c r="F57" s="1258">
        <v>3790410.8650000002</v>
      </c>
    </row>
    <row r="58" spans="1:6">
      <c r="A58" s="1257" t="s">
        <v>48</v>
      </c>
      <c r="B58" s="1257" t="s">
        <v>50</v>
      </c>
      <c r="C58" s="1258">
        <v>106</v>
      </c>
      <c r="D58" s="1258">
        <v>16938332.510000002</v>
      </c>
      <c r="E58" s="1258">
        <v>134</v>
      </c>
      <c r="F58" s="1258">
        <v>7890318.8849999998</v>
      </c>
    </row>
    <row r="59" spans="1:6">
      <c r="A59" s="1257" t="s">
        <v>48</v>
      </c>
      <c r="B59" s="1257" t="s">
        <v>51</v>
      </c>
      <c r="C59" s="1258">
        <v>306</v>
      </c>
      <c r="D59" s="1258">
        <v>16697210.49</v>
      </c>
      <c r="E59" s="1258">
        <v>484</v>
      </c>
      <c r="F59" s="1258">
        <v>16789351.149999999</v>
      </c>
    </row>
    <row r="60" spans="1:6">
      <c r="A60" s="1257" t="s">
        <v>48</v>
      </c>
      <c r="B60" s="1257" t="s">
        <v>52</v>
      </c>
      <c r="C60" s="1258">
        <v>166</v>
      </c>
      <c r="D60" s="1258">
        <v>11595477</v>
      </c>
      <c r="E60" s="1258">
        <v>179</v>
      </c>
      <c r="F60" s="1258">
        <v>5449448.7470000004</v>
      </c>
    </row>
    <row r="61" spans="1:6">
      <c r="A61" s="1257" t="s">
        <v>48</v>
      </c>
      <c r="B61" s="1257" t="s">
        <v>53</v>
      </c>
      <c r="C61" s="1258">
        <v>461</v>
      </c>
      <c r="D61" s="1258">
        <v>41481083.32</v>
      </c>
      <c r="E61" s="1258">
        <v>886</v>
      </c>
      <c r="F61" s="1258">
        <v>29811454.329999998</v>
      </c>
    </row>
    <row r="62" spans="1:6">
      <c r="A62" s="1257" t="s">
        <v>48</v>
      </c>
      <c r="B62" s="1257" t="s">
        <v>54</v>
      </c>
      <c r="C62" s="1258">
        <v>20</v>
      </c>
      <c r="D62" s="1258">
        <v>3817805.2409999999</v>
      </c>
      <c r="E62" s="1258">
        <v>20</v>
      </c>
      <c r="F62" s="1258">
        <v>862094.25199999998</v>
      </c>
    </row>
    <row r="63" spans="1:6">
      <c r="A63" s="1257" t="s">
        <v>48</v>
      </c>
      <c r="B63" s="1257" t="s">
        <v>28</v>
      </c>
      <c r="C63" s="1258">
        <v>96</v>
      </c>
      <c r="D63" s="1258">
        <v>5265539.9589999998</v>
      </c>
      <c r="E63" s="1258">
        <v>85</v>
      </c>
      <c r="F63" s="1258">
        <v>3051651.9569999999</v>
      </c>
    </row>
    <row r="64" spans="1:6">
      <c r="A64" s="1257" t="s">
        <v>55</v>
      </c>
      <c r="B64" s="1257" t="s">
        <v>56</v>
      </c>
      <c r="C64" s="1258">
        <v>0</v>
      </c>
      <c r="D64" s="1258">
        <v>0</v>
      </c>
      <c r="E64" s="1258">
        <v>0</v>
      </c>
      <c r="F64" s="1258">
        <v>0</v>
      </c>
    </row>
    <row r="65" spans="1:6">
      <c r="A65" s="1257" t="s">
        <v>55</v>
      </c>
      <c r="B65" s="1257" t="s">
        <v>28</v>
      </c>
      <c r="C65" s="1258">
        <v>4</v>
      </c>
      <c r="D65" s="1258">
        <v>204417.88099999999</v>
      </c>
      <c r="E65" s="1258">
        <v>2</v>
      </c>
      <c r="F65" s="1258">
        <v>4703.0339999999997</v>
      </c>
    </row>
    <row r="66" spans="1:6">
      <c r="A66" s="1257" t="s">
        <v>55</v>
      </c>
      <c r="B66" s="1257" t="s">
        <v>57</v>
      </c>
      <c r="C66" s="1258">
        <v>0</v>
      </c>
      <c r="D66" s="1258">
        <v>0</v>
      </c>
      <c r="E66" s="1258">
        <v>29</v>
      </c>
      <c r="F66" s="1258">
        <v>660970.89399999997</v>
      </c>
    </row>
    <row r="67" spans="1:6">
      <c r="A67" s="1257" t="s">
        <v>55</v>
      </c>
      <c r="B67" s="1257" t="s">
        <v>58</v>
      </c>
      <c r="C67" s="1258">
        <v>0</v>
      </c>
      <c r="D67" s="1258">
        <v>0</v>
      </c>
      <c r="E67" s="1258">
        <v>0</v>
      </c>
      <c r="F67" s="1258">
        <v>0</v>
      </c>
    </row>
    <row r="68" spans="1:6">
      <c r="A68" s="1252" t="s">
        <v>55</v>
      </c>
      <c r="B68" s="1252" t="s">
        <v>59</v>
      </c>
      <c r="C68" s="1260">
        <v>6</v>
      </c>
      <c r="D68" s="1260">
        <v>283796.58100000001</v>
      </c>
      <c r="E68" s="1260">
        <v>20</v>
      </c>
      <c r="F68" s="1260">
        <v>1286081.284</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134876688</v>
      </c>
      <c r="E73" s="442"/>
      <c r="F73" s="324"/>
    </row>
    <row r="74" spans="1:6">
      <c r="A74" s="1257" t="s">
        <v>63</v>
      </c>
      <c r="B74" s="1257" t="s">
        <v>608</v>
      </c>
      <c r="C74" s="1270" t="s">
        <v>610</v>
      </c>
      <c r="D74" s="1258">
        <v>15725229</v>
      </c>
      <c r="E74" s="442"/>
      <c r="F74" s="324"/>
    </row>
    <row r="75" spans="1:6">
      <c r="A75" s="1257" t="s">
        <v>64</v>
      </c>
      <c r="B75" s="1257" t="s">
        <v>607</v>
      </c>
      <c r="C75" s="1270" t="s">
        <v>611</v>
      </c>
      <c r="D75" s="1258">
        <v>46621256</v>
      </c>
      <c r="E75" s="442"/>
      <c r="F75" s="324"/>
    </row>
    <row r="76" spans="1:6">
      <c r="A76" s="1257" t="s">
        <v>64</v>
      </c>
      <c r="B76" s="1257" t="s">
        <v>608</v>
      </c>
      <c r="C76" s="1270" t="s">
        <v>612</v>
      </c>
      <c r="D76" s="1258">
        <v>1653480</v>
      </c>
      <c r="E76" s="442"/>
      <c r="F76" s="324"/>
    </row>
    <row r="77" spans="1:6">
      <c r="A77" s="1257" t="s">
        <v>65</v>
      </c>
      <c r="B77" s="1257" t="s">
        <v>607</v>
      </c>
      <c r="C77" s="1270" t="s">
        <v>613</v>
      </c>
      <c r="D77" s="1258">
        <v>52791495</v>
      </c>
      <c r="E77" s="442"/>
      <c r="F77" s="324"/>
    </row>
    <row r="78" spans="1:6">
      <c r="A78" s="1252" t="s">
        <v>65</v>
      </c>
      <c r="B78" s="1252" t="s">
        <v>608</v>
      </c>
      <c r="C78" s="1252" t="s">
        <v>614</v>
      </c>
      <c r="D78" s="1260">
        <v>6871781</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942802</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5452.7410077052018</v>
      </c>
      <c r="C91" s="324"/>
      <c r="D91" s="324"/>
      <c r="E91" s="324"/>
      <c r="F91" s="324"/>
    </row>
    <row r="92" spans="1:6">
      <c r="A92" s="1252" t="s">
        <v>68</v>
      </c>
      <c r="B92" s="1253">
        <v>5297.2368801340954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7932</v>
      </c>
      <c r="C97" s="324"/>
      <c r="D97" s="324"/>
      <c r="E97" s="324"/>
      <c r="F97" s="324"/>
    </row>
    <row r="98" spans="1:6">
      <c r="A98" s="1257" t="s">
        <v>71</v>
      </c>
      <c r="B98" s="1258">
        <v>4</v>
      </c>
      <c r="C98" s="324"/>
      <c r="D98" s="324"/>
      <c r="E98" s="324"/>
      <c r="F98" s="324"/>
    </row>
    <row r="99" spans="1:6">
      <c r="A99" s="1257" t="s">
        <v>72</v>
      </c>
      <c r="B99" s="1258">
        <v>90</v>
      </c>
      <c r="C99" s="324"/>
      <c r="D99" s="324"/>
      <c r="E99" s="324"/>
      <c r="F99" s="324"/>
    </row>
    <row r="100" spans="1:6">
      <c r="A100" s="1257" t="s">
        <v>73</v>
      </c>
      <c r="B100" s="1258">
        <v>630</v>
      </c>
      <c r="C100" s="324"/>
      <c r="D100" s="324"/>
      <c r="E100" s="324"/>
      <c r="F100" s="324"/>
    </row>
    <row r="101" spans="1:6">
      <c r="A101" s="1257" t="s">
        <v>74</v>
      </c>
      <c r="B101" s="1258">
        <v>56</v>
      </c>
      <c r="C101" s="324"/>
      <c r="D101" s="324"/>
      <c r="E101" s="324"/>
      <c r="F101" s="324"/>
    </row>
    <row r="102" spans="1:6">
      <c r="A102" s="1257" t="s">
        <v>75</v>
      </c>
      <c r="B102" s="1258">
        <v>307</v>
      </c>
      <c r="C102" s="324"/>
      <c r="D102" s="324"/>
      <c r="E102" s="324"/>
      <c r="F102" s="324"/>
    </row>
    <row r="103" spans="1:6">
      <c r="A103" s="1257" t="s">
        <v>76</v>
      </c>
      <c r="B103" s="1258">
        <v>329</v>
      </c>
      <c r="C103" s="324"/>
      <c r="D103" s="324"/>
      <c r="E103" s="324"/>
      <c r="F103" s="324"/>
    </row>
    <row r="104" spans="1:6">
      <c r="A104" s="1257" t="s">
        <v>77</v>
      </c>
      <c r="B104" s="1258">
        <v>4635</v>
      </c>
      <c r="C104" s="324"/>
      <c r="D104" s="324"/>
      <c r="E104" s="324"/>
      <c r="F104" s="324"/>
    </row>
    <row r="105" spans="1:6">
      <c r="A105" s="1252" t="s">
        <v>78</v>
      </c>
      <c r="B105" s="1260">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34</v>
      </c>
      <c r="C123" s="1258">
        <v>36</v>
      </c>
      <c r="D123" s="324"/>
      <c r="E123" s="324"/>
      <c r="F123" s="324"/>
    </row>
    <row r="124" spans="1:6">
      <c r="A124" s="1257" t="s">
        <v>88</v>
      </c>
      <c r="B124" s="1258">
        <v>0</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161</v>
      </c>
      <c r="C129" s="324"/>
      <c r="D129" s="324"/>
      <c r="E129" s="324"/>
      <c r="F129" s="324"/>
    </row>
    <row r="130" spans="1:6">
      <c r="A130" s="1257" t="s">
        <v>283</v>
      </c>
      <c r="B130" s="1258">
        <v>2</v>
      </c>
      <c r="C130" s="324"/>
      <c r="D130" s="324"/>
      <c r="E130" s="324"/>
      <c r="F130" s="324"/>
    </row>
    <row r="131" spans="1:6">
      <c r="A131" s="1257" t="s">
        <v>284</v>
      </c>
      <c r="B131" s="1258">
        <v>8</v>
      </c>
      <c r="C131" s="324"/>
      <c r="D131" s="324"/>
      <c r="E131" s="324"/>
      <c r="F131" s="324"/>
    </row>
    <row r="132" spans="1:6">
      <c r="A132" s="1252" t="s">
        <v>285</v>
      </c>
      <c r="B132" s="1253">
        <v>19</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226096.61714211933</v>
      </c>
      <c r="C3" s="43" t="s">
        <v>163</v>
      </c>
      <c r="D3" s="43"/>
      <c r="E3" s="153"/>
      <c r="F3" s="43"/>
      <c r="G3" s="43"/>
      <c r="H3" s="43"/>
      <c r="I3" s="43"/>
      <c r="J3" s="43"/>
      <c r="K3" s="96"/>
    </row>
    <row r="4" spans="1:11">
      <c r="A4" s="350" t="s">
        <v>164</v>
      </c>
      <c r="B4" s="49">
        <f>IF(ISERROR('SEAP template'!B78+'SEAP template'!C78),0,'SEAP template'!B78+'SEAP template'!C78)</f>
        <v>10749.977887839297</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0.21049234560321109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2346.0709999999999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2346.0709999999999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0.21049234560321109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493.829987741671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47184.151600000005</v>
      </c>
      <c r="C5" s="17">
        <f>IF(ISERROR('Eigen informatie GS &amp; warmtenet'!B59),0,'Eigen informatie GS &amp; warmtenet'!B59)</f>
        <v>0</v>
      </c>
      <c r="D5" s="30">
        <f>(SUM(HH_hh_gas_kWh,HH_rest_gas_kWh)/1000)*0.902</f>
        <v>157519.18139760001</v>
      </c>
      <c r="E5" s="17">
        <f>B32*B41</f>
        <v>3101.9785596643019</v>
      </c>
      <c r="F5" s="17">
        <f>B36*B45</f>
        <v>59695.400181482182</v>
      </c>
      <c r="G5" s="18"/>
      <c r="H5" s="17"/>
      <c r="I5" s="17"/>
      <c r="J5" s="17">
        <f>B35*B44+C35*C44</f>
        <v>305.46771649689629</v>
      </c>
      <c r="K5" s="17"/>
      <c r="L5" s="17"/>
      <c r="M5" s="17"/>
      <c r="N5" s="17">
        <f>B34*B43+C34*C43</f>
        <v>18858.543015106447</v>
      </c>
      <c r="O5" s="17">
        <f>B52*B53*B54</f>
        <v>392.82372743863232</v>
      </c>
      <c r="P5" s="17">
        <f>B60*B61*B62/1000-B60*B61*B62/1000/B63</f>
        <v>558.29984330730622</v>
      </c>
    </row>
    <row r="6" spans="1:16">
      <c r="A6" s="16" t="s">
        <v>573</v>
      </c>
      <c r="B6" s="738">
        <f>kWh_PV_kleiner_dan_10kW</f>
        <v>5452.7410077052018</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52636.892607705209</v>
      </c>
      <c r="C8" s="21">
        <f>C5</f>
        <v>0</v>
      </c>
      <c r="D8" s="21">
        <f>D5</f>
        <v>157519.18139760001</v>
      </c>
      <c r="E8" s="21">
        <f>E5</f>
        <v>3101.9785596643019</v>
      </c>
      <c r="F8" s="21">
        <f>F5</f>
        <v>59695.400181482182</v>
      </c>
      <c r="G8" s="21"/>
      <c r="H8" s="21"/>
      <c r="I8" s="21"/>
      <c r="J8" s="21">
        <f>J5</f>
        <v>305.46771649689629</v>
      </c>
      <c r="K8" s="21"/>
      <c r="L8" s="21">
        <f>L5</f>
        <v>0</v>
      </c>
      <c r="M8" s="21">
        <f>M5</f>
        <v>0</v>
      </c>
      <c r="N8" s="21">
        <f>N5</f>
        <v>18858.543015106447</v>
      </c>
      <c r="O8" s="21">
        <f>O5</f>
        <v>392.82372743863232</v>
      </c>
      <c r="P8" s="21">
        <f>P5</f>
        <v>558.29984330730622</v>
      </c>
    </row>
    <row r="9" spans="1:16">
      <c r="B9" s="19"/>
      <c r="C9" s="19"/>
      <c r="D9" s="255"/>
      <c r="E9" s="19"/>
      <c r="F9" s="19"/>
      <c r="G9" s="19"/>
      <c r="H9" s="19"/>
      <c r="I9" s="19"/>
      <c r="J9" s="19"/>
      <c r="K9" s="19"/>
      <c r="L9" s="19"/>
      <c r="M9" s="19"/>
      <c r="N9" s="19"/>
      <c r="O9" s="19"/>
      <c r="P9" s="19"/>
    </row>
    <row r="10" spans="1:16">
      <c r="A10" s="24" t="s">
        <v>207</v>
      </c>
      <c r="B10" s="25">
        <f ca="1">'EF ele_warmte'!B12</f>
        <v>0.21049234560321109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11079.662990260193</v>
      </c>
      <c r="C12" s="23">
        <f ca="1">C10*C8</f>
        <v>0</v>
      </c>
      <c r="D12" s="23">
        <f>D8*D10</f>
        <v>31818.874642315204</v>
      </c>
      <c r="E12" s="23">
        <f>E10*E8</f>
        <v>704.1491330437965</v>
      </c>
      <c r="F12" s="23">
        <f>F10*F8</f>
        <v>15938.671848455744</v>
      </c>
      <c r="G12" s="23"/>
      <c r="H12" s="23"/>
      <c r="I12" s="23"/>
      <c r="J12" s="23">
        <f>J10*J8</f>
        <v>108.13557163990129</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15107</v>
      </c>
      <c r="C26" s="36"/>
      <c r="D26" s="225"/>
    </row>
    <row r="27" spans="1:7" s="15" customFormat="1">
      <c r="A27" s="227" t="s">
        <v>774</v>
      </c>
      <c r="B27" s="37">
        <f>SUM(HH_hh_gas_aantal,HH_rest_gas_aantal)</f>
        <v>11165</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10606.75</v>
      </c>
      <c r="C31" s="165" t="s">
        <v>104</v>
      </c>
      <c r="D31" s="230"/>
      <c r="G31" s="15"/>
    </row>
    <row r="32" spans="1:7">
      <c r="A32" s="168" t="s">
        <v>72</v>
      </c>
      <c r="B32" s="165">
        <f>IF((B21*($B$26-($B$27-0.05*$B$27)-$B$60))&lt;0,0,B21*($B$26-($B$27-0.05*$B$27)-$B$60))</f>
        <v>50.134593409253078</v>
      </c>
      <c r="C32" s="165" t="s">
        <v>104</v>
      </c>
      <c r="D32" s="230"/>
      <c r="G32" s="15"/>
    </row>
    <row r="33" spans="1:7">
      <c r="A33" s="168" t="s">
        <v>73</v>
      </c>
      <c r="B33" s="165">
        <f>IF((B22*($B$26-($B$27-0.05*$B$27)-$B$60))&lt;0,0,B22*($B$26-($B$27-0.05*$B$27)-$B$60))</f>
        <v>1042.3402984699526</v>
      </c>
      <c r="C33" s="165" t="s">
        <v>104</v>
      </c>
      <c r="D33" s="230"/>
      <c r="G33" s="15"/>
    </row>
    <row r="34" spans="1:7">
      <c r="A34" s="168" t="s">
        <v>74</v>
      </c>
      <c r="B34" s="165">
        <f>IF((B24*($B$26-($B$27-0.05*$B$27)-$B$60))&lt;0,0,B24*($B$26-($B$27-0.05*$B$27)-$B$60))</f>
        <v>440.12205295899537</v>
      </c>
      <c r="C34" s="165">
        <f>B26*C24</f>
        <v>2606.9010504776461</v>
      </c>
      <c r="D34" s="230"/>
      <c r="G34" s="15"/>
    </row>
    <row r="35" spans="1:7">
      <c r="A35" s="168" t="s">
        <v>76</v>
      </c>
      <c r="B35" s="165">
        <f>IF((B19*($B$26-($B$27-0.05*$B$27)-$B$60))&lt;0,0,B19*($B$26-($B$27-0.05*$B$27)-$B$60))</f>
        <v>37.946481163631795</v>
      </c>
      <c r="C35" s="165">
        <f>B35/2</f>
        <v>18.973240581815897</v>
      </c>
      <c r="D35" s="231"/>
      <c r="G35" s="15"/>
    </row>
    <row r="36" spans="1:7">
      <c r="A36" s="168" t="s">
        <v>77</v>
      </c>
      <c r="B36" s="165">
        <f>IF((B18*($B$26-($B$27-0.05*$B$27)-$B$60))&lt;0,0,B18*($B$26-($B$27-0.05*$B$27)-$B$60))</f>
        <v>2876.7065739981672</v>
      </c>
      <c r="C36" s="165" t="s">
        <v>104</v>
      </c>
      <c r="D36" s="231"/>
      <c r="G36" s="15"/>
    </row>
    <row r="37" spans="1:7">
      <c r="A37" s="168" t="s">
        <v>78</v>
      </c>
      <c r="B37" s="165">
        <f>B60</f>
        <v>53</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198</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53</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67644.730186000001</v>
      </c>
      <c r="C5" s="17">
        <f>IF(ISERROR('Eigen informatie GS &amp; warmtenet'!B60),0,'Eigen informatie GS &amp; warmtenet'!B60)</f>
        <v>0</v>
      </c>
      <c r="D5" s="30">
        <f>SUM(D6:D12)</f>
        <v>89546.213077089997</v>
      </c>
      <c r="E5" s="17">
        <f>SUM(E6:E12)</f>
        <v>112.88035471712519</v>
      </c>
      <c r="F5" s="17">
        <f>SUM(F6:F12)</f>
        <v>9377.3139389157677</v>
      </c>
      <c r="G5" s="18"/>
      <c r="H5" s="17"/>
      <c r="I5" s="17"/>
      <c r="J5" s="17">
        <f>SUM(J6:J12)</f>
        <v>4.3635252893951808E-2</v>
      </c>
      <c r="K5" s="17"/>
      <c r="L5" s="17"/>
      <c r="M5" s="17"/>
      <c r="N5" s="17">
        <f>SUM(N6:N12)</f>
        <v>1723.3579845509121</v>
      </c>
      <c r="O5" s="17">
        <f>B38*B39*B40</f>
        <v>9.7945215316823084</v>
      </c>
      <c r="P5" s="17">
        <f>B46*B47*B48/1000-B46*B47*B48/1000/B49</f>
        <v>420.31310645196015</v>
      </c>
      <c r="R5" s="32"/>
    </row>
    <row r="6" spans="1:18">
      <c r="A6" s="32" t="s">
        <v>53</v>
      </c>
      <c r="B6" s="37">
        <f>B26</f>
        <v>29811.454329999997</v>
      </c>
      <c r="C6" s="33"/>
      <c r="D6" s="37">
        <f>IF(ISERROR(TER_kantoor_gas_kWh/1000),0,TER_kantoor_gas_kWh/1000)*0.902</f>
        <v>37415.93715464</v>
      </c>
      <c r="E6" s="33">
        <f>$C$26*'E Balans VL '!I12/100/3.6*1000000</f>
        <v>7.7846255318843731</v>
      </c>
      <c r="F6" s="33">
        <f>$C$26*('E Balans VL '!L12+'E Balans VL '!N12)/100/3.6*1000000</f>
        <v>2978.6472039458527</v>
      </c>
      <c r="G6" s="34"/>
      <c r="H6" s="33"/>
      <c r="I6" s="33"/>
      <c r="J6" s="33">
        <f>$C$26*('E Balans VL '!D12+'E Balans VL '!E12)/100/3.6*1000000</f>
        <v>0</v>
      </c>
      <c r="K6" s="33"/>
      <c r="L6" s="33"/>
      <c r="M6" s="33"/>
      <c r="N6" s="33">
        <f>$C$26*'E Balans VL '!Y12/100/3.6*1000000</f>
        <v>21.136165638924563</v>
      </c>
      <c r="O6" s="33"/>
      <c r="P6" s="33"/>
      <c r="R6" s="32"/>
    </row>
    <row r="7" spans="1:18">
      <c r="A7" s="32" t="s">
        <v>52</v>
      </c>
      <c r="B7" s="37">
        <f t="shared" ref="B7:B12" si="0">B27</f>
        <v>5449.4487470000004</v>
      </c>
      <c r="C7" s="33"/>
      <c r="D7" s="37">
        <f>IF(ISERROR(TER_horeca_gas_kWh/1000),0,TER_horeca_gas_kWh/1000)*0.902</f>
        <v>10459.120254000001</v>
      </c>
      <c r="E7" s="33">
        <f>$C$27*'E Balans VL '!I9/100/3.6*1000000</f>
        <v>0</v>
      </c>
      <c r="F7" s="33">
        <f>$C$27*('E Balans VL '!L9+'E Balans VL '!N9)/100/3.6*1000000</f>
        <v>447.54399981761128</v>
      </c>
      <c r="G7" s="34"/>
      <c r="H7" s="33"/>
      <c r="I7" s="33"/>
      <c r="J7" s="33">
        <f>$C$27*('E Balans VL '!D9+'E Balans VL '!E9)/100/3.6*1000000</f>
        <v>0</v>
      </c>
      <c r="K7" s="33"/>
      <c r="L7" s="33"/>
      <c r="M7" s="33"/>
      <c r="N7" s="33">
        <f>$C$27*'E Balans VL '!Y9/100/3.6*1000000</f>
        <v>68.865078289611418</v>
      </c>
      <c r="O7" s="33"/>
      <c r="P7" s="33"/>
      <c r="R7" s="32"/>
    </row>
    <row r="8" spans="1:18">
      <c r="A8" s="6" t="s">
        <v>51</v>
      </c>
      <c r="B8" s="37">
        <f t="shared" si="0"/>
        <v>16789.351149999999</v>
      </c>
      <c r="C8" s="33"/>
      <c r="D8" s="37">
        <f>IF(ISERROR(TER_handel_gas_kWh/1000),0,TER_handel_gas_kWh/1000)*0.902</f>
        <v>15060.883861980001</v>
      </c>
      <c r="E8" s="33">
        <f>$C$28*'E Balans VL '!I13/100/3.6*1000000</f>
        <v>61.705271162795945</v>
      </c>
      <c r="F8" s="33">
        <f>$C$28*('E Balans VL '!L13+'E Balans VL '!N13)/100/3.6*1000000</f>
        <v>1603.6659435282681</v>
      </c>
      <c r="G8" s="34"/>
      <c r="H8" s="33"/>
      <c r="I8" s="33"/>
      <c r="J8" s="33">
        <f>$C$28*('E Balans VL '!D13+'E Balans VL '!E13)/100/3.6*1000000</f>
        <v>0</v>
      </c>
      <c r="K8" s="33"/>
      <c r="L8" s="33"/>
      <c r="M8" s="33"/>
      <c r="N8" s="33">
        <f>$C$28*'E Balans VL '!Y13/100/3.6*1000000</f>
        <v>6.6431517419550472</v>
      </c>
      <c r="O8" s="33"/>
      <c r="P8" s="33"/>
      <c r="R8" s="32"/>
    </row>
    <row r="9" spans="1:18">
      <c r="A9" s="32" t="s">
        <v>50</v>
      </c>
      <c r="B9" s="37">
        <f t="shared" si="0"/>
        <v>7890.3188849999997</v>
      </c>
      <c r="C9" s="33"/>
      <c r="D9" s="37">
        <f>IF(ISERROR(TER_gezond_gas_kWh/1000),0,TER_gezond_gas_kWh/1000)*0.902</f>
        <v>15278.37592402</v>
      </c>
      <c r="E9" s="33">
        <f>$C$29*'E Balans VL '!I10/100/3.6*1000000</f>
        <v>0</v>
      </c>
      <c r="F9" s="33">
        <f>$C$29*('E Balans VL '!L10+'E Balans VL '!N10)/100/3.6*1000000</f>
        <v>533.02778576016158</v>
      </c>
      <c r="G9" s="34"/>
      <c r="H9" s="33"/>
      <c r="I9" s="33"/>
      <c r="J9" s="33">
        <f>$C$29*('E Balans VL '!D10+'E Balans VL '!E10)/100/3.6*1000000</f>
        <v>0</v>
      </c>
      <c r="K9" s="33"/>
      <c r="L9" s="33"/>
      <c r="M9" s="33"/>
      <c r="N9" s="33">
        <f>$C$29*'E Balans VL '!Y10/100/3.6*1000000</f>
        <v>61.392567949076721</v>
      </c>
      <c r="O9" s="33"/>
      <c r="P9" s="33"/>
      <c r="R9" s="32"/>
    </row>
    <row r="10" spans="1:18">
      <c r="A10" s="32" t="s">
        <v>49</v>
      </c>
      <c r="B10" s="37">
        <f t="shared" si="0"/>
        <v>3790.4108650000003</v>
      </c>
      <c r="C10" s="33"/>
      <c r="D10" s="37">
        <f>IF(ISERROR(TER_ander_gas_kWh/1000),0,TER_ander_gas_kWh/1000)*0.902</f>
        <v>3138.7185120499998</v>
      </c>
      <c r="E10" s="33">
        <f>$C$30*'E Balans VL '!I14/100/3.6*1000000</f>
        <v>34.370707695060673</v>
      </c>
      <c r="F10" s="33">
        <f>$C$30*('E Balans VL '!L14+'E Balans VL '!N14)/100/3.6*1000000</f>
        <v>2996.1191625321226</v>
      </c>
      <c r="G10" s="34"/>
      <c r="H10" s="33"/>
      <c r="I10" s="33"/>
      <c r="J10" s="33">
        <f>$C$30*('E Balans VL '!D14+'E Balans VL '!E14)/100/3.6*1000000</f>
        <v>3.7515680503953382E-2</v>
      </c>
      <c r="K10" s="33"/>
      <c r="L10" s="33"/>
      <c r="M10" s="33"/>
      <c r="N10" s="33">
        <f>$C$30*'E Balans VL '!Y14/100/3.6*1000000</f>
        <v>1337.82181438681</v>
      </c>
      <c r="O10" s="33"/>
      <c r="P10" s="33"/>
      <c r="R10" s="32"/>
    </row>
    <row r="11" spans="1:18">
      <c r="A11" s="32" t="s">
        <v>54</v>
      </c>
      <c r="B11" s="37">
        <f t="shared" si="0"/>
        <v>862.09425199999998</v>
      </c>
      <c r="C11" s="33"/>
      <c r="D11" s="37">
        <f>IF(ISERROR(TER_onderwijs_gas_kWh/1000),0,TER_onderwijs_gas_kWh/1000)*0.902</f>
        <v>3443.6603273820001</v>
      </c>
      <c r="E11" s="33">
        <f>$C$31*'E Balans VL '!I11/100/3.6*1000000</f>
        <v>0</v>
      </c>
      <c r="F11" s="33">
        <f>$C$31*('E Balans VL '!L11+'E Balans VL '!N11)/100/3.6*1000000</f>
        <v>102.60080706433335</v>
      </c>
      <c r="G11" s="34"/>
      <c r="H11" s="33"/>
      <c r="I11" s="33"/>
      <c r="J11" s="33">
        <f>$C$31*('E Balans VL '!D11+'E Balans VL '!E11)/100/3.6*1000000</f>
        <v>0</v>
      </c>
      <c r="K11" s="33"/>
      <c r="L11" s="33"/>
      <c r="M11" s="33"/>
      <c r="N11" s="33">
        <f>$C$31*'E Balans VL '!Y11/100/3.6*1000000</f>
        <v>1.9172765811669967</v>
      </c>
      <c r="O11" s="33"/>
      <c r="P11" s="33"/>
      <c r="R11" s="32"/>
    </row>
    <row r="12" spans="1:18">
      <c r="A12" s="32" t="s">
        <v>248</v>
      </c>
      <c r="B12" s="37">
        <f t="shared" si="0"/>
        <v>3051.651957</v>
      </c>
      <c r="C12" s="33"/>
      <c r="D12" s="37">
        <f>IF(ISERROR(TER_rest_gas_kWh/1000),0,TER_rest_gas_kWh/1000)*0.902</f>
        <v>4749.5170430179996</v>
      </c>
      <c r="E12" s="33">
        <f>$C$32*'E Balans VL '!I8/100/3.6*1000000</f>
        <v>9.0197503273842088</v>
      </c>
      <c r="F12" s="33">
        <f>$C$32*('E Balans VL '!L8+'E Balans VL '!N8)/100/3.6*1000000</f>
        <v>715.70903626741926</v>
      </c>
      <c r="G12" s="34"/>
      <c r="H12" s="33"/>
      <c r="I12" s="33"/>
      <c r="J12" s="33">
        <f>$C$32*('E Balans VL '!D8+'E Balans VL '!E8)/100/3.6*1000000</f>
        <v>6.1195723899984279E-3</v>
      </c>
      <c r="K12" s="33"/>
      <c r="L12" s="33"/>
      <c r="M12" s="33"/>
      <c r="N12" s="33">
        <f>$C$32*'E Balans VL '!Y8/100/3.6*1000000</f>
        <v>225.58192996336723</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67644.730186000001</v>
      </c>
      <c r="C16" s="21">
        <f t="shared" ca="1" si="1"/>
        <v>0</v>
      </c>
      <c r="D16" s="21">
        <f t="shared" ca="1" si="1"/>
        <v>89546.213077089997</v>
      </c>
      <c r="E16" s="21">
        <f t="shared" si="1"/>
        <v>112.88035471712519</v>
      </c>
      <c r="F16" s="21">
        <f t="shared" ca="1" si="1"/>
        <v>9377.3139389157677</v>
      </c>
      <c r="G16" s="21">
        <f t="shared" si="1"/>
        <v>0</v>
      </c>
      <c r="H16" s="21">
        <f t="shared" si="1"/>
        <v>0</v>
      </c>
      <c r="I16" s="21">
        <f t="shared" si="1"/>
        <v>0</v>
      </c>
      <c r="J16" s="21">
        <f t="shared" si="1"/>
        <v>4.3635252893951808E-2</v>
      </c>
      <c r="K16" s="21">
        <f t="shared" si="1"/>
        <v>0</v>
      </c>
      <c r="L16" s="21">
        <f t="shared" ca="1" si="1"/>
        <v>0</v>
      </c>
      <c r="M16" s="21">
        <f t="shared" si="1"/>
        <v>0</v>
      </c>
      <c r="N16" s="21">
        <f t="shared" ca="1" si="1"/>
        <v>1723.3579845509121</v>
      </c>
      <c r="O16" s="21">
        <f>O5</f>
        <v>9.7945215316823084</v>
      </c>
      <c r="P16" s="21">
        <f>P5</f>
        <v>420.31310645196015</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0.21049234560321109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14238.697924547478</v>
      </c>
      <c r="C20" s="23">
        <f t="shared" ref="C20:P20" ca="1" si="2">C16*C18</f>
        <v>0</v>
      </c>
      <c r="D20" s="23">
        <f t="shared" ca="1" si="2"/>
        <v>18088.33504157218</v>
      </c>
      <c r="E20" s="23">
        <f t="shared" si="2"/>
        <v>25.623840520787418</v>
      </c>
      <c r="F20" s="23">
        <f t="shared" ca="1" si="2"/>
        <v>2503.74282169051</v>
      </c>
      <c r="G20" s="23">
        <f t="shared" si="2"/>
        <v>0</v>
      </c>
      <c r="H20" s="23">
        <f t="shared" si="2"/>
        <v>0</v>
      </c>
      <c r="I20" s="23">
        <f t="shared" si="2"/>
        <v>0</v>
      </c>
      <c r="J20" s="23">
        <f t="shared" si="2"/>
        <v>1.544687952445894E-2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29811.454329999997</v>
      </c>
      <c r="C26" s="39">
        <f>IF(ISERROR(B26*3.6/1000000/'E Balans VL '!Z12*100),0,B26*3.6/1000000/'E Balans VL '!Z12*100)</f>
        <v>0.8342800009342568</v>
      </c>
      <c r="D26" s="234" t="s">
        <v>667</v>
      </c>
      <c r="F26" s="6"/>
    </row>
    <row r="27" spans="1:18">
      <c r="A27" s="228" t="s">
        <v>52</v>
      </c>
      <c r="B27" s="33">
        <f>IF(ISERROR(TER_horeca_ele_kWh/1000),0,TER_horeca_ele_kWh/1000)</f>
        <v>5449.4487470000004</v>
      </c>
      <c r="C27" s="39">
        <f>IF(ISERROR(B27*3.6/1000000/'E Balans VL '!Z9*100),0,B27*3.6/1000000/'E Balans VL '!Z9*100)</f>
        <v>0.40616070461578824</v>
      </c>
      <c r="D27" s="234" t="s">
        <v>667</v>
      </c>
      <c r="F27" s="6"/>
    </row>
    <row r="28" spans="1:18">
      <c r="A28" s="168" t="s">
        <v>51</v>
      </c>
      <c r="B28" s="33">
        <f>IF(ISERROR(TER_handel_ele_kWh/1000),0,TER_handel_ele_kWh/1000)</f>
        <v>16789.351149999999</v>
      </c>
      <c r="C28" s="39">
        <f>IF(ISERROR(B28*3.6/1000000/'E Balans VL '!Z13*100),0,B28*3.6/1000000/'E Balans VL '!Z13*100)</f>
        <v>0.48643195163222774</v>
      </c>
      <c r="D28" s="234" t="s">
        <v>667</v>
      </c>
      <c r="F28" s="6"/>
    </row>
    <row r="29" spans="1:18">
      <c r="A29" s="228" t="s">
        <v>50</v>
      </c>
      <c r="B29" s="33">
        <f>IF(ISERROR(TER_gezond_ele_kWh/1000),0,TER_gezond_ele_kWh/1000)</f>
        <v>7890.3188849999997</v>
      </c>
      <c r="C29" s="39">
        <f>IF(ISERROR(B29*3.6/1000000/'E Balans VL '!Z10*100),0,B29*3.6/1000000/'E Balans VL '!Z10*100)</f>
        <v>0.79574806914076457</v>
      </c>
      <c r="D29" s="234" t="s">
        <v>667</v>
      </c>
      <c r="F29" s="6"/>
    </row>
    <row r="30" spans="1:18">
      <c r="A30" s="228" t="s">
        <v>49</v>
      </c>
      <c r="B30" s="33">
        <f>IF(ISERROR(TER_ander_ele_kWh/1000),0,TER_ander_ele_kWh/1000)</f>
        <v>3790.4108650000003</v>
      </c>
      <c r="C30" s="39">
        <f>IF(ISERROR(B30*3.6/1000000/'E Balans VL '!Z14*100),0,B30*3.6/1000000/'E Balans VL '!Z14*100)</f>
        <v>0.15364783824144729</v>
      </c>
      <c r="D30" s="234" t="s">
        <v>667</v>
      </c>
      <c r="F30" s="6"/>
    </row>
    <row r="31" spans="1:18">
      <c r="A31" s="228" t="s">
        <v>54</v>
      </c>
      <c r="B31" s="33">
        <f>IF(ISERROR(TER_onderwijs_ele_kWh/1000),0,TER_onderwijs_ele_kWh/1000)</f>
        <v>862.09425199999998</v>
      </c>
      <c r="C31" s="39">
        <f>IF(ISERROR(B31*3.6/1000000/'E Balans VL '!Z11*100),0,B31*3.6/1000000/'E Balans VL '!Z11*100)</f>
        <v>0.24573196793260935</v>
      </c>
      <c r="D31" s="234" t="s">
        <v>667</v>
      </c>
    </row>
    <row r="32" spans="1:18">
      <c r="A32" s="228" t="s">
        <v>248</v>
      </c>
      <c r="B32" s="33">
        <f>IF(ISERROR(TER_rest_ele_kWh/1000),0,TER_rest_ele_kWh/1000)</f>
        <v>3051.651957</v>
      </c>
      <c r="C32" s="39">
        <f>IF(ISERROR(B32*3.6/1000000/'E Balans VL '!Z8*100),0,B32*3.6/1000000/'E Balans VL '!Z8*100)</f>
        <v>2.5063095112621545E-2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2</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8</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98810.946083999996</v>
      </c>
      <c r="C5" s="17">
        <f>IF(ISERROR('Eigen informatie GS &amp; warmtenet'!B61),0,'Eigen informatie GS &amp; warmtenet'!B61)</f>
        <v>0</v>
      </c>
      <c r="D5" s="30">
        <f>SUM(D6:D15)</f>
        <v>22382.957037892003</v>
      </c>
      <c r="E5" s="17">
        <f>SUM(E6:E15)</f>
        <v>2543.7998679601333</v>
      </c>
      <c r="F5" s="17">
        <f>SUM(F6:F15)</f>
        <v>19311.1463304434</v>
      </c>
      <c r="G5" s="18"/>
      <c r="H5" s="17"/>
      <c r="I5" s="17"/>
      <c r="J5" s="17">
        <f>SUM(J6:J15)</f>
        <v>3108.5948378587577</v>
      </c>
      <c r="K5" s="17"/>
      <c r="L5" s="17"/>
      <c r="M5" s="17"/>
      <c r="N5" s="17">
        <f>SUM(N6:N15)</f>
        <v>3208.5490758962314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22546.298760000001</v>
      </c>
      <c r="C7" s="33"/>
      <c r="D7" s="37">
        <f>IF( ISERROR(IND_nonf_gas_kWhh/1000),0,IND_nonf_gas_kWh/1000)*0.902</f>
        <v>0</v>
      </c>
      <c r="E7" s="33">
        <f>C29*'E Balans VL '!I17/100/3.6*1000000</f>
        <v>84.145970166133225</v>
      </c>
      <c r="F7" s="33">
        <f>C29*'E Balans VL '!L17/100/3.6*1000000+C29*'E Balans VL '!N17/100/3.6*1000000</f>
        <v>1858.8745543442749</v>
      </c>
      <c r="G7" s="34"/>
      <c r="H7" s="33"/>
      <c r="I7" s="33"/>
      <c r="J7" s="40">
        <f>C29*'E Balans VL '!D17/100/3.6*1000000+C29*'E Balans VL '!E17/100/3.6*1000000</f>
        <v>2914.6794790062181</v>
      </c>
      <c r="K7" s="33"/>
      <c r="L7" s="33"/>
      <c r="M7" s="33"/>
      <c r="N7" s="33">
        <f>C29*'E Balans VL '!Y17/100/3.6*1000000</f>
        <v>0</v>
      </c>
      <c r="O7" s="33"/>
      <c r="P7" s="33"/>
      <c r="R7" s="32"/>
    </row>
    <row r="8" spans="1:18">
      <c r="A8" s="6" t="s">
        <v>35</v>
      </c>
      <c r="B8" s="37">
        <f t="shared" si="0"/>
        <v>551.04425399999991</v>
      </c>
      <c r="C8" s="33"/>
      <c r="D8" s="37">
        <f>IF( ISERROR(IND_metaal_Gas_kWH/1000),0,IND_metaal_Gas_kWH/1000)*0.902</f>
        <v>268.49092285400002</v>
      </c>
      <c r="E8" s="33">
        <f>C30*'E Balans VL '!I18/100/3.6*1000000</f>
        <v>3.9544251449239907</v>
      </c>
      <c r="F8" s="33">
        <f>C30*'E Balans VL '!L18/100/3.6*1000000+C30*'E Balans VL '!N18/100/3.6*1000000</f>
        <v>36.677111050029502</v>
      </c>
      <c r="G8" s="34"/>
      <c r="H8" s="33"/>
      <c r="I8" s="33"/>
      <c r="J8" s="40">
        <f>C30*'E Balans VL '!D18/100/3.6*1000000+C30*'E Balans VL '!E18/100/3.6*1000000</f>
        <v>0.53123022413343146</v>
      </c>
      <c r="K8" s="33"/>
      <c r="L8" s="33"/>
      <c r="M8" s="33"/>
      <c r="N8" s="33">
        <f>C30*'E Balans VL '!Y18/100/3.6*1000000</f>
        <v>6.6773878761544081</v>
      </c>
      <c r="O8" s="33"/>
      <c r="P8" s="33"/>
      <c r="R8" s="32"/>
    </row>
    <row r="9" spans="1:18">
      <c r="A9" s="6" t="s">
        <v>32</v>
      </c>
      <c r="B9" s="37">
        <f t="shared" si="0"/>
        <v>13244.29962</v>
      </c>
      <c r="C9" s="33"/>
      <c r="D9" s="37">
        <f>IF( ISERROR(IND_andere_gas_kWh/1000),0,IND_andere_gas_kWh/1000)*0.902</f>
        <v>3205.3180545760001</v>
      </c>
      <c r="E9" s="33">
        <f>C31*'E Balans VL '!I19/100/3.6*1000000</f>
        <v>34.821600237060323</v>
      </c>
      <c r="F9" s="33">
        <f>C31*'E Balans VL '!L19/100/3.6*1000000+C31*'E Balans VL '!N19/100/3.6*1000000</f>
        <v>8746.5973111375788</v>
      </c>
      <c r="G9" s="34"/>
      <c r="H9" s="33"/>
      <c r="I9" s="33"/>
      <c r="J9" s="40">
        <f>C31*'E Balans VL '!D19/100/3.6*1000000+C31*'E Balans VL '!E19/100/3.6*1000000</f>
        <v>0</v>
      </c>
      <c r="K9" s="33"/>
      <c r="L9" s="33"/>
      <c r="M9" s="33"/>
      <c r="N9" s="33">
        <f>C31*'E Balans VL '!Y19/100/3.6*1000000</f>
        <v>707.09208296177928</v>
      </c>
      <c r="O9" s="33"/>
      <c r="P9" s="33"/>
      <c r="R9" s="32"/>
    </row>
    <row r="10" spans="1:18">
      <c r="A10" s="6" t="s">
        <v>40</v>
      </c>
      <c r="B10" s="37">
        <f t="shared" si="0"/>
        <v>12151.888349999999</v>
      </c>
      <c r="C10" s="33"/>
      <c r="D10" s="37">
        <f>IF( ISERROR(IND_voed_gas_kWh/1000),0,IND_voed_gas_kWh/1000)*0.902</f>
        <v>632.847009146</v>
      </c>
      <c r="E10" s="33">
        <f>C32*'E Balans VL '!I20/100/3.6*1000000</f>
        <v>20.515165469101976</v>
      </c>
      <c r="F10" s="33">
        <f>C32*'E Balans VL '!L20/100/3.6*1000000+C32*'E Balans VL '!N20/100/3.6*1000000</f>
        <v>713.26281076342354</v>
      </c>
      <c r="G10" s="34"/>
      <c r="H10" s="33"/>
      <c r="I10" s="33"/>
      <c r="J10" s="40">
        <f>C32*'E Balans VL '!D20/100/3.6*1000000+C32*'E Balans VL '!E20/100/3.6*1000000</f>
        <v>0</v>
      </c>
      <c r="K10" s="33"/>
      <c r="L10" s="33"/>
      <c r="M10" s="33"/>
      <c r="N10" s="33">
        <f>C32*'E Balans VL '!Y20/100/3.6*1000000</f>
        <v>661.60948829516747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57.899928416000002</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50317.415099999998</v>
      </c>
      <c r="C15" s="33"/>
      <c r="D15" s="37">
        <f>IF( ISERROR(IND_rest_gas_kWh/1000),0,IND_rest_gas_kWh/1000)*0.902</f>
        <v>18218.401122900003</v>
      </c>
      <c r="E15" s="33">
        <f>C37*'E Balans VL '!I15/100/3.6*1000000</f>
        <v>2400.362706942914</v>
      </c>
      <c r="F15" s="33">
        <f>C37*'E Balans VL '!L15/100/3.6*1000000+C37*'E Balans VL '!N15/100/3.6*1000000</f>
        <v>7955.7345431480944</v>
      </c>
      <c r="G15" s="34"/>
      <c r="H15" s="33"/>
      <c r="I15" s="33"/>
      <c r="J15" s="40">
        <f>C37*'E Balans VL '!D15/100/3.6*1000000+C37*'E Balans VL '!E15/100/3.6*1000000</f>
        <v>193.38412862840593</v>
      </c>
      <c r="K15" s="33"/>
      <c r="L15" s="33"/>
      <c r="M15" s="33"/>
      <c r="N15" s="33">
        <f>C37*'E Balans VL '!Y15/100/3.6*1000000</f>
        <v>1833.1701167631306</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98810.946083999996</v>
      </c>
      <c r="C18" s="21">
        <f>C5+C16</f>
        <v>0</v>
      </c>
      <c r="D18" s="21">
        <f>MAX((D5+D16),0)</f>
        <v>22382.957037892003</v>
      </c>
      <c r="E18" s="21">
        <f>MAX((E5+E16),0)</f>
        <v>2543.7998679601333</v>
      </c>
      <c r="F18" s="21">
        <f>MAX((F5+F16),0)</f>
        <v>19311.1463304434</v>
      </c>
      <c r="G18" s="21"/>
      <c r="H18" s="21"/>
      <c r="I18" s="21"/>
      <c r="J18" s="21">
        <f>MAX((J5+J16),0)</f>
        <v>3108.5948378587577</v>
      </c>
      <c r="K18" s="21"/>
      <c r="L18" s="21">
        <f>MAX((L5+L16),0)</f>
        <v>0</v>
      </c>
      <c r="M18" s="21"/>
      <c r="N18" s="21">
        <f>MAX((N5+N16),0)</f>
        <v>3208.5490758962314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0.21049234560321109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20798.947812493585</v>
      </c>
      <c r="C22" s="23">
        <f ca="1">C18*C20</f>
        <v>0</v>
      </c>
      <c r="D22" s="23">
        <f>D18*D20</f>
        <v>4521.3573216541854</v>
      </c>
      <c r="E22" s="23">
        <f>E18*E20</f>
        <v>577.44257002695031</v>
      </c>
      <c r="F22" s="23">
        <f>F18*F20</f>
        <v>5156.0760702283878</v>
      </c>
      <c r="G22" s="23"/>
      <c r="H22" s="23"/>
      <c r="I22" s="23"/>
      <c r="J22" s="23">
        <f>J18*J20</f>
        <v>1100.4425726020002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22546.298760000001</v>
      </c>
      <c r="C29" s="39">
        <f>IF(ISERROR(B29*3.6/1000000/'E Balans VL '!Z17*100),0,B29*3.6/1000000/'E Balans VL '!Z17*100)</f>
        <v>6.4314892762536973</v>
      </c>
      <c r="D29" s="234" t="s">
        <v>667</v>
      </c>
    </row>
    <row r="30" spans="1:18">
      <c r="A30" s="168" t="s">
        <v>35</v>
      </c>
      <c r="B30" s="37">
        <f>IF( ISERROR(IND_metaal_ele_kWh/1000),0,IND_metaal_ele_kWh/1000)</f>
        <v>551.04425399999991</v>
      </c>
      <c r="C30" s="39">
        <f>IF(ISERROR(B30*3.6/1000000/'E Balans VL '!Z18*100),0,B30*3.6/1000000/'E Balans VL '!Z18*100)</f>
        <v>3.0490072332005153E-2</v>
      </c>
      <c r="D30" s="234" t="s">
        <v>667</v>
      </c>
    </row>
    <row r="31" spans="1:18">
      <c r="A31" s="6" t="s">
        <v>32</v>
      </c>
      <c r="B31" s="37">
        <f>IF( ISERROR(IND_ander_ele_kWh/1000),0,IND_ander_ele_kWh/1000)</f>
        <v>13244.29962</v>
      </c>
      <c r="C31" s="39">
        <f>IF(ISERROR(B31*3.6/1000000/'E Balans VL '!Z19*100),0,B31*3.6/1000000/'E Balans VL '!Z19*100)</f>
        <v>0.57775773223847537</v>
      </c>
      <c r="D31" s="234" t="s">
        <v>667</v>
      </c>
    </row>
    <row r="32" spans="1:18">
      <c r="A32" s="168" t="s">
        <v>40</v>
      </c>
      <c r="B32" s="37">
        <f>IF( ISERROR(IND_voed_ele_kWh/1000),0,IND_voed_ele_kWh/1000)</f>
        <v>12151.888349999999</v>
      </c>
      <c r="C32" s="39">
        <f>IF(ISERROR(B32*3.6/1000000/'E Balans VL '!Z20*100),0,B32*3.6/1000000/'E Balans VL '!Z20*100)</f>
        <v>0.3814391544851925</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50317.415099999998</v>
      </c>
      <c r="C37" s="39">
        <f>IF(ISERROR(B37*3.6/1000000/'E Balans VL '!Z15*100),0,B37*3.6/1000000/'E Balans VL '!Z15*100)</f>
        <v>0.40950415547086261</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2262.8227179999999</v>
      </c>
      <c r="C5" s="17">
        <f>'Eigen informatie GS &amp; warmtenet'!B62</f>
        <v>0</v>
      </c>
      <c r="D5" s="30">
        <f>IF(ISERROR(SUM(LB_lb_gas_kWh,LB_rest_gas_kWh)/1000),0,SUM(LB_lb_gas_kWh,LB_rest_gas_kWh)/1000)*0.902</f>
        <v>598.45616109399998</v>
      </c>
      <c r="E5" s="17">
        <f>B17*'E Balans VL '!I25/3.6*1000000/100</f>
        <v>91.930453802151717</v>
      </c>
      <c r="F5" s="17">
        <f>B17*('E Balans VL '!L25/3.6*1000000+'E Balans VL '!N25/3.6*1000000)/100</f>
        <v>8004.3957366569302</v>
      </c>
      <c r="G5" s="18"/>
      <c r="H5" s="17"/>
      <c r="I5" s="17"/>
      <c r="J5" s="17">
        <f>('E Balans VL '!D25+'E Balans VL '!E25)/3.6*1000000*landbouw!B17/100</f>
        <v>642.91483982387308</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2262.8227179999999</v>
      </c>
      <c r="C8" s="21">
        <f>C5+C6</f>
        <v>0</v>
      </c>
      <c r="D8" s="21">
        <f>MAX((D5+D6),0)</f>
        <v>598.45616109399998</v>
      </c>
      <c r="E8" s="21">
        <f>MAX((E5+E6),0)</f>
        <v>91.930453802151717</v>
      </c>
      <c r="F8" s="21">
        <f>MAX((F5+F6),0)</f>
        <v>8004.3957366569302</v>
      </c>
      <c r="G8" s="21"/>
      <c r="H8" s="21"/>
      <c r="I8" s="21"/>
      <c r="J8" s="21">
        <f>MAX((J5+J6),0)</f>
        <v>642.91483982387308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0.21049234560321109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476.30686159605347</v>
      </c>
      <c r="C12" s="23">
        <f ca="1">C8*C10</f>
        <v>0</v>
      </c>
      <c r="D12" s="23">
        <f>D8*D10</f>
        <v>120.88814454098801</v>
      </c>
      <c r="E12" s="23">
        <f>E8*E10</f>
        <v>20.86821301308844</v>
      </c>
      <c r="F12" s="23">
        <f>F8*F10</f>
        <v>2137.1736616874005</v>
      </c>
      <c r="G12" s="23"/>
      <c r="H12" s="23"/>
      <c r="I12" s="23"/>
      <c r="J12" s="23">
        <f>J8*J10</f>
        <v>227.59185329765106</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0.33638481848047364</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354.3010566362276</v>
      </c>
      <c r="C26" s="244">
        <f>B26*'GWP N2O_CH4'!B5</f>
        <v>7440.3221893607797</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96.413428085343199</v>
      </c>
      <c r="C27" s="244">
        <f>B27*'GWP N2O_CH4'!B5</f>
        <v>2024.6819897922071</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4.9494525163780612</v>
      </c>
      <c r="C28" s="244">
        <f>B28*'GWP N2O_CH4'!B4</f>
        <v>1534.3302800771989</v>
      </c>
      <c r="D28" s="50"/>
    </row>
    <row r="29" spans="1:4">
      <c r="A29" s="41" t="s">
        <v>265</v>
      </c>
      <c r="B29" s="244">
        <f>B34*'ha_N2O bodem landbouw'!B4</f>
        <v>31.854593831770831</v>
      </c>
      <c r="C29" s="244">
        <f>B29*'GWP N2O_CH4'!B4</f>
        <v>9874.9240878489582</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6.9851388982410979E-3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8.5733514923129266E-4</v>
      </c>
      <c r="C5" s="429" t="s">
        <v>204</v>
      </c>
      <c r="D5" s="414">
        <f>SUM(D6:D11)</f>
        <v>1.469446149780868E-3</v>
      </c>
      <c r="E5" s="414">
        <f>SUM(E6:E11)</f>
        <v>1.3136702483155065E-3</v>
      </c>
      <c r="F5" s="427" t="s">
        <v>204</v>
      </c>
      <c r="G5" s="414">
        <f>SUM(G6:G11)</f>
        <v>0.63268305803801972</v>
      </c>
      <c r="H5" s="414">
        <f>SUM(H6:H11)</f>
        <v>0.14205928189244921</v>
      </c>
      <c r="I5" s="429" t="s">
        <v>204</v>
      </c>
      <c r="J5" s="429" t="s">
        <v>204</v>
      </c>
      <c r="K5" s="429" t="s">
        <v>204</v>
      </c>
      <c r="L5" s="429" t="s">
        <v>204</v>
      </c>
      <c r="M5" s="414">
        <f>SUM(M6:M11)</f>
        <v>4.587476850345705E-2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4.3758452379673177E-4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7.4238528254100787E-4</v>
      </c>
      <c r="E6" s="843">
        <f>vkm_GW_PW*SUMIFS(TableVerdeelsleutelVkm[LPG],TableVerdeelsleutelVkm[Voertuigtype],"Lichte voertuigen")*SUMIFS(TableECFTransport[EnergieConsumptieFactor (PJ per km)],TableECFTransport[Index],CONCATENATE($A6,"_LPG_LPG"))</f>
        <v>6.4276414095083801E-4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0.20532581672223452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7.1430283671634939E-2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1.6564803818326181E-2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3.9095545092543588E-6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0.14921627851353061</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2.3781318451121975E-6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8.6012015416954569E-3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2.0135534389362382E-4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4.35520092047603E-4</v>
      </c>
      <c r="E8" s="417">
        <f>vkm_NGW_PW*SUMIFS(TableVerdeelsleutelVkm[LPG],TableVerdeelsleutelVkm[Voertuigtype],"Lichte voertuigen")*SUMIFS(TableECFTransport[EnergieConsumptieFactor (PJ per km)],TableECFTransport[Index],CONCATENATE($A8,"_LPG_LPG"))</f>
        <v>3.6014804909789081E-4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0.10674515791128475</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4.117552130275403E-2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8.8792500097403491E-3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4.110827378069914E-7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2.0170486185672718E-2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3.0182439746126889E-7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1.1626762478001993E-3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2.1236620479228504E-4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2.9154077519225697E-4</v>
      </c>
      <c r="E10" s="417">
        <f>vkm_SW_PW*SUMIFS(TableVerdeelsleutelVkm[LPG],TableVerdeelsleutelVkm[Voertuigtype],"Lichte voertuigen")*SUMIFS(TableECFTransport[EnergieConsumptieFactor (PJ per km)],TableECFTransport[Index],CONCATENATE($A10,"_LPG_LPG"))</f>
        <v>3.107580582667777E-4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8.9380354707003076E-2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2.9449727319196522E-2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7.101932072602536E-3</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1.7084395015906243E-6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6.1844963998293978E-2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1.0696426211310945E-6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3.5649048132923382E-3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238.14865256424795</v>
      </c>
      <c r="C14" s="21"/>
      <c r="D14" s="21">
        <f t="shared" ref="D14:M14" si="0">((D5)*10^9/3600)+D12</f>
        <v>408.17948605024105</v>
      </c>
      <c r="E14" s="21">
        <f t="shared" si="0"/>
        <v>364.90840230986288</v>
      </c>
      <c r="F14" s="21"/>
      <c r="G14" s="21">
        <f t="shared" si="0"/>
        <v>175745.29389944993</v>
      </c>
      <c r="H14" s="21">
        <f t="shared" si="0"/>
        <v>39460.911636791447</v>
      </c>
      <c r="I14" s="21"/>
      <c r="J14" s="21"/>
      <c r="K14" s="21"/>
      <c r="L14" s="21"/>
      <c r="M14" s="21">
        <f t="shared" si="0"/>
        <v>12742.991250960291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0.21049234560321109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50.128468480492721</v>
      </c>
      <c r="C18" s="23"/>
      <c r="D18" s="23">
        <f t="shared" ref="D18:M18" si="1">D14*D16</f>
        <v>82.452256182148702</v>
      </c>
      <c r="E18" s="23">
        <f t="shared" si="1"/>
        <v>82.834207324338877</v>
      </c>
      <c r="F18" s="23"/>
      <c r="G18" s="23">
        <f t="shared" si="1"/>
        <v>46923.993471153131</v>
      </c>
      <c r="H18" s="23">
        <f t="shared" si="1"/>
        <v>9825.7669975610697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1.5972054785960598E-4</v>
      </c>
      <c r="C50" s="313">
        <f t="shared" ref="C50:P50" si="2">SUM(C51:C52)</f>
        <v>0</v>
      </c>
      <c r="D50" s="313">
        <f t="shared" si="2"/>
        <v>0</v>
      </c>
      <c r="E50" s="313">
        <f t="shared" si="2"/>
        <v>0</v>
      </c>
      <c r="F50" s="313">
        <f t="shared" si="2"/>
        <v>0</v>
      </c>
      <c r="G50" s="313">
        <f t="shared" si="2"/>
        <v>1.1571994422224955E-2</v>
      </c>
      <c r="H50" s="313">
        <f t="shared" si="2"/>
        <v>0</v>
      </c>
      <c r="I50" s="313">
        <f t="shared" si="2"/>
        <v>0</v>
      </c>
      <c r="J50" s="313">
        <f t="shared" si="2"/>
        <v>0</v>
      </c>
      <c r="K50" s="313">
        <f t="shared" si="2"/>
        <v>0</v>
      </c>
      <c r="L50" s="313">
        <f t="shared" si="2"/>
        <v>0</v>
      </c>
      <c r="M50" s="313">
        <f t="shared" si="2"/>
        <v>6.5454646630653331E-4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1.5972054785960598E-4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1.1571994422224955E-2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6.5454646630653331E-4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44.366818849890549</v>
      </c>
      <c r="C54" s="21">
        <f t="shared" ref="C54:P54" si="3">(C50)*10^9/3600</f>
        <v>0</v>
      </c>
      <c r="D54" s="21">
        <f t="shared" si="3"/>
        <v>0</v>
      </c>
      <c r="E54" s="21">
        <f t="shared" si="3"/>
        <v>0</v>
      </c>
      <c r="F54" s="21">
        <f t="shared" si="3"/>
        <v>0</v>
      </c>
      <c r="G54" s="21">
        <f t="shared" si="3"/>
        <v>3214.4428950624879</v>
      </c>
      <c r="H54" s="21">
        <f t="shared" si="3"/>
        <v>0</v>
      </c>
      <c r="I54" s="21">
        <f t="shared" si="3"/>
        <v>0</v>
      </c>
      <c r="J54" s="21">
        <f t="shared" si="3"/>
        <v>0</v>
      </c>
      <c r="K54" s="21">
        <f t="shared" si="3"/>
        <v>0</v>
      </c>
      <c r="L54" s="21">
        <f t="shared" si="3"/>
        <v>0</v>
      </c>
      <c r="M54" s="21">
        <f t="shared" si="3"/>
        <v>181.81846286292591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0.21049234560321109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9.3388757666662219</v>
      </c>
      <c r="C58" s="23">
        <f t="shared" ref="C58:P58" ca="1" si="4">C54*C56</f>
        <v>0</v>
      </c>
      <c r="D58" s="23">
        <f t="shared" si="4"/>
        <v>0</v>
      </c>
      <c r="E58" s="23">
        <f t="shared" si="4"/>
        <v>0</v>
      </c>
      <c r="F58" s="23">
        <f t="shared" si="4"/>
        <v>0</v>
      </c>
      <c r="G58" s="23">
        <f t="shared" si="4"/>
        <v>858.25625298168427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10749.977887839297</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10749.977887839297</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69990.801185999997</v>
      </c>
      <c r="D10" s="641">
        <f ca="1">tertiair!C16</f>
        <v>0</v>
      </c>
      <c r="E10" s="641">
        <f ca="1">tertiair!D16</f>
        <v>89546.213077089997</v>
      </c>
      <c r="F10" s="641">
        <f>tertiair!E16</f>
        <v>112.88035471712519</v>
      </c>
      <c r="G10" s="641">
        <f ca="1">tertiair!F16</f>
        <v>9377.3139389157677</v>
      </c>
      <c r="H10" s="641">
        <f>tertiair!G16</f>
        <v>0</v>
      </c>
      <c r="I10" s="641">
        <f>tertiair!H16</f>
        <v>0</v>
      </c>
      <c r="J10" s="641">
        <f>tertiair!I16</f>
        <v>0</v>
      </c>
      <c r="K10" s="641">
        <f>tertiair!J16</f>
        <v>4.3635252893951808E-2</v>
      </c>
      <c r="L10" s="641">
        <f>tertiair!K16</f>
        <v>0</v>
      </c>
      <c r="M10" s="641">
        <f ca="1">tertiair!L16</f>
        <v>0</v>
      </c>
      <c r="N10" s="641">
        <f>tertiair!M16</f>
        <v>0</v>
      </c>
      <c r="O10" s="641">
        <f ca="1">tertiair!N16</f>
        <v>1723.3579845509121</v>
      </c>
      <c r="P10" s="641">
        <f>tertiair!O16</f>
        <v>9.7945215316823084</v>
      </c>
      <c r="Q10" s="642">
        <f>tertiair!P16</f>
        <v>420.31310645196015</v>
      </c>
      <c r="R10" s="644">
        <f ca="1">SUM(C10:Q10)</f>
        <v>171180.71780451029</v>
      </c>
      <c r="S10" s="67"/>
    </row>
    <row r="11" spans="1:19" s="440" customFormat="1">
      <c r="A11" s="761" t="s">
        <v>213</v>
      </c>
      <c r="B11" s="766"/>
      <c r="C11" s="641">
        <f>huishoudens!B8</f>
        <v>52636.892607705209</v>
      </c>
      <c r="D11" s="641">
        <f>huishoudens!C8</f>
        <v>0</v>
      </c>
      <c r="E11" s="641">
        <f>huishoudens!D8</f>
        <v>157519.18139760001</v>
      </c>
      <c r="F11" s="641">
        <f>huishoudens!E8</f>
        <v>3101.9785596643019</v>
      </c>
      <c r="G11" s="641">
        <f>huishoudens!F8</f>
        <v>59695.400181482182</v>
      </c>
      <c r="H11" s="641">
        <f>huishoudens!G8</f>
        <v>0</v>
      </c>
      <c r="I11" s="641">
        <f>huishoudens!H8</f>
        <v>0</v>
      </c>
      <c r="J11" s="641">
        <f>huishoudens!I8</f>
        <v>0</v>
      </c>
      <c r="K11" s="641">
        <f>huishoudens!J8</f>
        <v>305.46771649689629</v>
      </c>
      <c r="L11" s="641">
        <f>huishoudens!K8</f>
        <v>0</v>
      </c>
      <c r="M11" s="641">
        <f>huishoudens!L8</f>
        <v>0</v>
      </c>
      <c r="N11" s="641">
        <f>huishoudens!M8</f>
        <v>0</v>
      </c>
      <c r="O11" s="641">
        <f>huishoudens!N8</f>
        <v>18858.543015106447</v>
      </c>
      <c r="P11" s="641">
        <f>huishoudens!O8</f>
        <v>392.82372743863232</v>
      </c>
      <c r="Q11" s="642">
        <f>huishoudens!P8</f>
        <v>558.29984330730622</v>
      </c>
      <c r="R11" s="644">
        <f>SUM(C11:Q11)</f>
        <v>293068.58704880101</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98810.946083999996</v>
      </c>
      <c r="D13" s="641">
        <f>industrie!C18</f>
        <v>0</v>
      </c>
      <c r="E13" s="641">
        <f>industrie!D18</f>
        <v>22382.957037892003</v>
      </c>
      <c r="F13" s="641">
        <f>industrie!E18</f>
        <v>2543.7998679601333</v>
      </c>
      <c r="G13" s="641">
        <f>industrie!F18</f>
        <v>19311.1463304434</v>
      </c>
      <c r="H13" s="641">
        <f>industrie!G18</f>
        <v>0</v>
      </c>
      <c r="I13" s="641">
        <f>industrie!H18</f>
        <v>0</v>
      </c>
      <c r="J13" s="641">
        <f>industrie!I18</f>
        <v>0</v>
      </c>
      <c r="K13" s="641">
        <f>industrie!J18</f>
        <v>3108.5948378587577</v>
      </c>
      <c r="L13" s="641">
        <f>industrie!K18</f>
        <v>0</v>
      </c>
      <c r="M13" s="641">
        <f>industrie!L18</f>
        <v>0</v>
      </c>
      <c r="N13" s="641">
        <f>industrie!M18</f>
        <v>0</v>
      </c>
      <c r="O13" s="641">
        <f>industrie!N18</f>
        <v>3208.5490758962314</v>
      </c>
      <c r="P13" s="641">
        <f>industrie!O18</f>
        <v>0</v>
      </c>
      <c r="Q13" s="642">
        <f>industrie!P18</f>
        <v>0</v>
      </c>
      <c r="R13" s="644">
        <f>SUM(C13:Q13)</f>
        <v>149365.99323405052</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221438.63987770519</v>
      </c>
      <c r="D16" s="677">
        <f t="shared" ref="D16:R16" ca="1" si="0">SUM(D9:D15)</f>
        <v>0</v>
      </c>
      <c r="E16" s="677">
        <f t="shared" ca="1" si="0"/>
        <v>269448.35151258204</v>
      </c>
      <c r="F16" s="677">
        <f t="shared" si="0"/>
        <v>5758.6587823415603</v>
      </c>
      <c r="G16" s="677">
        <f t="shared" ca="1" si="0"/>
        <v>88383.860450841355</v>
      </c>
      <c r="H16" s="677">
        <f t="shared" si="0"/>
        <v>0</v>
      </c>
      <c r="I16" s="677">
        <f t="shared" si="0"/>
        <v>0</v>
      </c>
      <c r="J16" s="677">
        <f t="shared" si="0"/>
        <v>0</v>
      </c>
      <c r="K16" s="677">
        <f t="shared" si="0"/>
        <v>3414.106189608548</v>
      </c>
      <c r="L16" s="677">
        <f t="shared" si="0"/>
        <v>0</v>
      </c>
      <c r="M16" s="677">
        <f t="shared" ca="1" si="0"/>
        <v>0</v>
      </c>
      <c r="N16" s="677">
        <f t="shared" si="0"/>
        <v>0</v>
      </c>
      <c r="O16" s="677">
        <f t="shared" ca="1" si="0"/>
        <v>23790.450075553592</v>
      </c>
      <c r="P16" s="677">
        <f t="shared" si="0"/>
        <v>402.61824897031465</v>
      </c>
      <c r="Q16" s="677">
        <f t="shared" si="0"/>
        <v>978.61294975926637</v>
      </c>
      <c r="R16" s="677">
        <f t="shared" ca="1" si="0"/>
        <v>613615.29808736173</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44.366818849890549</v>
      </c>
      <c r="D19" s="641">
        <f>transport!C54</f>
        <v>0</v>
      </c>
      <c r="E19" s="641">
        <f>transport!D54</f>
        <v>0</v>
      </c>
      <c r="F19" s="641">
        <f>transport!E54</f>
        <v>0</v>
      </c>
      <c r="G19" s="641">
        <f>transport!F54</f>
        <v>0</v>
      </c>
      <c r="H19" s="641">
        <f>transport!G54</f>
        <v>3214.4428950624879</v>
      </c>
      <c r="I19" s="641">
        <f>transport!H54</f>
        <v>0</v>
      </c>
      <c r="J19" s="641">
        <f>transport!I54</f>
        <v>0</v>
      </c>
      <c r="K19" s="641">
        <f>transport!J54</f>
        <v>0</v>
      </c>
      <c r="L19" s="641">
        <f>transport!K54</f>
        <v>0</v>
      </c>
      <c r="M19" s="641">
        <f>transport!L54</f>
        <v>0</v>
      </c>
      <c r="N19" s="641">
        <f>transport!M54</f>
        <v>181.81846286292591</v>
      </c>
      <c r="O19" s="641">
        <f>transport!N54</f>
        <v>0</v>
      </c>
      <c r="P19" s="641">
        <f>transport!O54</f>
        <v>0</v>
      </c>
      <c r="Q19" s="642">
        <f>transport!P54</f>
        <v>0</v>
      </c>
      <c r="R19" s="644">
        <f>SUM(C19:Q19)</f>
        <v>3440.6281767753044</v>
      </c>
      <c r="S19" s="67"/>
    </row>
    <row r="20" spans="1:19" s="440" customFormat="1">
      <c r="A20" s="761" t="s">
        <v>295</v>
      </c>
      <c r="B20" s="766"/>
      <c r="C20" s="641">
        <f>transport!B14</f>
        <v>238.14865256424795</v>
      </c>
      <c r="D20" s="641">
        <f>transport!C14</f>
        <v>0</v>
      </c>
      <c r="E20" s="641">
        <f>transport!D14</f>
        <v>408.17948605024105</v>
      </c>
      <c r="F20" s="641">
        <f>transport!E14</f>
        <v>364.90840230986288</v>
      </c>
      <c r="G20" s="641">
        <f>transport!F14</f>
        <v>0</v>
      </c>
      <c r="H20" s="641">
        <f>transport!G14</f>
        <v>175745.29389944993</v>
      </c>
      <c r="I20" s="641">
        <f>transport!H14</f>
        <v>39460.911636791447</v>
      </c>
      <c r="J20" s="641">
        <f>transport!I14</f>
        <v>0</v>
      </c>
      <c r="K20" s="641">
        <f>transport!J14</f>
        <v>0</v>
      </c>
      <c r="L20" s="641">
        <f>transport!K14</f>
        <v>0</v>
      </c>
      <c r="M20" s="641">
        <f>transport!L14</f>
        <v>0</v>
      </c>
      <c r="N20" s="641">
        <f>transport!M14</f>
        <v>12742.991250960291</v>
      </c>
      <c r="O20" s="641">
        <f>transport!N14</f>
        <v>0</v>
      </c>
      <c r="P20" s="641">
        <f>transport!O14</f>
        <v>0</v>
      </c>
      <c r="Q20" s="642">
        <f>transport!P14</f>
        <v>0</v>
      </c>
      <c r="R20" s="644">
        <f>SUM(C20:Q20)</f>
        <v>228960.43332812603</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282.51547141413852</v>
      </c>
      <c r="D22" s="764">
        <f t="shared" ref="D22:R22" si="1">SUM(D18:D21)</f>
        <v>0</v>
      </c>
      <c r="E22" s="764">
        <f t="shared" si="1"/>
        <v>408.17948605024105</v>
      </c>
      <c r="F22" s="764">
        <f t="shared" si="1"/>
        <v>364.90840230986288</v>
      </c>
      <c r="G22" s="764">
        <f t="shared" si="1"/>
        <v>0</v>
      </c>
      <c r="H22" s="764">
        <f t="shared" si="1"/>
        <v>178959.73679451243</v>
      </c>
      <c r="I22" s="764">
        <f t="shared" si="1"/>
        <v>39460.911636791447</v>
      </c>
      <c r="J22" s="764">
        <f t="shared" si="1"/>
        <v>0</v>
      </c>
      <c r="K22" s="764">
        <f t="shared" si="1"/>
        <v>0</v>
      </c>
      <c r="L22" s="764">
        <f t="shared" si="1"/>
        <v>0</v>
      </c>
      <c r="M22" s="764">
        <f t="shared" si="1"/>
        <v>0</v>
      </c>
      <c r="N22" s="764">
        <f t="shared" si="1"/>
        <v>12924.809713823217</v>
      </c>
      <c r="O22" s="764">
        <f t="shared" si="1"/>
        <v>0</v>
      </c>
      <c r="P22" s="764">
        <f t="shared" si="1"/>
        <v>0</v>
      </c>
      <c r="Q22" s="764">
        <f t="shared" si="1"/>
        <v>0</v>
      </c>
      <c r="R22" s="764">
        <f t="shared" si="1"/>
        <v>232401.06150490133</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2262.8227179999999</v>
      </c>
      <c r="D24" s="641">
        <f>+landbouw!C8</f>
        <v>0</v>
      </c>
      <c r="E24" s="641">
        <f>+landbouw!D8</f>
        <v>598.45616109399998</v>
      </c>
      <c r="F24" s="641">
        <f>+landbouw!E8</f>
        <v>91.930453802151717</v>
      </c>
      <c r="G24" s="641">
        <f>+landbouw!F8</f>
        <v>8004.3957366569302</v>
      </c>
      <c r="H24" s="641">
        <f>+landbouw!G8</f>
        <v>0</v>
      </c>
      <c r="I24" s="641">
        <f>+landbouw!H8</f>
        <v>0</v>
      </c>
      <c r="J24" s="641">
        <f>+landbouw!I8</f>
        <v>0</v>
      </c>
      <c r="K24" s="641">
        <f>+landbouw!J8</f>
        <v>642.91483982387308</v>
      </c>
      <c r="L24" s="641">
        <f>+landbouw!K8</f>
        <v>0</v>
      </c>
      <c r="M24" s="641">
        <f>+landbouw!L8</f>
        <v>0</v>
      </c>
      <c r="N24" s="641">
        <f>+landbouw!M8</f>
        <v>0</v>
      </c>
      <c r="O24" s="641">
        <f>+landbouw!N8</f>
        <v>0</v>
      </c>
      <c r="P24" s="641">
        <f>+landbouw!O8</f>
        <v>0</v>
      </c>
      <c r="Q24" s="642">
        <f>+landbouw!P8</f>
        <v>0</v>
      </c>
      <c r="R24" s="644">
        <f>SUM(C24:Q24)</f>
        <v>11600.519909376955</v>
      </c>
      <c r="S24" s="67"/>
    </row>
    <row r="25" spans="1:19" s="440" customFormat="1" ht="15" thickBot="1">
      <c r="A25" s="783" t="s">
        <v>683</v>
      </c>
      <c r="B25" s="901"/>
      <c r="C25" s="902">
        <f>IF(Onbekend_ele_kWh="---",0,Onbekend_ele_kWh)/1000+IF(REST_rest_ele_kWh="---",0,REST_rest_ele_kWh)/1000</f>
        <v>2112.639075</v>
      </c>
      <c r="D25" s="902"/>
      <c r="E25" s="902">
        <f>IF(onbekend_gas_kWh="---",0,onbekend_gas_kWh)/1000+IF(REST_rest_gas_kWh="---",0,REST_rest_gas_kWh)/1000</f>
        <v>6602.4533629999996</v>
      </c>
      <c r="F25" s="902"/>
      <c r="G25" s="902"/>
      <c r="H25" s="902"/>
      <c r="I25" s="902"/>
      <c r="J25" s="902"/>
      <c r="K25" s="902"/>
      <c r="L25" s="902"/>
      <c r="M25" s="902"/>
      <c r="N25" s="902"/>
      <c r="O25" s="902"/>
      <c r="P25" s="902"/>
      <c r="Q25" s="903"/>
      <c r="R25" s="644">
        <f>SUM(C25:Q25)</f>
        <v>8715.0924379999997</v>
      </c>
      <c r="S25" s="67"/>
    </row>
    <row r="26" spans="1:19" s="440" customFormat="1" ht="15.75" thickBot="1">
      <c r="A26" s="649" t="s">
        <v>684</v>
      </c>
      <c r="B26" s="769"/>
      <c r="C26" s="764">
        <f>SUM(C24:C25)</f>
        <v>4375.4617930000004</v>
      </c>
      <c r="D26" s="764">
        <f t="shared" ref="D26:R26" si="2">SUM(D24:D25)</f>
        <v>0</v>
      </c>
      <c r="E26" s="764">
        <f t="shared" si="2"/>
        <v>7200.9095240939996</v>
      </c>
      <c r="F26" s="764">
        <f t="shared" si="2"/>
        <v>91.930453802151717</v>
      </c>
      <c r="G26" s="764">
        <f t="shared" si="2"/>
        <v>8004.3957366569302</v>
      </c>
      <c r="H26" s="764">
        <f t="shared" si="2"/>
        <v>0</v>
      </c>
      <c r="I26" s="764">
        <f t="shared" si="2"/>
        <v>0</v>
      </c>
      <c r="J26" s="764">
        <f t="shared" si="2"/>
        <v>0</v>
      </c>
      <c r="K26" s="764">
        <f t="shared" si="2"/>
        <v>642.91483982387308</v>
      </c>
      <c r="L26" s="764">
        <f t="shared" si="2"/>
        <v>0</v>
      </c>
      <c r="M26" s="764">
        <f t="shared" si="2"/>
        <v>0</v>
      </c>
      <c r="N26" s="764">
        <f t="shared" si="2"/>
        <v>0</v>
      </c>
      <c r="O26" s="764">
        <f t="shared" si="2"/>
        <v>0</v>
      </c>
      <c r="P26" s="764">
        <f t="shared" si="2"/>
        <v>0</v>
      </c>
      <c r="Q26" s="764">
        <f t="shared" si="2"/>
        <v>0</v>
      </c>
      <c r="R26" s="764">
        <f t="shared" si="2"/>
        <v>20315.612347376955</v>
      </c>
      <c r="S26" s="67"/>
    </row>
    <row r="27" spans="1:19" s="440" customFormat="1" ht="17.25" thickTop="1" thickBot="1">
      <c r="A27" s="650" t="s">
        <v>109</v>
      </c>
      <c r="B27" s="756"/>
      <c r="C27" s="651">
        <f ca="1">C22+C16+C26</f>
        <v>226096.61714211933</v>
      </c>
      <c r="D27" s="651">
        <f t="shared" ref="D27:R27" ca="1" si="3">D22+D16+D26</f>
        <v>0</v>
      </c>
      <c r="E27" s="651">
        <f t="shared" ca="1" si="3"/>
        <v>277057.44052272628</v>
      </c>
      <c r="F27" s="651">
        <f t="shared" si="3"/>
        <v>6215.4976384535748</v>
      </c>
      <c r="G27" s="651">
        <f t="shared" ca="1" si="3"/>
        <v>96388.256187498278</v>
      </c>
      <c r="H27" s="651">
        <f t="shared" si="3"/>
        <v>178959.73679451243</v>
      </c>
      <c r="I27" s="651">
        <f t="shared" si="3"/>
        <v>39460.911636791447</v>
      </c>
      <c r="J27" s="651">
        <f t="shared" si="3"/>
        <v>0</v>
      </c>
      <c r="K27" s="651">
        <f t="shared" si="3"/>
        <v>4057.0210294324211</v>
      </c>
      <c r="L27" s="651">
        <f t="shared" si="3"/>
        <v>0</v>
      </c>
      <c r="M27" s="651">
        <f t="shared" ca="1" si="3"/>
        <v>0</v>
      </c>
      <c r="N27" s="651">
        <f t="shared" si="3"/>
        <v>12924.809713823217</v>
      </c>
      <c r="O27" s="651">
        <f t="shared" ca="1" si="3"/>
        <v>23790.450075553592</v>
      </c>
      <c r="P27" s="651">
        <f t="shared" si="3"/>
        <v>402.61824897031465</v>
      </c>
      <c r="Q27" s="651">
        <f t="shared" si="3"/>
        <v>978.61294975926637</v>
      </c>
      <c r="R27" s="651">
        <f t="shared" ca="1" si="3"/>
        <v>866331.97193964012</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14732.527912289148</v>
      </c>
      <c r="D40" s="641">
        <f ca="1">tertiair!C20</f>
        <v>0</v>
      </c>
      <c r="E40" s="641">
        <f ca="1">tertiair!D20</f>
        <v>18088.33504157218</v>
      </c>
      <c r="F40" s="641">
        <f>tertiair!E20</f>
        <v>25.623840520787418</v>
      </c>
      <c r="G40" s="641">
        <f ca="1">tertiair!F20</f>
        <v>2503.74282169051</v>
      </c>
      <c r="H40" s="641">
        <f>tertiair!G20</f>
        <v>0</v>
      </c>
      <c r="I40" s="641">
        <f>tertiair!H20</f>
        <v>0</v>
      </c>
      <c r="J40" s="641">
        <f>tertiair!I20</f>
        <v>0</v>
      </c>
      <c r="K40" s="641">
        <f>tertiair!J20</f>
        <v>1.544687952445894E-2</v>
      </c>
      <c r="L40" s="641">
        <f>tertiair!K20</f>
        <v>0</v>
      </c>
      <c r="M40" s="641">
        <f ca="1">tertiair!L20</f>
        <v>0</v>
      </c>
      <c r="N40" s="641">
        <f>tertiair!M20</f>
        <v>0</v>
      </c>
      <c r="O40" s="641">
        <f ca="1">tertiair!N20</f>
        <v>0</v>
      </c>
      <c r="P40" s="641">
        <f>tertiair!O20</f>
        <v>0</v>
      </c>
      <c r="Q40" s="724">
        <f>tertiair!P20</f>
        <v>0</v>
      </c>
      <c r="R40" s="802">
        <f t="shared" ca="1" si="4"/>
        <v>35350.245062952148</v>
      </c>
    </row>
    <row r="41" spans="1:18">
      <c r="A41" s="774" t="s">
        <v>213</v>
      </c>
      <c r="B41" s="781"/>
      <c r="C41" s="641">
        <f ca="1">huishoudens!B12</f>
        <v>11079.662990260193</v>
      </c>
      <c r="D41" s="641">
        <f ca="1">huishoudens!C12</f>
        <v>0</v>
      </c>
      <c r="E41" s="641">
        <f>huishoudens!D12</f>
        <v>31818.874642315204</v>
      </c>
      <c r="F41" s="641">
        <f>huishoudens!E12</f>
        <v>704.1491330437965</v>
      </c>
      <c r="G41" s="641">
        <f>huishoudens!F12</f>
        <v>15938.671848455744</v>
      </c>
      <c r="H41" s="641">
        <f>huishoudens!G12</f>
        <v>0</v>
      </c>
      <c r="I41" s="641">
        <f>huishoudens!H12</f>
        <v>0</v>
      </c>
      <c r="J41" s="641">
        <f>huishoudens!I12</f>
        <v>0</v>
      </c>
      <c r="K41" s="641">
        <f>huishoudens!J12</f>
        <v>108.13557163990129</v>
      </c>
      <c r="L41" s="641">
        <f>huishoudens!K12</f>
        <v>0</v>
      </c>
      <c r="M41" s="641">
        <f>huishoudens!L12</f>
        <v>0</v>
      </c>
      <c r="N41" s="641">
        <f>huishoudens!M12</f>
        <v>0</v>
      </c>
      <c r="O41" s="641">
        <f>huishoudens!N12</f>
        <v>0</v>
      </c>
      <c r="P41" s="641">
        <f>huishoudens!O12</f>
        <v>0</v>
      </c>
      <c r="Q41" s="724">
        <f>huishoudens!P12</f>
        <v>0</v>
      </c>
      <c r="R41" s="802">
        <f t="shared" ca="1" si="4"/>
        <v>59649.494185714837</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20798.947812493585</v>
      </c>
      <c r="D43" s="641">
        <f ca="1">industrie!C22</f>
        <v>0</v>
      </c>
      <c r="E43" s="641">
        <f>industrie!D22</f>
        <v>4521.3573216541854</v>
      </c>
      <c r="F43" s="641">
        <f>industrie!E22</f>
        <v>577.44257002695031</v>
      </c>
      <c r="G43" s="641">
        <f>industrie!F22</f>
        <v>5156.0760702283878</v>
      </c>
      <c r="H43" s="641">
        <f>industrie!G22</f>
        <v>0</v>
      </c>
      <c r="I43" s="641">
        <f>industrie!H22</f>
        <v>0</v>
      </c>
      <c r="J43" s="641">
        <f>industrie!I22</f>
        <v>0</v>
      </c>
      <c r="K43" s="641">
        <f>industrie!J22</f>
        <v>1100.4425726020002</v>
      </c>
      <c r="L43" s="641">
        <f>industrie!K22</f>
        <v>0</v>
      </c>
      <c r="M43" s="641">
        <f>industrie!L22</f>
        <v>0</v>
      </c>
      <c r="N43" s="641">
        <f>industrie!M22</f>
        <v>0</v>
      </c>
      <c r="O43" s="641">
        <f>industrie!N22</f>
        <v>0</v>
      </c>
      <c r="P43" s="641">
        <f>industrie!O22</f>
        <v>0</v>
      </c>
      <c r="Q43" s="724">
        <f>industrie!P22</f>
        <v>0</v>
      </c>
      <c r="R43" s="801">
        <f t="shared" ca="1" si="4"/>
        <v>32154.266347005108</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46611.138715042922</v>
      </c>
      <c r="D46" s="677">
        <f t="shared" ref="D46:Q46" ca="1" si="5">SUM(D39:D45)</f>
        <v>0</v>
      </c>
      <c r="E46" s="677">
        <f t="shared" ca="1" si="5"/>
        <v>54428.567005541569</v>
      </c>
      <c r="F46" s="677">
        <f t="shared" si="5"/>
        <v>1307.2155435915342</v>
      </c>
      <c r="G46" s="677">
        <f t="shared" ca="1" si="5"/>
        <v>23598.49074037464</v>
      </c>
      <c r="H46" s="677">
        <f t="shared" si="5"/>
        <v>0</v>
      </c>
      <c r="I46" s="677">
        <f t="shared" si="5"/>
        <v>0</v>
      </c>
      <c r="J46" s="677">
        <f t="shared" si="5"/>
        <v>0</v>
      </c>
      <c r="K46" s="677">
        <f t="shared" si="5"/>
        <v>1208.593591121426</v>
      </c>
      <c r="L46" s="677">
        <f t="shared" si="5"/>
        <v>0</v>
      </c>
      <c r="M46" s="677">
        <f t="shared" ca="1" si="5"/>
        <v>0</v>
      </c>
      <c r="N46" s="677">
        <f t="shared" si="5"/>
        <v>0</v>
      </c>
      <c r="O46" s="677">
        <f t="shared" ca="1" si="5"/>
        <v>0</v>
      </c>
      <c r="P46" s="677">
        <f t="shared" si="5"/>
        <v>0</v>
      </c>
      <c r="Q46" s="677">
        <f t="shared" si="5"/>
        <v>0</v>
      </c>
      <c r="R46" s="677">
        <f ca="1">SUM(R39:R45)</f>
        <v>127154.00559567209</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9.3388757666662219</v>
      </c>
      <c r="D49" s="641">
        <f ca="1">transport!C58</f>
        <v>0</v>
      </c>
      <c r="E49" s="641">
        <f>transport!D58</f>
        <v>0</v>
      </c>
      <c r="F49" s="641">
        <f>transport!E58</f>
        <v>0</v>
      </c>
      <c r="G49" s="641">
        <f>transport!F58</f>
        <v>0</v>
      </c>
      <c r="H49" s="641">
        <f>transport!G58</f>
        <v>858.25625298168427</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867.59512874835048</v>
      </c>
    </row>
    <row r="50" spans="1:18">
      <c r="A50" s="777" t="s">
        <v>295</v>
      </c>
      <c r="B50" s="787"/>
      <c r="C50" s="647">
        <f ca="1">transport!B18</f>
        <v>50.128468480492721</v>
      </c>
      <c r="D50" s="647">
        <f>transport!C18</f>
        <v>0</v>
      </c>
      <c r="E50" s="647">
        <f>transport!D18</f>
        <v>82.452256182148702</v>
      </c>
      <c r="F50" s="647">
        <f>transport!E18</f>
        <v>82.834207324338877</v>
      </c>
      <c r="G50" s="647">
        <f>transport!F18</f>
        <v>0</v>
      </c>
      <c r="H50" s="647">
        <f>transport!G18</f>
        <v>46923.993471153131</v>
      </c>
      <c r="I50" s="647">
        <f>transport!H18</f>
        <v>9825.7669975610697</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56965.175400701184</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59.467344247158941</v>
      </c>
      <c r="D52" s="677">
        <f t="shared" ref="D52:Q52" ca="1" si="6">SUM(D48:D51)</f>
        <v>0</v>
      </c>
      <c r="E52" s="677">
        <f t="shared" si="6"/>
        <v>82.452256182148702</v>
      </c>
      <c r="F52" s="677">
        <f t="shared" si="6"/>
        <v>82.834207324338877</v>
      </c>
      <c r="G52" s="677">
        <f t="shared" si="6"/>
        <v>0</v>
      </c>
      <c r="H52" s="677">
        <f t="shared" si="6"/>
        <v>47782.249724134817</v>
      </c>
      <c r="I52" s="677">
        <f t="shared" si="6"/>
        <v>9825.7669975610697</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57832.770529449532</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476.30686159605347</v>
      </c>
      <c r="D54" s="647">
        <f ca="1">+landbouw!C12</f>
        <v>0</v>
      </c>
      <c r="E54" s="647">
        <f>+landbouw!D12</f>
        <v>120.88814454098801</v>
      </c>
      <c r="F54" s="647">
        <f>+landbouw!E12</f>
        <v>20.86821301308844</v>
      </c>
      <c r="G54" s="647">
        <f>+landbouw!F12</f>
        <v>2137.1736616874005</v>
      </c>
      <c r="H54" s="647">
        <f>+landbouw!G12</f>
        <v>0</v>
      </c>
      <c r="I54" s="647">
        <f>+landbouw!H12</f>
        <v>0</v>
      </c>
      <c r="J54" s="647">
        <f>+landbouw!I12</f>
        <v>0</v>
      </c>
      <c r="K54" s="647">
        <f>+landbouw!J12</f>
        <v>227.59185329765106</v>
      </c>
      <c r="L54" s="647">
        <f>+landbouw!K12</f>
        <v>0</v>
      </c>
      <c r="M54" s="647">
        <f>+landbouw!L12</f>
        <v>0</v>
      </c>
      <c r="N54" s="647">
        <f>+landbouw!M12</f>
        <v>0</v>
      </c>
      <c r="O54" s="647">
        <f>+landbouw!N12</f>
        <v>0</v>
      </c>
      <c r="P54" s="647">
        <f>+landbouw!O12</f>
        <v>0</v>
      </c>
      <c r="Q54" s="648">
        <f>+landbouw!P12</f>
        <v>0</v>
      </c>
      <c r="R54" s="676">
        <f ca="1">SUM(C54:Q54)</f>
        <v>2982.8287341351815</v>
      </c>
    </row>
    <row r="55" spans="1:18" ht="15" thickBot="1">
      <c r="A55" s="777" t="s">
        <v>683</v>
      </c>
      <c r="B55" s="787"/>
      <c r="C55" s="647">
        <f ca="1">C25*'EF ele_warmte'!B12</f>
        <v>444.69435430974818</v>
      </c>
      <c r="D55" s="647"/>
      <c r="E55" s="647">
        <f>E25*EF_CO2_aardgas</f>
        <v>1333.6955793259999</v>
      </c>
      <c r="F55" s="647"/>
      <c r="G55" s="647"/>
      <c r="H55" s="647"/>
      <c r="I55" s="647"/>
      <c r="J55" s="647"/>
      <c r="K55" s="647"/>
      <c r="L55" s="647"/>
      <c r="M55" s="647"/>
      <c r="N55" s="647"/>
      <c r="O55" s="647"/>
      <c r="P55" s="647"/>
      <c r="Q55" s="648"/>
      <c r="R55" s="676">
        <f ca="1">SUM(C55:Q55)</f>
        <v>1778.3899336357481</v>
      </c>
    </row>
    <row r="56" spans="1:18" ht="15.75" thickBot="1">
      <c r="A56" s="775" t="s">
        <v>684</v>
      </c>
      <c r="B56" s="788"/>
      <c r="C56" s="677">
        <f ca="1">SUM(C54:C55)</f>
        <v>921.0012159058017</v>
      </c>
      <c r="D56" s="677">
        <f t="shared" ref="D56:Q56" ca="1" si="7">SUM(D54:D55)</f>
        <v>0</v>
      </c>
      <c r="E56" s="677">
        <f t="shared" si="7"/>
        <v>1454.5837238669878</v>
      </c>
      <c r="F56" s="677">
        <f t="shared" si="7"/>
        <v>20.86821301308844</v>
      </c>
      <c r="G56" s="677">
        <f t="shared" si="7"/>
        <v>2137.1736616874005</v>
      </c>
      <c r="H56" s="677">
        <f t="shared" si="7"/>
        <v>0</v>
      </c>
      <c r="I56" s="677">
        <f t="shared" si="7"/>
        <v>0</v>
      </c>
      <c r="J56" s="677">
        <f t="shared" si="7"/>
        <v>0</v>
      </c>
      <c r="K56" s="677">
        <f t="shared" si="7"/>
        <v>227.59185329765106</v>
      </c>
      <c r="L56" s="677">
        <f t="shared" si="7"/>
        <v>0</v>
      </c>
      <c r="M56" s="677">
        <f t="shared" si="7"/>
        <v>0</v>
      </c>
      <c r="N56" s="677">
        <f t="shared" si="7"/>
        <v>0</v>
      </c>
      <c r="O56" s="677">
        <f t="shared" si="7"/>
        <v>0</v>
      </c>
      <c r="P56" s="677">
        <f t="shared" si="7"/>
        <v>0</v>
      </c>
      <c r="Q56" s="678">
        <f t="shared" si="7"/>
        <v>0</v>
      </c>
      <c r="R56" s="679">
        <f ca="1">SUM(R54:R55)</f>
        <v>4761.2186677709296</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47591.607275195885</v>
      </c>
      <c r="D61" s="685">
        <f t="shared" ref="D61:Q61" ca="1" si="8">D46+D52+D56</f>
        <v>0</v>
      </c>
      <c r="E61" s="685">
        <f t="shared" ca="1" si="8"/>
        <v>55965.602985590704</v>
      </c>
      <c r="F61" s="685">
        <f t="shared" si="8"/>
        <v>1410.9179639289616</v>
      </c>
      <c r="G61" s="685">
        <f t="shared" ca="1" si="8"/>
        <v>25735.664402062041</v>
      </c>
      <c r="H61" s="685">
        <f t="shared" si="8"/>
        <v>47782.249724134817</v>
      </c>
      <c r="I61" s="685">
        <f t="shared" si="8"/>
        <v>9825.7669975610697</v>
      </c>
      <c r="J61" s="685">
        <f t="shared" si="8"/>
        <v>0</v>
      </c>
      <c r="K61" s="685">
        <f t="shared" si="8"/>
        <v>1436.1854444190772</v>
      </c>
      <c r="L61" s="685">
        <f t="shared" si="8"/>
        <v>0</v>
      </c>
      <c r="M61" s="685">
        <f t="shared" ca="1" si="8"/>
        <v>0</v>
      </c>
      <c r="N61" s="685">
        <f t="shared" si="8"/>
        <v>0</v>
      </c>
      <c r="O61" s="685">
        <f t="shared" ca="1" si="8"/>
        <v>0</v>
      </c>
      <c r="P61" s="685">
        <f t="shared" si="8"/>
        <v>0</v>
      </c>
      <c r="Q61" s="685">
        <f t="shared" si="8"/>
        <v>0</v>
      </c>
      <c r="R61" s="685">
        <f ca="1">R46+R52+R56</f>
        <v>189747.99479289257</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0.21049234560321109</v>
      </c>
      <c r="D63" s="731">
        <f t="shared" ca="1" si="9"/>
        <v>0</v>
      </c>
      <c r="E63" s="927">
        <f t="shared" ca="1" si="9"/>
        <v>0.20199999999999999</v>
      </c>
      <c r="F63" s="731">
        <f t="shared" si="9"/>
        <v>0.22700000000000004</v>
      </c>
      <c r="G63" s="731">
        <f t="shared" ca="1" si="9"/>
        <v>0.26700000000000002</v>
      </c>
      <c r="H63" s="731">
        <f t="shared" si="9"/>
        <v>0.26700000000000002</v>
      </c>
      <c r="I63" s="731">
        <f t="shared" si="9"/>
        <v>0.249</v>
      </c>
      <c r="J63" s="731">
        <f t="shared" si="9"/>
        <v>0</v>
      </c>
      <c r="K63" s="731">
        <f t="shared" si="9"/>
        <v>0.35400000000000004</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10749.977887839297</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10749.977887839297</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52636.892607705209</v>
      </c>
      <c r="C4" s="444">
        <f>huishoudens!C8</f>
        <v>0</v>
      </c>
      <c r="D4" s="444">
        <f>huishoudens!D8</f>
        <v>157519.18139760001</v>
      </c>
      <c r="E4" s="444">
        <f>huishoudens!E8</f>
        <v>3101.9785596643019</v>
      </c>
      <c r="F4" s="444">
        <f>huishoudens!F8</f>
        <v>59695.400181482182</v>
      </c>
      <c r="G4" s="444">
        <f>huishoudens!G8</f>
        <v>0</v>
      </c>
      <c r="H4" s="444">
        <f>huishoudens!H8</f>
        <v>0</v>
      </c>
      <c r="I4" s="444">
        <f>huishoudens!I8</f>
        <v>0</v>
      </c>
      <c r="J4" s="444">
        <f>huishoudens!J8</f>
        <v>305.46771649689629</v>
      </c>
      <c r="K4" s="444">
        <f>huishoudens!K8</f>
        <v>0</v>
      </c>
      <c r="L4" s="444">
        <f>huishoudens!L8</f>
        <v>0</v>
      </c>
      <c r="M4" s="444">
        <f>huishoudens!M8</f>
        <v>0</v>
      </c>
      <c r="N4" s="444">
        <f>huishoudens!N8</f>
        <v>18858.543015106447</v>
      </c>
      <c r="O4" s="444">
        <f>huishoudens!O8</f>
        <v>392.82372743863232</v>
      </c>
      <c r="P4" s="445">
        <f>huishoudens!P8</f>
        <v>558.29984330730622</v>
      </c>
      <c r="Q4" s="446">
        <f>SUM(B4:P4)</f>
        <v>293068.58704880101</v>
      </c>
    </row>
    <row r="5" spans="1:17">
      <c r="A5" s="443" t="s">
        <v>149</v>
      </c>
      <c r="B5" s="444">
        <f ca="1">tertiair!B16</f>
        <v>67644.730186000001</v>
      </c>
      <c r="C5" s="444">
        <f ca="1">tertiair!C16</f>
        <v>0</v>
      </c>
      <c r="D5" s="444">
        <f ca="1">tertiair!D16</f>
        <v>89546.213077089997</v>
      </c>
      <c r="E5" s="444">
        <f>tertiair!E16</f>
        <v>112.88035471712519</v>
      </c>
      <c r="F5" s="444">
        <f ca="1">tertiair!F16</f>
        <v>9377.3139389157677</v>
      </c>
      <c r="G5" s="444">
        <f>tertiair!G16</f>
        <v>0</v>
      </c>
      <c r="H5" s="444">
        <f>tertiair!H16</f>
        <v>0</v>
      </c>
      <c r="I5" s="444">
        <f>tertiair!I16</f>
        <v>0</v>
      </c>
      <c r="J5" s="444">
        <f>tertiair!J16</f>
        <v>4.3635252893951808E-2</v>
      </c>
      <c r="K5" s="444">
        <f>tertiair!K16</f>
        <v>0</v>
      </c>
      <c r="L5" s="444">
        <f ca="1">tertiair!L16</f>
        <v>0</v>
      </c>
      <c r="M5" s="444">
        <f>tertiair!M16</f>
        <v>0</v>
      </c>
      <c r="N5" s="444">
        <f ca="1">tertiair!N16</f>
        <v>1723.3579845509121</v>
      </c>
      <c r="O5" s="444">
        <f>tertiair!O16</f>
        <v>9.7945215316823084</v>
      </c>
      <c r="P5" s="445">
        <f>tertiair!P16</f>
        <v>420.31310645196015</v>
      </c>
      <c r="Q5" s="443">
        <f t="shared" ref="Q5:Q14" ca="1" si="0">SUM(B5:P5)</f>
        <v>168834.6468045103</v>
      </c>
    </row>
    <row r="6" spans="1:17">
      <c r="A6" s="443" t="s">
        <v>187</v>
      </c>
      <c r="B6" s="444">
        <f>'openbare verlichting'!B8</f>
        <v>2346.0709999999999</v>
      </c>
      <c r="C6" s="444"/>
      <c r="D6" s="444"/>
      <c r="E6" s="444"/>
      <c r="F6" s="444"/>
      <c r="G6" s="444"/>
      <c r="H6" s="444"/>
      <c r="I6" s="444"/>
      <c r="J6" s="444"/>
      <c r="K6" s="444"/>
      <c r="L6" s="444"/>
      <c r="M6" s="444"/>
      <c r="N6" s="444"/>
      <c r="O6" s="444"/>
      <c r="P6" s="445"/>
      <c r="Q6" s="443">
        <f t="shared" si="0"/>
        <v>2346.0709999999999</v>
      </c>
    </row>
    <row r="7" spans="1:17">
      <c r="A7" s="443" t="s">
        <v>105</v>
      </c>
      <c r="B7" s="444">
        <f>landbouw!B8</f>
        <v>2262.8227179999999</v>
      </c>
      <c r="C7" s="444">
        <f>landbouw!C8</f>
        <v>0</v>
      </c>
      <c r="D7" s="444">
        <f>landbouw!D8</f>
        <v>598.45616109399998</v>
      </c>
      <c r="E7" s="444">
        <f>landbouw!E8</f>
        <v>91.930453802151717</v>
      </c>
      <c r="F7" s="444">
        <f>landbouw!F8</f>
        <v>8004.3957366569302</v>
      </c>
      <c r="G7" s="444">
        <f>landbouw!G8</f>
        <v>0</v>
      </c>
      <c r="H7" s="444">
        <f>landbouw!H8</f>
        <v>0</v>
      </c>
      <c r="I7" s="444">
        <f>landbouw!I8</f>
        <v>0</v>
      </c>
      <c r="J7" s="444">
        <f>landbouw!J8</f>
        <v>642.91483982387308</v>
      </c>
      <c r="K7" s="444">
        <f>landbouw!K8</f>
        <v>0</v>
      </c>
      <c r="L7" s="444">
        <f>landbouw!L8</f>
        <v>0</v>
      </c>
      <c r="M7" s="444">
        <f>landbouw!M8</f>
        <v>0</v>
      </c>
      <c r="N7" s="444">
        <f>landbouw!N8</f>
        <v>0</v>
      </c>
      <c r="O7" s="444">
        <f>landbouw!O8</f>
        <v>0</v>
      </c>
      <c r="P7" s="445">
        <f>landbouw!P8</f>
        <v>0</v>
      </c>
      <c r="Q7" s="443">
        <f t="shared" si="0"/>
        <v>11600.519909376955</v>
      </c>
    </row>
    <row r="8" spans="1:17">
      <c r="A8" s="443" t="s">
        <v>587</v>
      </c>
      <c r="B8" s="444">
        <f>industrie!B18</f>
        <v>98810.946083999996</v>
      </c>
      <c r="C8" s="444">
        <f>industrie!C18</f>
        <v>0</v>
      </c>
      <c r="D8" s="444">
        <f>industrie!D18</f>
        <v>22382.957037892003</v>
      </c>
      <c r="E8" s="444">
        <f>industrie!E18</f>
        <v>2543.7998679601333</v>
      </c>
      <c r="F8" s="444">
        <f>industrie!F18</f>
        <v>19311.1463304434</v>
      </c>
      <c r="G8" s="444">
        <f>industrie!G18</f>
        <v>0</v>
      </c>
      <c r="H8" s="444">
        <f>industrie!H18</f>
        <v>0</v>
      </c>
      <c r="I8" s="444">
        <f>industrie!I18</f>
        <v>0</v>
      </c>
      <c r="J8" s="444">
        <f>industrie!J18</f>
        <v>3108.5948378587577</v>
      </c>
      <c r="K8" s="444">
        <f>industrie!K18</f>
        <v>0</v>
      </c>
      <c r="L8" s="444">
        <f>industrie!L18</f>
        <v>0</v>
      </c>
      <c r="M8" s="444">
        <f>industrie!M18</f>
        <v>0</v>
      </c>
      <c r="N8" s="444">
        <f>industrie!N18</f>
        <v>3208.5490758962314</v>
      </c>
      <c r="O8" s="444">
        <f>industrie!O18</f>
        <v>0</v>
      </c>
      <c r="P8" s="445">
        <f>industrie!P18</f>
        <v>0</v>
      </c>
      <c r="Q8" s="443">
        <f t="shared" si="0"/>
        <v>149365.99323405052</v>
      </c>
    </row>
    <row r="9" spans="1:17" s="449" customFormat="1">
      <c r="A9" s="447" t="s">
        <v>536</v>
      </c>
      <c r="B9" s="448">
        <f>transport!B14</f>
        <v>238.14865256424795</v>
      </c>
      <c r="C9" s="448">
        <f>transport!C14</f>
        <v>0</v>
      </c>
      <c r="D9" s="448">
        <f>transport!D14</f>
        <v>408.17948605024105</v>
      </c>
      <c r="E9" s="448">
        <f>transport!E14</f>
        <v>364.90840230986288</v>
      </c>
      <c r="F9" s="448">
        <f>transport!F14</f>
        <v>0</v>
      </c>
      <c r="G9" s="448">
        <f>transport!G14</f>
        <v>175745.29389944993</v>
      </c>
      <c r="H9" s="448">
        <f>transport!H14</f>
        <v>39460.911636791447</v>
      </c>
      <c r="I9" s="448">
        <f>transport!I14</f>
        <v>0</v>
      </c>
      <c r="J9" s="448">
        <f>transport!J14</f>
        <v>0</v>
      </c>
      <c r="K9" s="448">
        <f>transport!K14</f>
        <v>0</v>
      </c>
      <c r="L9" s="448">
        <f>transport!L14</f>
        <v>0</v>
      </c>
      <c r="M9" s="448">
        <f>transport!M14</f>
        <v>12742.991250960291</v>
      </c>
      <c r="N9" s="448">
        <f>transport!N14</f>
        <v>0</v>
      </c>
      <c r="O9" s="448">
        <f>transport!O14</f>
        <v>0</v>
      </c>
      <c r="P9" s="448">
        <f>transport!P14</f>
        <v>0</v>
      </c>
      <c r="Q9" s="447">
        <f>SUM(B9:P9)</f>
        <v>228960.43332812603</v>
      </c>
    </row>
    <row r="10" spans="1:17">
      <c r="A10" s="443" t="s">
        <v>526</v>
      </c>
      <c r="B10" s="444">
        <f>transport!B54</f>
        <v>44.366818849890549</v>
      </c>
      <c r="C10" s="444">
        <f>transport!C54</f>
        <v>0</v>
      </c>
      <c r="D10" s="444">
        <f>transport!D54</f>
        <v>0</v>
      </c>
      <c r="E10" s="444">
        <f>transport!E54</f>
        <v>0</v>
      </c>
      <c r="F10" s="444">
        <f>transport!F54</f>
        <v>0</v>
      </c>
      <c r="G10" s="444">
        <f>transport!G54</f>
        <v>3214.4428950624879</v>
      </c>
      <c r="H10" s="444">
        <f>transport!H54</f>
        <v>0</v>
      </c>
      <c r="I10" s="444">
        <f>transport!I54</f>
        <v>0</v>
      </c>
      <c r="J10" s="444">
        <f>transport!J54</f>
        <v>0</v>
      </c>
      <c r="K10" s="444">
        <f>transport!K54</f>
        <v>0</v>
      </c>
      <c r="L10" s="444">
        <f>transport!L54</f>
        <v>0</v>
      </c>
      <c r="M10" s="444">
        <f>transport!M54</f>
        <v>181.81846286292591</v>
      </c>
      <c r="N10" s="444">
        <f>transport!N54</f>
        <v>0</v>
      </c>
      <c r="O10" s="444">
        <f>transport!O54</f>
        <v>0</v>
      </c>
      <c r="P10" s="445">
        <f>transport!P54</f>
        <v>0</v>
      </c>
      <c r="Q10" s="443">
        <f t="shared" si="0"/>
        <v>3440.6281767753044</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2112.639075</v>
      </c>
      <c r="C14" s="451"/>
      <c r="D14" s="451">
        <f>'SEAP template'!E25</f>
        <v>6602.4533629999996</v>
      </c>
      <c r="E14" s="451"/>
      <c r="F14" s="451"/>
      <c r="G14" s="451"/>
      <c r="H14" s="451"/>
      <c r="I14" s="451"/>
      <c r="J14" s="451"/>
      <c r="K14" s="451"/>
      <c r="L14" s="451"/>
      <c r="M14" s="451"/>
      <c r="N14" s="451"/>
      <c r="O14" s="451"/>
      <c r="P14" s="452"/>
      <c r="Q14" s="443">
        <f t="shared" si="0"/>
        <v>8715.0924379999997</v>
      </c>
    </row>
    <row r="15" spans="1:17" s="455" customFormat="1">
      <c r="A15" s="453" t="s">
        <v>530</v>
      </c>
      <c r="B15" s="454">
        <f ca="1">SUM(B4:B14)</f>
        <v>226096.61714211933</v>
      </c>
      <c r="C15" s="454">
        <f t="shared" ref="C15:Q15" ca="1" si="1">SUM(C4:C14)</f>
        <v>0</v>
      </c>
      <c r="D15" s="454">
        <f t="shared" ca="1" si="1"/>
        <v>277057.44052272628</v>
      </c>
      <c r="E15" s="454">
        <f t="shared" si="1"/>
        <v>6215.4976384535748</v>
      </c>
      <c r="F15" s="454">
        <f t="shared" ca="1" si="1"/>
        <v>96388.256187498293</v>
      </c>
      <c r="G15" s="454">
        <f t="shared" si="1"/>
        <v>178959.73679451243</v>
      </c>
      <c r="H15" s="454">
        <f t="shared" si="1"/>
        <v>39460.911636791447</v>
      </c>
      <c r="I15" s="454">
        <f t="shared" si="1"/>
        <v>0</v>
      </c>
      <c r="J15" s="454">
        <f t="shared" si="1"/>
        <v>4057.0210294324211</v>
      </c>
      <c r="K15" s="454">
        <f t="shared" si="1"/>
        <v>0</v>
      </c>
      <c r="L15" s="454">
        <f t="shared" ca="1" si="1"/>
        <v>0</v>
      </c>
      <c r="M15" s="454">
        <f t="shared" si="1"/>
        <v>12924.809713823217</v>
      </c>
      <c r="N15" s="454">
        <f t="shared" ca="1" si="1"/>
        <v>23790.450075553592</v>
      </c>
      <c r="O15" s="454">
        <f t="shared" si="1"/>
        <v>402.61824897031465</v>
      </c>
      <c r="P15" s="454">
        <f t="shared" si="1"/>
        <v>978.61294975926637</v>
      </c>
      <c r="Q15" s="454">
        <f t="shared" ca="1" si="1"/>
        <v>866331.97193964012</v>
      </c>
    </row>
    <row r="17" spans="1:17">
      <c r="A17" s="456" t="s">
        <v>531</v>
      </c>
      <c r="B17" s="736">
        <f ca="1">huishoudens!B10</f>
        <v>0.21049234560321109</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11079.662990260193</v>
      </c>
      <c r="C22" s="444">
        <f t="shared" ref="C22:C32" ca="1" si="3">C4*$C$17</f>
        <v>0</v>
      </c>
      <c r="D22" s="444">
        <f t="shared" ref="D22:D32" si="4">D4*$D$17</f>
        <v>31818.874642315204</v>
      </c>
      <c r="E22" s="444">
        <f t="shared" ref="E22:E32" si="5">E4*$E$17</f>
        <v>704.1491330437965</v>
      </c>
      <c r="F22" s="444">
        <f t="shared" ref="F22:F32" si="6">F4*$F$17</f>
        <v>15938.671848455744</v>
      </c>
      <c r="G22" s="444">
        <f t="shared" ref="G22:G32" si="7">G4*$G$17</f>
        <v>0</v>
      </c>
      <c r="H22" s="444">
        <f t="shared" ref="H22:H32" si="8">H4*$H$17</f>
        <v>0</v>
      </c>
      <c r="I22" s="444">
        <f t="shared" ref="I22:I32" si="9">I4*$I$17</f>
        <v>0</v>
      </c>
      <c r="J22" s="444">
        <f t="shared" ref="J22:J32" si="10">J4*$J$17</f>
        <v>108.13557163990129</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59649.494185714837</v>
      </c>
    </row>
    <row r="23" spans="1:17">
      <c r="A23" s="443" t="s">
        <v>149</v>
      </c>
      <c r="B23" s="444">
        <f t="shared" ca="1" si="2"/>
        <v>14238.697924547478</v>
      </c>
      <c r="C23" s="444">
        <f t="shared" ca="1" si="3"/>
        <v>0</v>
      </c>
      <c r="D23" s="444">
        <f t="shared" ca="1" si="4"/>
        <v>18088.33504157218</v>
      </c>
      <c r="E23" s="444">
        <f t="shared" si="5"/>
        <v>25.623840520787418</v>
      </c>
      <c r="F23" s="444">
        <f t="shared" ca="1" si="6"/>
        <v>2503.74282169051</v>
      </c>
      <c r="G23" s="444">
        <f t="shared" si="7"/>
        <v>0</v>
      </c>
      <c r="H23" s="444">
        <f t="shared" si="8"/>
        <v>0</v>
      </c>
      <c r="I23" s="444">
        <f t="shared" si="9"/>
        <v>0</v>
      </c>
      <c r="J23" s="444">
        <f t="shared" si="10"/>
        <v>1.544687952445894E-2</v>
      </c>
      <c r="K23" s="444">
        <f t="shared" si="11"/>
        <v>0</v>
      </c>
      <c r="L23" s="444">
        <f t="shared" ca="1" si="12"/>
        <v>0</v>
      </c>
      <c r="M23" s="444">
        <f t="shared" si="13"/>
        <v>0</v>
      </c>
      <c r="N23" s="444">
        <f t="shared" ca="1" si="14"/>
        <v>0</v>
      </c>
      <c r="O23" s="444">
        <f t="shared" si="15"/>
        <v>0</v>
      </c>
      <c r="P23" s="445">
        <f t="shared" si="16"/>
        <v>0</v>
      </c>
      <c r="Q23" s="443">
        <f t="shared" ref="Q23:Q31" ca="1" si="17">SUM(B23:P23)</f>
        <v>34856.415075210476</v>
      </c>
    </row>
    <row r="24" spans="1:17">
      <c r="A24" s="443" t="s">
        <v>187</v>
      </c>
      <c r="B24" s="444">
        <f t="shared" ca="1" si="2"/>
        <v>493.829987741671</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493.829987741671</v>
      </c>
    </row>
    <row r="25" spans="1:17">
      <c r="A25" s="443" t="s">
        <v>105</v>
      </c>
      <c r="B25" s="444">
        <f t="shared" ca="1" si="2"/>
        <v>476.30686159605347</v>
      </c>
      <c r="C25" s="444">
        <f t="shared" ca="1" si="3"/>
        <v>0</v>
      </c>
      <c r="D25" s="444">
        <f t="shared" si="4"/>
        <v>120.88814454098801</v>
      </c>
      <c r="E25" s="444">
        <f t="shared" si="5"/>
        <v>20.86821301308844</v>
      </c>
      <c r="F25" s="444">
        <f t="shared" si="6"/>
        <v>2137.1736616874005</v>
      </c>
      <c r="G25" s="444">
        <f t="shared" si="7"/>
        <v>0</v>
      </c>
      <c r="H25" s="444">
        <f t="shared" si="8"/>
        <v>0</v>
      </c>
      <c r="I25" s="444">
        <f t="shared" si="9"/>
        <v>0</v>
      </c>
      <c r="J25" s="444">
        <f t="shared" si="10"/>
        <v>227.59185329765106</v>
      </c>
      <c r="K25" s="444">
        <f t="shared" si="11"/>
        <v>0</v>
      </c>
      <c r="L25" s="444">
        <f t="shared" si="12"/>
        <v>0</v>
      </c>
      <c r="M25" s="444">
        <f t="shared" si="13"/>
        <v>0</v>
      </c>
      <c r="N25" s="444">
        <f t="shared" si="14"/>
        <v>0</v>
      </c>
      <c r="O25" s="444">
        <f t="shared" si="15"/>
        <v>0</v>
      </c>
      <c r="P25" s="445">
        <f t="shared" si="16"/>
        <v>0</v>
      </c>
      <c r="Q25" s="443">
        <f t="shared" ca="1" si="17"/>
        <v>2982.8287341351815</v>
      </c>
    </row>
    <row r="26" spans="1:17">
      <c r="A26" s="443" t="s">
        <v>587</v>
      </c>
      <c r="B26" s="444">
        <f t="shared" ca="1" si="2"/>
        <v>20798.947812493585</v>
      </c>
      <c r="C26" s="444">
        <f t="shared" ca="1" si="3"/>
        <v>0</v>
      </c>
      <c r="D26" s="444">
        <f t="shared" si="4"/>
        <v>4521.3573216541854</v>
      </c>
      <c r="E26" s="444">
        <f t="shared" si="5"/>
        <v>577.44257002695031</v>
      </c>
      <c r="F26" s="444">
        <f t="shared" si="6"/>
        <v>5156.0760702283878</v>
      </c>
      <c r="G26" s="444">
        <f t="shared" si="7"/>
        <v>0</v>
      </c>
      <c r="H26" s="444">
        <f t="shared" si="8"/>
        <v>0</v>
      </c>
      <c r="I26" s="444">
        <f t="shared" si="9"/>
        <v>0</v>
      </c>
      <c r="J26" s="444">
        <f t="shared" si="10"/>
        <v>1100.4425726020002</v>
      </c>
      <c r="K26" s="444">
        <f t="shared" si="11"/>
        <v>0</v>
      </c>
      <c r="L26" s="444">
        <f t="shared" si="12"/>
        <v>0</v>
      </c>
      <c r="M26" s="444">
        <f t="shared" si="13"/>
        <v>0</v>
      </c>
      <c r="N26" s="444">
        <f t="shared" si="14"/>
        <v>0</v>
      </c>
      <c r="O26" s="444">
        <f t="shared" si="15"/>
        <v>0</v>
      </c>
      <c r="P26" s="445">
        <f t="shared" si="16"/>
        <v>0</v>
      </c>
      <c r="Q26" s="443">
        <f t="shared" ca="1" si="17"/>
        <v>32154.266347005108</v>
      </c>
    </row>
    <row r="27" spans="1:17" s="449" customFormat="1">
      <c r="A27" s="447" t="s">
        <v>536</v>
      </c>
      <c r="B27" s="730">
        <f t="shared" ca="1" si="2"/>
        <v>50.128468480492721</v>
      </c>
      <c r="C27" s="448">
        <f t="shared" ca="1" si="3"/>
        <v>0</v>
      </c>
      <c r="D27" s="448">
        <f t="shared" si="4"/>
        <v>82.452256182148702</v>
      </c>
      <c r="E27" s="448">
        <f t="shared" si="5"/>
        <v>82.834207324338877</v>
      </c>
      <c r="F27" s="448">
        <f t="shared" si="6"/>
        <v>0</v>
      </c>
      <c r="G27" s="448">
        <f t="shared" si="7"/>
        <v>46923.993471153131</v>
      </c>
      <c r="H27" s="448">
        <f t="shared" si="8"/>
        <v>9825.7669975610697</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56965.175400701184</v>
      </c>
    </row>
    <row r="28" spans="1:17" ht="16.5" customHeight="1">
      <c r="A28" s="443" t="s">
        <v>526</v>
      </c>
      <c r="B28" s="444">
        <f t="shared" ca="1" si="2"/>
        <v>9.3388757666662219</v>
      </c>
      <c r="C28" s="444">
        <f t="shared" ca="1" si="3"/>
        <v>0</v>
      </c>
      <c r="D28" s="444">
        <f t="shared" si="4"/>
        <v>0</v>
      </c>
      <c r="E28" s="444">
        <f t="shared" si="5"/>
        <v>0</v>
      </c>
      <c r="F28" s="444">
        <f t="shared" si="6"/>
        <v>0</v>
      </c>
      <c r="G28" s="444">
        <f t="shared" si="7"/>
        <v>858.25625298168427</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867.59512874835048</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444.69435430974818</v>
      </c>
      <c r="C32" s="444">
        <f t="shared" ca="1" si="3"/>
        <v>0</v>
      </c>
      <c r="D32" s="444">
        <f t="shared" si="4"/>
        <v>1333.6955793259999</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1778.3899336357481</v>
      </c>
    </row>
    <row r="33" spans="1:17" s="455" customFormat="1">
      <c r="A33" s="453" t="s">
        <v>530</v>
      </c>
      <c r="B33" s="454">
        <f ca="1">SUM(B22:B32)</f>
        <v>47591.6072751959</v>
      </c>
      <c r="C33" s="454">
        <f t="shared" ref="C33:Q33" ca="1" si="19">SUM(C22:C32)</f>
        <v>0</v>
      </c>
      <c r="D33" s="454">
        <f t="shared" ca="1" si="19"/>
        <v>55965.602985590704</v>
      </c>
      <c r="E33" s="454">
        <f t="shared" si="19"/>
        <v>1410.9179639289614</v>
      </c>
      <c r="F33" s="454">
        <f t="shared" ca="1" si="19"/>
        <v>25735.664402062041</v>
      </c>
      <c r="G33" s="454">
        <f t="shared" si="19"/>
        <v>47782.249724134817</v>
      </c>
      <c r="H33" s="454">
        <f t="shared" si="19"/>
        <v>9825.7669975610697</v>
      </c>
      <c r="I33" s="454">
        <f t="shared" si="19"/>
        <v>0</v>
      </c>
      <c r="J33" s="454">
        <f t="shared" si="19"/>
        <v>1436.1854444190769</v>
      </c>
      <c r="K33" s="454">
        <f t="shared" si="19"/>
        <v>0</v>
      </c>
      <c r="L33" s="454">
        <f t="shared" ca="1" si="19"/>
        <v>0</v>
      </c>
      <c r="M33" s="454">
        <f t="shared" si="19"/>
        <v>0</v>
      </c>
      <c r="N33" s="454">
        <f t="shared" ca="1" si="19"/>
        <v>0</v>
      </c>
      <c r="O33" s="454">
        <f t="shared" si="19"/>
        <v>0</v>
      </c>
      <c r="P33" s="454">
        <f t="shared" si="19"/>
        <v>0</v>
      </c>
      <c r="Q33" s="454">
        <f t="shared" ca="1" si="19"/>
        <v>189747.99479289257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10749.977887839297</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10749.977887839297</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0.21049234560321109</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0.21049234560321109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2022-07-26T10:14:16Z</dcterms:modified>
</cp:coreProperties>
</file>