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80A014F-01C8-44FE-B748-FE75AA0971B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3"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52" i="18"/>
  <c r="V52" i="18"/>
  <c r="U52" i="18"/>
  <c r="T52" i="18"/>
  <c r="S52" i="18"/>
  <c r="R52" i="18"/>
  <c r="Q52" i="18"/>
  <c r="P52" i="18"/>
  <c r="O52" i="18"/>
  <c r="N52" i="18"/>
  <c r="M52" i="18"/>
  <c r="W51" i="18"/>
  <c r="V51" i="18"/>
  <c r="U51" i="18"/>
  <c r="T51" i="18"/>
  <c r="S51" i="18"/>
  <c r="R51" i="18"/>
  <c r="Q51" i="18"/>
  <c r="P51" i="18"/>
  <c r="O51" i="18"/>
  <c r="N51" i="18"/>
  <c r="M51" i="18"/>
  <c r="W50" i="18"/>
  <c r="V50" i="18"/>
  <c r="U50" i="18"/>
  <c r="T50" i="18"/>
  <c r="S50" i="18"/>
  <c r="R50" i="18"/>
  <c r="Q50" i="18"/>
  <c r="P50" i="18"/>
  <c r="O50" i="18"/>
  <c r="N50" i="18"/>
  <c r="M50" i="18"/>
  <c r="W49" i="18"/>
  <c r="H9" i="18"/>
  <c r="M77" i="14"/>
  <c r="M9" i="59"/>
  <c r="V49" i="18"/>
  <c r="U49" i="18"/>
  <c r="T49" i="18"/>
  <c r="I9" i="18"/>
  <c r="I77" i="14"/>
  <c r="I9" i="59"/>
  <c r="S49" i="18"/>
  <c r="E9" i="18"/>
  <c r="F77" i="14"/>
  <c r="F9" i="59"/>
  <c r="R49" i="18"/>
  <c r="Q49" i="18"/>
  <c r="P49" i="18"/>
  <c r="O49" i="18"/>
  <c r="N49" i="18"/>
  <c r="B9" i="18"/>
  <c r="M49" i="18"/>
  <c r="W45" i="18"/>
  <c r="V45" i="18"/>
  <c r="U45" i="18"/>
  <c r="T45" i="18"/>
  <c r="L6" i="17"/>
  <c r="L5" i="17"/>
  <c r="S45" i="18"/>
  <c r="F6" i="17"/>
  <c r="R45" i="18"/>
  <c r="Q45" i="18"/>
  <c r="P45" i="18"/>
  <c r="O45" i="18"/>
  <c r="N45" i="18"/>
  <c r="M45" i="18"/>
  <c r="W44" i="18"/>
  <c r="V44" i="18"/>
  <c r="U44" i="18"/>
  <c r="T44" i="18"/>
  <c r="S44" i="18"/>
  <c r="R44" i="18"/>
  <c r="Q44" i="18"/>
  <c r="P44" i="18"/>
  <c r="O44" i="18"/>
  <c r="C13" i="15"/>
  <c r="N44" i="18"/>
  <c r="B13" i="15"/>
  <c r="M44" i="18"/>
  <c r="W43" i="18"/>
  <c r="V43" i="18"/>
  <c r="U43" i="18"/>
  <c r="T43" i="18"/>
  <c r="S43" i="18"/>
  <c r="F16" i="16"/>
  <c r="R43" i="18"/>
  <c r="Q43" i="18"/>
  <c r="P43" i="18"/>
  <c r="O43" i="18"/>
  <c r="N43" i="18"/>
  <c r="W42" i="18"/>
  <c r="V42" i="18"/>
  <c r="U42" i="18"/>
  <c r="T42" i="18"/>
  <c r="S42" i="18"/>
  <c r="R42" i="18"/>
  <c r="Q42" i="18"/>
  <c r="P42" i="18"/>
  <c r="O42" i="18"/>
  <c r="B17" i="18"/>
  <c r="N42" i="18"/>
  <c r="B8" i="18"/>
  <c r="M42"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58" i="18"/>
  <c r="B62" i="18"/>
  <c r="B16" i="16"/>
  <c r="K9" i="14"/>
  <c r="H77" i="14"/>
  <c r="J11" i="48"/>
  <c r="J29" i="48"/>
  <c r="M9" i="14"/>
  <c r="L11" i="48"/>
  <c r="O19" i="14"/>
  <c r="O22" i="14"/>
  <c r="N10" i="48"/>
  <c r="N28" i="48"/>
  <c r="J19" i="14"/>
  <c r="J22" i="14"/>
  <c r="I10" i="48"/>
  <c r="I28" i="48"/>
  <c r="J19" i="19"/>
  <c r="K39" i="14"/>
  <c r="N19" i="19"/>
  <c r="O39" i="14"/>
  <c r="C58" i="18"/>
  <c r="I61"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61" i="18"/>
  <c r="E8" i="18"/>
  <c r="F76" i="14"/>
  <c r="F7" i="48"/>
  <c r="F25" i="48"/>
  <c r="D61" i="18"/>
  <c r="O9" i="18"/>
  <c r="M29" i="48"/>
  <c r="F12" i="17"/>
  <c r="G54" i="14"/>
  <c r="G56" i="14"/>
  <c r="C62" i="18"/>
  <c r="C61" i="18"/>
  <c r="B10" i="18"/>
  <c r="E62" i="18"/>
  <c r="E17" i="18"/>
  <c r="F87" i="14"/>
  <c r="G62" i="18"/>
  <c r="D7" i="48"/>
  <c r="D25" i="48"/>
  <c r="H61" i="18"/>
  <c r="G61" i="18"/>
  <c r="D62" i="18"/>
  <c r="L28" i="48"/>
  <c r="H62" i="18"/>
  <c r="I62" i="18"/>
  <c r="H17" i="18"/>
  <c r="F62" i="18"/>
  <c r="F61" i="18"/>
  <c r="H10" i="18"/>
  <c r="M78" i="14"/>
  <c r="B61"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<sst xmlns="http://schemas.openxmlformats.org/spreadsheetml/2006/main" count="2480" uniqueCount="890">
  <si>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</si>
  <si>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</si>
  <si>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</si>
  <si>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</si>
  <si>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</si>
  <si>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</si>
  <si>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</si>
  <si>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</si>
  <si>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</si>
  <si>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</si>
  <si>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</si>
  <si>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</si>
  <si>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</si>
  <si>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</si>
  <si>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</si>
  <si>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</si>
  <si>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</si>
  <si>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</si>
  <si>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</si>
  <si>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</si>
  <si>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</si>
  <si>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</si>
  <si>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</si>
  <si>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</si>
  <si>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</si>
  <si>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</si>
  <si>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</si>
  <si>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</si>
  <si>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</si>
  <si>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</si>
  <si>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</si>
  <si>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</si>
  <si>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</si>
  <si>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</si>
  <si>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</si>
  <si>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</si>
  <si>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</si>
  <si>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</si>
  <si>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</si>
  <si>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</si>
  <si>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</si>
  <si>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</si>
  <si>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</si>
  <si>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</si>
  <si>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</si>
  <si>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</si>
  <si>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</si>
  <si>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</si>
  <si>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</si>
  <si>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</si>
  <si>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</si>
  <si>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</si>
  <si>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</si>
  <si>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</si>
  <si>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</si>
  <si>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</si>
  <si>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</si>
  <si>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</si>
  <si>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</si>
  <si>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</si>
  <si>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</si>
  <si>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</si>
  <si>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</si>
  <si>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</si>
  <si>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</si>
  <si>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</si>
  <si>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</si>
  <si>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</si>
  <si>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</si>
  <si>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</si>
  <si>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</si>
  <si>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</si>
  <si>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</si>
  <si>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</si>
  <si>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</si>
  <si>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</si>
  <si>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</si>
  <si>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</si>
  <si>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</si>
  <si>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</si>
  <si>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</si>
  <si>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</si>
  <si>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</si>
  <si>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</si>
  <si>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</si>
  <si>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</si>
  <si>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</si>
  <si>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</si>
  <si>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</si>
  <si>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</si>
  <si>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</si>
  <si>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</si>
  <si>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</si>
  <si>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</si>
  <si>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</si>
  <si>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</si>
  <si>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</si>
  <si>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</si>
  <si>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</si>
  <si>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</si>
  <si>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</si>
  <si>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</si>
  <si>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</si>
  <si>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</si>
  <si>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</si>
  <si>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</si>
  <si>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</si>
  <si>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</si>
  <si>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</si>
  <si>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</si>
  <si>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</si>
  <si>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</si>
  <si>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</si>
  <si>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</si>
  <si>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</si>
  <si>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</si>
  <si>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</si>
  <si>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</si>
  <si>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</si>
  <si>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</si>
  <si>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</si>
  <si>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</si>
  <si>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</si>
  <si>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</si>
  <si>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</si>
  <si>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</si>
  <si>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</si>
  <si>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</si>
  <si>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</si>
  <si>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</si>
  <si>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</si>
  <si>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</si>
  <si>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</si>
  <si>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</si>
  <si>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</si>
  <si>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</si>
  <si>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</si>
  <si>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</si>
  <si>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</si>
  <si>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</si>
  <si>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</si>
  <si>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</si>
  <si>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</si>
  <si>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</si>
  <si>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</si>
  <si>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</si>
  <si>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</si>
  <si>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</si>
  <si>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</si>
  <si>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</si>
  <si>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</si>
  <si>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</si>
  <si>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</si>
  <si>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</si>
  <si>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</si>
  <si>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</si>
  <si>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</si>
  <si>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</si>
  <si>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</si>
  <si>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</si>
  <si>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</si>
  <si>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</si>
  <si>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</si>
  <si>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</si>
  <si>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</si>
  <si>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</si>
  <si>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</si>
  <si>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</si>
  <si>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</si>
  <si>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</si>
  <si>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</si>
  <si>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</si>
  <si>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</si>
  <si>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</si>
  <si>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</si>
  <si>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</si>
  <si>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</si>
  <si>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</si>
  <si>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</si>
  <si>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</si>
  <si>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</si>
  <si>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</si>
  <si>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</si>
  <si>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</si>
  <si>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</si>
  <si>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</si>
  <si>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</si>
  <si>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</si>
  <si>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</si>
  <si>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</si>
  <si>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</si>
  <si>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</si>
  <si>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</si>
  <si>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</si>
  <si>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</si>
  <si>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</si>
  <si>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</si>
  <si>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</si>
  <si>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</si>
  <si>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</si>
  <si>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</si>
  <si>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</si>
  <si>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</si>
  <si>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</si>
  <si>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</si>
  <si>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</si>
  <si>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</si>
  <si>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</si>
  <si>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</si>
  <si>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</si>
  <si>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</si>
  <si>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</si>
  <si>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</si>
  <si>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</si>
  <si>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</si>
  <si>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</si>
  <si>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</si>
  <si>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</si>
  <si>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</si>
  <si>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</si>
  <si>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</si>
  <si>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</si>
  <si>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</si>
  <si>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</si>
  <si>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</si>
  <si>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</si>
  <si>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</si>
  <si>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</si>
  <si>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</si>
  <si>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</si>
  <si>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</si>
  <si>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</si>
  <si>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</si>
  <si>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</si>
  <si>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</si>
  <si>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</si>
  <si>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</si>
  <si>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</si>
  <si>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</si>
  <si>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</si>
  <si>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</si>
  <si>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</si>
  <si>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</si>
  <si>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</si>
  <si>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</si>
  <si>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</si>
  <si>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</si>
  <si>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</si>
  <si>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</si>
  <si>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</si>
  <si>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</si>
  <si>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</si>
  <si>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</si>
  <si>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</si>
  <si>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</si>
  <si>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</si>
  <si>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</si>
  <si>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</si>
  <si>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</si>
  <si>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</si>
  <si>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</si>
  <si>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</si>
  <si>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</si>
  <si>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</si>
  <si>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</si>
  <si>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</si>
  <si>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</si>
  <si>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</si>
  <si>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</si>
  <si>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</si>
  <si>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</si>
  <si>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</si>
  <si>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</si>
  <si>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</si>
  <si>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</si>
  <si>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</si>
  <si>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</si>
  <si>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</si>
  <si>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</si>
  <si>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</si>
  <si>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</si>
  <si>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</si>
  <si>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</si>
  <si>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</si>
  <si>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</si>
  <si>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</si>
  <si>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</si>
  <si>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</si>
  <si>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</si>
  <si>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</si>
  <si>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</si>
  <si>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</si>
  <si>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</si>
  <si>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</si>
  <si>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</si>
  <si>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</si>
  <si>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</si>
  <si>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</si>
  <si>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</si>
  <si>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</si>
  <si>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</si>
  <si>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</si>
  <si>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</si>
  <si>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</si>
  <si>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</si>
  <si>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</si>
  <si>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</si>
  <si>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</si>
  <si>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</si>
  <si>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</si>
  <si>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</si>
  <si>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</si>
  <si>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</si>
  <si>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</si>
  <si>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</si>
  <si>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</si>
  <si>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</si>
  <si>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</si>
  <si>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</si>
  <si>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</si>
  <si>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</si>
  <si>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</si>
  <si>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</si>
  <si>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</si>
  <si>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</si>
  <si>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</si>
  <si>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</si>
  <si>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</si>
  <si>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</si>
  <si>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</si>
  <si>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</si>
  <si>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</si>
  <si>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</si>
  <si>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</si>
  <si>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</si>
  <si>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</si>
  <si>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</si>
  <si>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</si>
  <si>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</si>
  <si>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</si>
  <si>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</si>
  <si>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</si>
  <si>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</si>
  <si>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</si>
  <si>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</si>
  <si>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</si>
  <si>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</si>
  <si>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</si>
  <si>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</si>
  <si>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</si>
  <si>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</si>
  <si>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</si>
  <si>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</si>
  <si>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</si>
  <si>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</si>
  <si>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</si>
  <si>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</si>
  <si>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</si>
  <si>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</si>
  <si>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</si>
  <si>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</si>
  <si>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</si>
  <si>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</si>
  <si>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</si>
  <si>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</si>
  <si>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</si>
  <si>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</si>
  <si>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</si>
  <si>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</si>
  <si>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</si>
  <si>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</si>
  <si>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</si>
  <si>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</si>
  <si>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</si>
  <si>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</si>
  <si>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</si>
  <si>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</si>
  <si>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</si>
  <si>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</si>
  <si>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</si>
  <si>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</si>
  <si>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</si>
  <si>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</si>
  <si>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</si>
  <si>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</si>
  <si>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</si>
  <si>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</si>
  <si>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</si>
  <si>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</si>
  <si>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</si>
  <si>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</si>
  <si>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</si>
  <si>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</si>
  <si>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</si>
  <si>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</si>
  <si>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</si>
  <si>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</si>
  <si>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</si>
  <si>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</si>
  <si>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</si>
  <si>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</si>
  <si>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</si>
  <si>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</si>
  <si>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</si>
  <si>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</si>
  <si>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</si>
  <si>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</si>
  <si>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</si>
  <si>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</si>
  <si>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</si>
  <si>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</si>
  <si>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</si>
  <si>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</si>
  <si>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</si>
  <si>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</si>
  <si>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</si>
  <si>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</si>
  <si>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</si>
  <si>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</si>
  <si>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</si>
  <si>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</si>
  <si>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</si>
  <si>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</si>
  <si>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</si>
  <si>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</si>
  <si>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</si>
  <si>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</si>
  <si>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</si>
  <si>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</si>
  <si>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</si>
  <si>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</si>
  <si>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</si>
  <si>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</si>
  <si>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</si>
  <si>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</si>
  <si>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</si>
  <si>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</si>
  <si>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</si>
  <si>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</si>
  <si>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</si>
  <si>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</si>
  <si>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</si>
  <si>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</si>
  <si>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</si>
  <si>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</si>
  <si>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</si>
  <si>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</si>
  <si>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</si>
  <si>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</si>
  <si>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</si>
  <si>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</si>
  <si>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</si>
  <si>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</si>
  <si>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</si>
  <si>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</si>
  <si>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</si>
  <si>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</si>
  <si>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</si>
  <si>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</si>
  <si>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</si>
  <si>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</si>
  <si>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</si>
  <si>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</si>
  <si>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</si>
  <si>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</si>
  <si>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</si>
  <si>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</si>
  <si>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</si>
  <si>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</si>
  <si>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</si>
  <si>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</si>
  <si>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</si>
  <si>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</si>
  <si>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</si>
  <si>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</si>
  <si>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</si>
  <si>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</si>
  <si>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</si>
  <si>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</si>
  <si>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</si>
  <si>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</si>
  <si>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</si>
  <si>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</si>
  <si>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</si>
  <si>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</si>
  <si>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</si>
  <si>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</si>
  <si>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</si>
  <si>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</si>
  <si>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</si>
  <si>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</si>
  <si>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</si>
  <si>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</si>
  <si>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</si>
  <si>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</si>
  <si>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</si>
  <si>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</si>
  <si>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</si>
  <si>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</si>
  <si>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</si>
  <si>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</si>
  <si>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</si>
  <si>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</si>
  <si>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</si>
  <si>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</si>
  <si>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</si>
  <si>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</si>
  <si>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</si>
  <si>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</si>
  <si>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</si>
  <si>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</si>
  <si>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</si>
  <si>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</si>
  <si>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</si>
  <si>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</si>
  <si>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</si>
  <si>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</si>
  <si>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</si>
  <si>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</si>
  <si>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</si>
  <si>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</si>
  <si>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</si>
  <si>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</si>
  <si>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</si>
  <si>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</si>
  <si>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</si>
  <si>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</si>
  <si>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</si>
  <si>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</si>
  <si>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</si>
  <si>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</si>
  <si>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</si>
  <si>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</si>
  <si>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</si>
  <si>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</si>
  <si>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</si>
  <si>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</si>
  <si>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</si>
  <si>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</si>
  <si>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</si>
  <si>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</si>
  <si>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</si>
  <si>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</si>
  <si>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</si>
  <si>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</si>
  <si>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</si>
  <si>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</si>
  <si>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</si>
  <si>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</si>
  <si>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</si>
  <si>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</si>
  <si>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</si>
  <si>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</si>
  <si>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</si>
  <si>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</si>
  <si>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</si>
  <si>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</si>
  <si>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</si>
  <si>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</si>
  <si>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</si>
  <si>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</si>
  <si>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</si>
  <si>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</si>
  <si>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</si>
  <si>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</si>
  <si>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</si>
  <si>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</si>
  <si>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</si>
  <si>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</si>
  <si>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</si>
  <si>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</si>
  <si>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</si>
  <si>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</si>
  <si>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</si>
  <si>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</si>
  <si>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</si>
  <si>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</si>
  <si>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</si>
  <si>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</si>
  <si>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</si>
  <si>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</si>
  <si>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</si>
  <si>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</si>
  <si>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</si>
  <si>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</si>
  <si>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</si>
  <si>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</si>
  <si>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</si>
  <si>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</si>
  <si>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</si>
  <si>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</si>
  <si>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</si>
  <si>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</si>
  <si>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</si>
  <si>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</si>
  <si>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</si>
  <si>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</si>
  <si>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</si>
  <si>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</si>
  <si>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</si>
  <si>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</si>
  <si>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</si>
  <si>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</si>
  <si>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</si>
  <si>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</si>
  <si>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</si>
  <si>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</si>
  <si>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</si>
  <si>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</si>
  <si>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</si>
  <si>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</si>
  <si>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</si>
  <si>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</si>
  <si>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</si>
  <si>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</si>
  <si>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</si>
  <si>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</si>
  <si>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</si>
  <si>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</si>
  <si>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</si>
  <si>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</si>
  <si>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</si>
  <si>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</si>
  <si>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</si>
  <si>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</si>
  <si>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</si>
  <si>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</si>
  <si>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</si>
  <si>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</si>
  <si>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</si>
  <si>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</si>
  <si>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</si>
  <si>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</si>
  <si>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</si>
  <si>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</si>
  <si>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</si>
  <si>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</si>
  <si>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</si>
  <si>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</si>
  <si>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</si>
  <si>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</si>
  <si>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</si>
  <si>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</si>
  <si>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</si>
  <si>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</si>
  <si>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</si>
  <si>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</si>
  <si>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</si>
  <si>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</si>
  <si>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</si>
  <si>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</si>
  <si>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</si>
  <si>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</si>
  <si>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</si>
  <si>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</si>
  <si>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</si>
  <si>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</si>
  <si>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</si>
  <si>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</si>
  <si>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</si>
  <si>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</si>
  <si>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</si>
  <si>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</si>
  <si>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</si>
  <si>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</si>
  <si>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</si>
  <si>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</si>
  <si>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</si>
  <si>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</si>
  <si>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</si>
  <si>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</si>
  <si>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</si>
  <si>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</si>
  <si>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</si>
  <si>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</si>
  <si>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</si>
  <si>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</si>
  <si>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</si>
  <si>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</si>
  <si>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</si>
  <si>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</si>
  <si>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</si>
  <si>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</si>
  <si>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</si>
  <si>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</si>
  <si>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</si>
  <si>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</si>
  <si>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</si>
  <si>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</si>
  <si>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</si>
  <si>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</si>
  <si>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</si>
  <si>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</si>
  <si>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</si>
  <si>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</si>
  <si>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</si>
  <si>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</si>
  <si>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</si>
  <si>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</si>
  <si>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</si>
  <si>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</si>
  <si>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</si>
  <si>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</si>
  <si>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</si>
  <si>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</si>
  <si>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</si>
  <si>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</si>
  <si>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</si>
  <si>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</si>
  <si>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</si>
  <si>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</si>
  <si>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</si>
  <si>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</si>
  <si>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</si>
  <si>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</si>
  <si>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</si>
  <si>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</si>
  <si>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</si>
  <si>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</si>
  <si>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</si>
  <si>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</si>
  <si>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</si>
  <si>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</si>
  <si>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</si>
  <si>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</si>
  <si>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</si>
  <si>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</si>
  <si>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</si>
  <si>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</si>
  <si>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</si>
  <si>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</si>
  <si>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</si>
  <si>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</si>
  <si>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</si>
  <si>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</si>
  <si>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</si>
  <si>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</si>
  <si>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</si>
  <si>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</si>
  <si>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</si>
  <si>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</si>
  <si>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</si>
  <si>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</si>
  <si>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</si>
  <si>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</si>
  <si>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</si>
  <si>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</si>
  <si>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</si>
  <si>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</si>
  <si>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</si>
  <si>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</si>
  <si>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</si>
  <si>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</si>
  <si>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</si>
  <si>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</si>
  <si>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</si>
  <si>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</si>
  <si>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</si>
  <si>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</si>
  <si>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</si>
  <si>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</si>
  <si>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</si>
  <si>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</si>
  <si>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</si>
  <si>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</si>
  <si>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</si>
  <si>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</si>
  <si>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</si>
  <si>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</si>
  <si>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</si>
  <si>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</si>
  <si>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</si>
  <si>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</si>
  <si>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</si>
  <si>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</si>
  <si>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</si>
  <si>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</si>
  <si>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</si>
  <si>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</si>
  <si>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</si>
  <si>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</si>
  <si>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</si>
  <si>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</si>
  <si>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</si>
  <si>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</si>
  <si>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</si>
  <si>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</si>
  <si>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</si>
  <si>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</si>
  <si>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</si>
  <si>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</si>
  <si>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</si>
  <si>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</si>
  <si>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</si>
  <si>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</si>
  <si>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</si>
  <si>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</si>
  <si>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</si>
  <si>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</si>
  <si>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</si>
  <si>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</si>
  <si>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</si>
  <si>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</si>
  <si>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</si>
  <si>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</si>
  <si>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</si>
  <si>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</si>
  <si>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</si>
  <si>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</si>
  <si>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</si>
  <si>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</si>
  <si>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</si>
  <si>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</si>
  <si>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</si>
  <si>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</si>
  <si>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</si>
  <si>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</si>
  <si>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</si>
  <si>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</si>
  <si>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</si>
  <si>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</si>
  <si>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</si>
  <si>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</si>
  <si>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</si>
  <si>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</si>
  <si>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</si>
  <si>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</si>
  <si>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</si>
  <si>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</si>
  <si>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</si>
  <si>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</si>
  <si>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</si>
  <si>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</si>
  <si>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</si>
  <si>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</si>
  <si>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</si>
  <si>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</si>
  <si>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</si>
  <si>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</si>
  <si>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</si>
  <si>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</si>
  <si>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</si>
  <si>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</si>
  <si>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</si>
  <si>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</si>
  <si>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</si>
  <si>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</si>
  <si>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</si>
  <si>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</si>
  <si>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</si>
  <si>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</si>
  <si>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</si>
  <si>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</si>
  <si>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</si>
  <si>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</si>
  <si>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</si>
  <si>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</si>
  <si>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</si>
  <si>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</si>
  <si>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</si>
  <si>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</si>
  <si>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</si>
  <si>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</si>
  <si>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</si>
  <si>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</si>
  <si>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</si>
  <si>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</si>
  <si>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</si>
  <si>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</si>
  <si>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</si>
  <si>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</si>
  <si>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</si>
  <si>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</si>
  <si>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</si>
  <si>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</si>
  <si>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</si>
  <si>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</si>
  <si>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</si>
  <si>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</si>
  <si>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</si>
  <si>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13023</t>
  </si>
  <si>
    <t>MERKSPLAS</t>
  </si>
  <si>
    <t>vloeibaar gas (MWh)</t>
  </si>
  <si>
    <t>interne verbrandingsmotor</t>
  </si>
  <si>
    <t>WKK interne verbrandinsgmotor (gas)</t>
  </si>
  <si>
    <t>IVEG</t>
  </si>
  <si>
    <t>IVEG (via INFRAX)</t>
  </si>
  <si>
    <t>Interne verbrandingsmotor</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</si>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</sst>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CEFBB77-CB85-44E5-B3C3-6E21B6EE692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69939.240149534831</c:v>
                </c:pt>
                <c:pt idx="1">
                  <c:v>36262.398871938378</c:v>
                </c:pt>
                <c:pt idx="2">
                  <c:v>472.13400000000001</c:v>
                </c:pt>
                <c:pt idx="3">
                  <c:v>454009.30688058207</c:v>
                </c:pt>
                <c:pt idx="4">
                  <c:v>7176.6937141677699</c:v>
                </c:pt>
                <c:pt idx="5">
                  <c:v>45765.85555545141</c:v>
                </c:pt>
                <c:pt idx="6">
                  <c:v>851.94414932106054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69939.240149534831</c:v>
                </c:pt>
                <c:pt idx="1">
                  <c:v>36262.398871938378</c:v>
                </c:pt>
                <c:pt idx="2">
                  <c:v>472.13400000000001</c:v>
                </c:pt>
                <c:pt idx="3">
                  <c:v>454009.30688058207</c:v>
                </c:pt>
                <c:pt idx="4">
                  <c:v>7176.6937141677699</c:v>
                </c:pt>
                <c:pt idx="5">
                  <c:v>45765.85555545141</c:v>
                </c:pt>
                <c:pt idx="6">
                  <c:v>851.94414932106054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14189.268238132292</c:v>
                </c:pt>
                <c:pt idx="1">
                  <c:v>7638.1607307686045</c:v>
                </c:pt>
                <c:pt idx="2">
                  <c:v>97.844428139103542</c:v>
                </c:pt>
                <c:pt idx="3">
                  <c:v>99220.786618255617</c:v>
                </c:pt>
                <c:pt idx="4">
                  <c:v>1494.5720724535568</c:v>
                </c:pt>
                <c:pt idx="5">
                  <c:v>11367.320660072259</c:v>
                </c:pt>
                <c:pt idx="6">
                  <c:v>214.79205942101288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14189.268238132292</c:v>
                </c:pt>
                <c:pt idx="1">
                  <c:v>7638.1607307686045</c:v>
                </c:pt>
                <c:pt idx="2">
                  <c:v>97.844428139103542</c:v>
                </c:pt>
                <c:pt idx="3">
                  <c:v>99220.786618255617</c:v>
                </c:pt>
                <c:pt idx="4">
                  <c:v>1494.5720724535568</c:v>
                </c:pt>
                <c:pt idx="5">
                  <c:v>11367.320660072259</c:v>
                </c:pt>
                <c:pt idx="6">
                  <c:v>214.79205942101288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13023</v>
      </c>
      <c r="B6" s="382"/>
      <c r="C6" s="383"/>
    </row>
    <row r="7" spans="1:7" s="380" customFormat="1" ht="15.75" customHeight="1">
      <c r="A7" s="384" t="str">
        <f>txtMunicipality</f>
        <v>MERKSPLAS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0.20723868253314429</v>
      </c>
      <c r="C17" s="492">
        <f ca="1">'EF ele_warmte'!B22</f>
        <v>0.21154716571120585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0.20723868253314429</v>
      </c>
      <c r="C29" s="493">
        <f ca="1">'EF ele_warmte'!B22</f>
        <v>0.21154716571120585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3230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2514.56</v>
      </c>
      <c r="C14" s="324"/>
      <c r="D14" s="324"/>
      <c r="E14" s="324"/>
      <c r="F14" s="324"/>
    </row>
    <row r="15" spans="1:6">
      <c r="A15" s="1257" t="s">
        <v>177</v>
      </c>
      <c r="B15" s="1258">
        <v>12431</v>
      </c>
      <c r="C15" s="324"/>
      <c r="D15" s="324"/>
      <c r="E15" s="324"/>
      <c r="F15" s="324"/>
    </row>
    <row r="16" spans="1:6">
      <c r="A16" s="1257" t="s">
        <v>6</v>
      </c>
      <c r="B16" s="1258">
        <v>3747</v>
      </c>
      <c r="C16" s="324"/>
      <c r="D16" s="324"/>
      <c r="E16" s="324"/>
      <c r="F16" s="324"/>
    </row>
    <row r="17" spans="1:6">
      <c r="A17" s="1257" t="s">
        <v>7</v>
      </c>
      <c r="B17" s="1258">
        <v>453</v>
      </c>
      <c r="C17" s="324"/>
      <c r="D17" s="324"/>
      <c r="E17" s="324"/>
      <c r="F17" s="324"/>
    </row>
    <row r="18" spans="1:6">
      <c r="A18" s="1257" t="s">
        <v>8</v>
      </c>
      <c r="B18" s="1258">
        <v>2055</v>
      </c>
      <c r="C18" s="324"/>
      <c r="D18" s="324"/>
      <c r="E18" s="324"/>
      <c r="F18" s="324"/>
    </row>
    <row r="19" spans="1:6">
      <c r="A19" s="1257" t="s">
        <v>9</v>
      </c>
      <c r="B19" s="1258">
        <v>1916</v>
      </c>
      <c r="C19" s="324"/>
      <c r="D19" s="324"/>
      <c r="E19" s="324"/>
      <c r="F19" s="324"/>
    </row>
    <row r="20" spans="1:6">
      <c r="A20" s="1257" t="s">
        <v>10</v>
      </c>
      <c r="B20" s="1258">
        <v>1083</v>
      </c>
      <c r="C20" s="324"/>
      <c r="D20" s="324"/>
      <c r="E20" s="324"/>
      <c r="F20" s="324"/>
    </row>
    <row r="21" spans="1:6">
      <c r="A21" s="1257" t="s">
        <v>11</v>
      </c>
      <c r="B21" s="1258">
        <v>21751</v>
      </c>
      <c r="C21" s="324"/>
      <c r="D21" s="324"/>
      <c r="E21" s="324"/>
      <c r="F21" s="324"/>
    </row>
    <row r="22" spans="1:6">
      <c r="A22" s="1257" t="s">
        <v>12</v>
      </c>
      <c r="B22" s="1258">
        <v>41665</v>
      </c>
      <c r="C22" s="324"/>
      <c r="D22" s="324"/>
      <c r="E22" s="324"/>
      <c r="F22" s="324"/>
    </row>
    <row r="23" spans="1:6">
      <c r="A23" s="1257" t="s">
        <v>13</v>
      </c>
      <c r="B23" s="1258">
        <v>995</v>
      </c>
      <c r="C23" s="324"/>
      <c r="D23" s="324"/>
      <c r="E23" s="324"/>
      <c r="F23" s="324"/>
    </row>
    <row r="24" spans="1:6">
      <c r="A24" s="1257" t="s">
        <v>14</v>
      </c>
      <c r="B24" s="1258">
        <v>30</v>
      </c>
      <c r="C24" s="324"/>
      <c r="D24" s="324"/>
      <c r="E24" s="324"/>
      <c r="F24" s="324"/>
    </row>
    <row r="25" spans="1:6">
      <c r="A25" s="1257" t="s">
        <v>15</v>
      </c>
      <c r="B25" s="1258">
        <v>5023</v>
      </c>
      <c r="C25" s="324"/>
      <c r="D25" s="324"/>
      <c r="E25" s="324"/>
      <c r="F25" s="324"/>
    </row>
    <row r="26" spans="1:6">
      <c r="A26" s="1257" t="s">
        <v>16</v>
      </c>
      <c r="B26" s="1258">
        <v>86</v>
      </c>
      <c r="C26" s="324"/>
      <c r="D26" s="324"/>
      <c r="E26" s="324"/>
      <c r="F26" s="324"/>
    </row>
    <row r="27" spans="1:6">
      <c r="A27" s="1257" t="s">
        <v>17</v>
      </c>
      <c r="B27" s="1258">
        <v>1664</v>
      </c>
      <c r="C27" s="324"/>
      <c r="D27" s="324"/>
      <c r="E27" s="324"/>
      <c r="F27" s="324"/>
    </row>
    <row r="28" spans="1:6">
      <c r="A28" s="1257" t="s">
        <v>18</v>
      </c>
      <c r="B28" s="1259">
        <v>749303</v>
      </c>
      <c r="C28" s="324"/>
      <c r="D28" s="324"/>
      <c r="E28" s="324"/>
      <c r="F28" s="324"/>
    </row>
    <row r="29" spans="1:6">
      <c r="A29" s="1257" t="s">
        <v>664</v>
      </c>
      <c r="B29" s="1259">
        <v>104</v>
      </c>
      <c r="C29" s="324"/>
      <c r="D29" s="324"/>
      <c r="E29" s="324"/>
      <c r="F29" s="324"/>
    </row>
    <row r="30" spans="1:6">
      <c r="A30" s="1252" t="s">
        <v>665</v>
      </c>
      <c r="B30" s="1260">
        <v>3</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3</v>
      </c>
      <c r="F35" s="1258">
        <v>67327</v>
      </c>
    </row>
    <row r="36" spans="1:6">
      <c r="A36" s="1257" t="s">
        <v>24</v>
      </c>
      <c r="B36" s="1257" t="s">
        <v>26</v>
      </c>
      <c r="C36" s="1258">
        <v>0</v>
      </c>
      <c r="D36" s="1258">
        <v>0</v>
      </c>
      <c r="E36" s="1258">
        <v>10</v>
      </c>
      <c r="F36" s="1258">
        <v>522959</v>
      </c>
    </row>
    <row r="37" spans="1:6">
      <c r="A37" s="1257" t="s">
        <v>24</v>
      </c>
      <c r="B37" s="1257" t="s">
        <v>27</v>
      </c>
      <c r="C37" s="1258">
        <v>0</v>
      </c>
      <c r="D37" s="1258">
        <v>0</v>
      </c>
      <c r="E37" s="1258">
        <v>0</v>
      </c>
      <c r="F37" s="1258">
        <v>0</v>
      </c>
    </row>
    <row r="38" spans="1:6">
      <c r="A38" s="1257" t="s">
        <v>24</v>
      </c>
      <c r="B38" s="1257" t="s">
        <v>28</v>
      </c>
      <c r="C38" s="1258">
        <v>4</v>
      </c>
      <c r="D38" s="1258">
        <v>30248378.969999999</v>
      </c>
      <c r="E38" s="1258">
        <v>1</v>
      </c>
      <c r="F38" s="1258">
        <v>5191</v>
      </c>
    </row>
    <row r="39" spans="1:6">
      <c r="A39" s="1257" t="s">
        <v>29</v>
      </c>
      <c r="B39" s="1257" t="s">
        <v>30</v>
      </c>
      <c r="C39" s="1258">
        <v>2347</v>
      </c>
      <c r="D39" s="1258">
        <v>41726324.409999996</v>
      </c>
      <c r="E39" s="1258">
        <v>3228</v>
      </c>
      <c r="F39" s="1258">
        <v>11388480.374</v>
      </c>
    </row>
    <row r="40" spans="1:6">
      <c r="A40" s="1257" t="s">
        <v>29</v>
      </c>
      <c r="B40" s="1257" t="s">
        <v>28</v>
      </c>
      <c r="C40" s="1258">
        <v>0</v>
      </c>
      <c r="D40" s="1258">
        <v>0</v>
      </c>
      <c r="E40" s="1258">
        <v>0</v>
      </c>
      <c r="F40" s="1258">
        <v>0</v>
      </c>
    </row>
    <row r="41" spans="1:6">
      <c r="A41" s="1257" t="s">
        <v>31</v>
      </c>
      <c r="B41" s="1257" t="s">
        <v>32</v>
      </c>
      <c r="C41" s="1258">
        <v>31</v>
      </c>
      <c r="D41" s="1258">
        <v>1475735.7239999999</v>
      </c>
      <c r="E41" s="1258">
        <v>94</v>
      </c>
      <c r="F41" s="1258">
        <v>1151595.95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v>
      </c>
      <c r="D44" s="1258">
        <v>124915.495</v>
      </c>
      <c r="E44" s="1258">
        <v>24</v>
      </c>
      <c r="F44" s="1258">
        <v>631160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24</v>
      </c>
      <c r="D48" s="1258">
        <v>794960.3</v>
      </c>
      <c r="E48" s="1258">
        <v>3</v>
      </c>
      <c r="F48" s="1258">
        <v>26141</v>
      </c>
    </row>
    <row r="49" spans="1:6">
      <c r="A49" s="1257" t="s">
        <v>31</v>
      </c>
      <c r="B49" s="1257" t="s">
        <v>39</v>
      </c>
      <c r="C49" s="1258">
        <v>0</v>
      </c>
      <c r="D49" s="1258">
        <v>0</v>
      </c>
      <c r="E49" s="1258">
        <v>0</v>
      </c>
      <c r="F49" s="1258">
        <v>0</v>
      </c>
    </row>
    <row r="50" spans="1:6">
      <c r="A50" s="1257" t="s">
        <v>31</v>
      </c>
      <c r="B50" s="1257" t="s">
        <v>40</v>
      </c>
      <c r="C50" s="1258">
        <v>3</v>
      </c>
      <c r="D50" s="1258">
        <v>492836.69699999999</v>
      </c>
      <c r="E50" s="1258">
        <v>7</v>
      </c>
      <c r="F50" s="1258">
        <v>1682912</v>
      </c>
    </row>
    <row r="51" spans="1:6">
      <c r="A51" s="1257" t="s">
        <v>41</v>
      </c>
      <c r="B51" s="1257" t="s">
        <v>42</v>
      </c>
      <c r="C51" s="1258">
        <v>15</v>
      </c>
      <c r="D51" s="1258">
        <v>669062471.29999995</v>
      </c>
      <c r="E51" s="1258">
        <v>139</v>
      </c>
      <c r="F51" s="1258">
        <v>13635610.893999999</v>
      </c>
    </row>
    <row r="52" spans="1:6">
      <c r="A52" s="1257" t="s">
        <v>41</v>
      </c>
      <c r="B52" s="1257" t="s">
        <v>28</v>
      </c>
      <c r="C52" s="1258">
        <v>8</v>
      </c>
      <c r="D52" s="1258">
        <v>2236460.8429999999</v>
      </c>
      <c r="E52" s="1258">
        <v>0</v>
      </c>
      <c r="F52" s="1258">
        <v>0</v>
      </c>
    </row>
    <row r="53" spans="1:6">
      <c r="A53" s="1257" t="s">
        <v>43</v>
      </c>
      <c r="B53" s="1257" t="s">
        <v>44</v>
      </c>
      <c r="C53" s="1258">
        <v>12</v>
      </c>
      <c r="D53" s="1258">
        <v>165001.90700000001</v>
      </c>
      <c r="E53" s="1258">
        <v>33</v>
      </c>
      <c r="F53" s="1258">
        <v>677138.35</v>
      </c>
    </row>
    <row r="54" spans="1:6">
      <c r="A54" s="1257" t="s">
        <v>45</v>
      </c>
      <c r="B54" s="1257" t="s">
        <v>46</v>
      </c>
      <c r="C54" s="1258">
        <v>0</v>
      </c>
      <c r="D54" s="1258">
        <v>0</v>
      </c>
      <c r="E54" s="1258">
        <v>1</v>
      </c>
      <c r="F54" s="1258">
        <v>472134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8</v>
      </c>
      <c r="D57" s="1258">
        <v>136898.41</v>
      </c>
      <c r="E57" s="1258">
        <v>48</v>
      </c>
      <c r="F57" s="1258">
        <v>3630261</v>
      </c>
    </row>
    <row r="58" spans="1:6">
      <c r="A58" s="1257" t="s">
        <v>48</v>
      </c>
      <c r="B58" s="1257" t="s">
        <v>50</v>
      </c>
      <c r="C58" s="1258">
        <v>11</v>
      </c>
      <c r="D58" s="1258">
        <v>4115438.4819999998</v>
      </c>
      <c r="E58" s="1258">
        <v>26</v>
      </c>
      <c r="F58" s="1258">
        <v>1132789</v>
      </c>
    </row>
    <row r="59" spans="1:6">
      <c r="A59" s="1257" t="s">
        <v>48</v>
      </c>
      <c r="B59" s="1257" t="s">
        <v>51</v>
      </c>
      <c r="C59" s="1258">
        <v>25</v>
      </c>
      <c r="D59" s="1258">
        <v>1177008.716</v>
      </c>
      <c r="E59" s="1258">
        <v>101</v>
      </c>
      <c r="F59" s="1258">
        <v>2561832</v>
      </c>
    </row>
    <row r="60" spans="1:6">
      <c r="A60" s="1257" t="s">
        <v>48</v>
      </c>
      <c r="B60" s="1257" t="s">
        <v>52</v>
      </c>
      <c r="C60" s="1258">
        <v>16</v>
      </c>
      <c r="D60" s="1258">
        <v>652234.17599999998</v>
      </c>
      <c r="E60" s="1258">
        <v>34</v>
      </c>
      <c r="F60" s="1258">
        <v>1466235</v>
      </c>
    </row>
    <row r="61" spans="1:6">
      <c r="A61" s="1257" t="s">
        <v>48</v>
      </c>
      <c r="B61" s="1257" t="s">
        <v>53</v>
      </c>
      <c r="C61" s="1258">
        <v>44</v>
      </c>
      <c r="D61" s="1258">
        <v>11222501.810000001</v>
      </c>
      <c r="E61" s="1258">
        <v>97</v>
      </c>
      <c r="F61" s="1258">
        <v>3737212.7379999999</v>
      </c>
    </row>
    <row r="62" spans="1:6">
      <c r="A62" s="1257" t="s">
        <v>48</v>
      </c>
      <c r="B62" s="1257" t="s">
        <v>54</v>
      </c>
      <c r="C62" s="1258">
        <v>0</v>
      </c>
      <c r="D62" s="1258">
        <v>0</v>
      </c>
      <c r="E62" s="1258">
        <v>0</v>
      </c>
      <c r="F62" s="1258">
        <v>0</v>
      </c>
    </row>
    <row r="63" spans="1:6">
      <c r="A63" s="1257" t="s">
        <v>48</v>
      </c>
      <c r="B63" s="1257" t="s">
        <v>28</v>
      </c>
      <c r="C63" s="1258">
        <v>62</v>
      </c>
      <c r="D63" s="1258">
        <v>2948153.361</v>
      </c>
      <c r="E63" s="1258">
        <v>2</v>
      </c>
      <c r="F63" s="1258">
        <v>62173</v>
      </c>
    </row>
    <row r="64" spans="1:6">
      <c r="A64" s="1257" t="s">
        <v>55</v>
      </c>
      <c r="B64" s="1257" t="s">
        <v>56</v>
      </c>
      <c r="C64" s="1258">
        <v>0</v>
      </c>
      <c r="D64" s="1258">
        <v>0</v>
      </c>
      <c r="E64" s="1258">
        <v>0</v>
      </c>
      <c r="F64" s="1258">
        <v>0</v>
      </c>
    </row>
    <row r="65" spans="1:6">
      <c r="A65" s="1257" t="s">
        <v>55</v>
      </c>
      <c r="B65" s="1257" t="s">
        <v>28</v>
      </c>
      <c r="C65" s="1258">
        <v>1</v>
      </c>
      <c r="D65" s="1258">
        <v>15622.954</v>
      </c>
      <c r="E65" s="1258">
        <v>2</v>
      </c>
      <c r="F65" s="1258">
        <v>9191</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6</v>
      </c>
      <c r="F68" s="1260">
        <v>69543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45871296</v>
      </c>
      <c r="E73" s="442"/>
      <c r="F73" s="324"/>
    </row>
    <row r="74" spans="1:6">
      <c r="A74" s="1257" t="s">
        <v>63</v>
      </c>
      <c r="B74" s="1257" t="s">
        <v>608</v>
      </c>
      <c r="C74" s="1270" t="s">
        <v>610</v>
      </c>
      <c r="D74" s="1258">
        <v>3329971</v>
      </c>
      <c r="E74" s="442"/>
      <c r="F74" s="324"/>
    </row>
    <row r="75" spans="1:6">
      <c r="A75" s="1257" t="s">
        <v>64</v>
      </c>
      <c r="B75" s="1257" t="s">
        <v>607</v>
      </c>
      <c r="C75" s="1270" t="s">
        <v>611</v>
      </c>
      <c r="D75" s="1258">
        <v>8323123</v>
      </c>
      <c r="E75" s="442"/>
      <c r="F75" s="324"/>
    </row>
    <row r="76" spans="1:6">
      <c r="A76" s="1257" t="s">
        <v>64</v>
      </c>
      <c r="B76" s="1257" t="s">
        <v>608</v>
      </c>
      <c r="C76" s="1270" t="s">
        <v>612</v>
      </c>
      <c r="D76" s="1258">
        <v>216058</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233450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2594.2252536182741</v>
      </c>
      <c r="C91" s="324"/>
      <c r="D91" s="324"/>
      <c r="E91" s="324"/>
      <c r="F91" s="324"/>
    </row>
    <row r="92" spans="1:6">
      <c r="A92" s="1252" t="s">
        <v>68</v>
      </c>
      <c r="B92" s="1253">
        <v>1401.1304569041863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1528</v>
      </c>
      <c r="C97" s="324"/>
      <c r="D97" s="324"/>
      <c r="E97" s="324"/>
      <c r="F97" s="324"/>
    </row>
    <row r="98" spans="1:6">
      <c r="A98" s="1257" t="s">
        <v>71</v>
      </c>
      <c r="B98" s="1258">
        <v>2</v>
      </c>
      <c r="C98" s="324"/>
      <c r="D98" s="324"/>
      <c r="E98" s="324"/>
      <c r="F98" s="324"/>
    </row>
    <row r="99" spans="1:6">
      <c r="A99" s="1257" t="s">
        <v>72</v>
      </c>
      <c r="B99" s="1258">
        <v>75</v>
      </c>
      <c r="C99" s="324"/>
      <c r="D99" s="324"/>
      <c r="E99" s="324"/>
      <c r="F99" s="324"/>
    </row>
    <row r="100" spans="1:6">
      <c r="A100" s="1257" t="s">
        <v>73</v>
      </c>
      <c r="B100" s="1258">
        <v>103</v>
      </c>
      <c r="C100" s="324"/>
      <c r="D100" s="324"/>
      <c r="E100" s="324"/>
      <c r="F100" s="324"/>
    </row>
    <row r="101" spans="1:6">
      <c r="A101" s="1257" t="s">
        <v>74</v>
      </c>
      <c r="B101" s="1258">
        <v>100</v>
      </c>
      <c r="C101" s="324"/>
      <c r="D101" s="324"/>
      <c r="E101" s="324"/>
      <c r="F101" s="324"/>
    </row>
    <row r="102" spans="1:6">
      <c r="A102" s="1257" t="s">
        <v>75</v>
      </c>
      <c r="B102" s="1258">
        <v>31</v>
      </c>
      <c r="C102" s="324"/>
      <c r="D102" s="324"/>
      <c r="E102" s="324"/>
      <c r="F102" s="324"/>
    </row>
    <row r="103" spans="1:6">
      <c r="A103" s="1257" t="s">
        <v>76</v>
      </c>
      <c r="B103" s="1258">
        <v>63</v>
      </c>
      <c r="C103" s="324"/>
      <c r="D103" s="324"/>
      <c r="E103" s="324"/>
      <c r="F103" s="324"/>
    </row>
    <row r="104" spans="1:6">
      <c r="A104" s="1257" t="s">
        <v>77</v>
      </c>
      <c r="B104" s="1258">
        <v>786</v>
      </c>
      <c r="C104" s="324"/>
      <c r="D104" s="324"/>
      <c r="E104" s="324"/>
      <c r="F104" s="324"/>
    </row>
    <row r="105" spans="1:6">
      <c r="A105" s="1252" t="s">
        <v>78</v>
      </c>
      <c r="B105" s="1260">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14</v>
      </c>
      <c r="C123" s="1258">
        <v>8</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63</v>
      </c>
      <c r="C129" s="324"/>
      <c r="D129" s="324"/>
      <c r="E129" s="324"/>
      <c r="F129" s="324"/>
    </row>
    <row r="130" spans="1:6">
      <c r="A130" s="1257" t="s">
        <v>283</v>
      </c>
      <c r="B130" s="1258">
        <v>3</v>
      </c>
      <c r="C130" s="324"/>
      <c r="D130" s="324"/>
      <c r="E130" s="324"/>
      <c r="F130" s="324"/>
    </row>
    <row r="131" spans="1:6">
      <c r="A131" s="1257" t="s">
        <v>284</v>
      </c>
      <c r="B131" s="1258">
        <v>0</v>
      </c>
      <c r="C131" s="324"/>
      <c r="D131" s="324"/>
      <c r="E131" s="324"/>
      <c r="F131" s="324"/>
    </row>
    <row r="132" spans="1:6">
      <c r="A132" s="1252" t="s">
        <v>285</v>
      </c>
      <c r="B132" s="1253">
        <v>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46559.45593506447</v>
      </c>
      <c r="C3" s="43" t="s">
        <v>163</v>
      </c>
      <c r="D3" s="43"/>
      <c r="E3" s="153"/>
      <c r="F3" s="43"/>
      <c r="G3" s="43"/>
      <c r="H3" s="43"/>
      <c r="I3" s="43"/>
      <c r="J3" s="43"/>
      <c r="K3" s="96"/>
    </row>
    <row r="4" spans="1:11">
      <c r="A4" s="350" t="s">
        <v>164</v>
      </c>
      <c r="B4" s="49">
        <f>IF(ISERROR('SEAP template'!B78+'SEAP template'!C78),0,'SEAP template'!B78+'SEAP template'!C78)</f>
        <v>277040.50571052247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57413.50941176471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0.20723868253314429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82019.29915966386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387711.64285714284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0.21154716571120585</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472.13400000000001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472.13400000000001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0.20723868253314429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97.844428139103542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11388.480374000001</v>
      </c>
      <c r="C5" s="17">
        <f>IF(ISERROR('Eigen informatie GS &amp; warmtenet'!B59),0,'Eigen informatie GS &amp; warmtenet'!B59)</f>
        <v>0</v>
      </c>
      <c r="D5" s="30">
        <f>(SUM(HH_hh_gas_kWh,HH_rest_gas_kWh)/1000)*0.902</f>
        <v>37637.144617819999</v>
      </c>
      <c r="E5" s="17">
        <f>B32*B41</f>
        <v>683.10140028269916</v>
      </c>
      <c r="F5" s="17">
        <f>B36*B45</f>
        <v>13145.806997073374</v>
      </c>
      <c r="G5" s="18"/>
      <c r="H5" s="17"/>
      <c r="I5" s="17"/>
      <c r="J5" s="17">
        <f>B35*B44+C35*C44</f>
        <v>67.268493597444561</v>
      </c>
      <c r="K5" s="17"/>
      <c r="L5" s="17"/>
      <c r="M5" s="17"/>
      <c r="N5" s="17">
        <f>B34*B43+C34*C43</f>
        <v>4059.1548758857953</v>
      </c>
      <c r="O5" s="17">
        <f>B52*B53*B54</f>
        <v>142.84499179586629</v>
      </c>
      <c r="P5" s="17">
        <f>B60*B61*B62/1000-B60*B61*B62/1000/B63</f>
        <v>221.21314546138547</v>
      </c>
    </row>
    <row r="6" spans="1:16">
      <c r="A6" s="16" t="s">
        <v>573</v>
      </c>
      <c r="B6" s="738">
        <f>kWh_PV_kleiner_dan_10kW</f>
        <v>2594.2252536182741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13982.705627618274</v>
      </c>
      <c r="C8" s="21">
        <f>C5</f>
        <v>0</v>
      </c>
      <c r="D8" s="21">
        <f>D5</f>
        <v>37637.144617819999</v>
      </c>
      <c r="E8" s="21">
        <f>E5</f>
        <v>683.10140028269916</v>
      </c>
      <c r="F8" s="21">
        <f>F5</f>
        <v>13145.806997073374</v>
      </c>
      <c r="G8" s="21"/>
      <c r="H8" s="21"/>
      <c r="I8" s="21"/>
      <c r="J8" s="21">
        <f>J5</f>
        <v>67.268493597444561</v>
      </c>
      <c r="K8" s="21"/>
      <c r="L8" s="21">
        <f>L5</f>
        <v>0</v>
      </c>
      <c r="M8" s="21">
        <f>M5</f>
        <v>0</v>
      </c>
      <c r="N8" s="21">
        <f>N5</f>
        <v>4059.1548758857953</v>
      </c>
      <c r="O8" s="21">
        <f>O5</f>
        <v>142.84499179586629</v>
      </c>
      <c r="P8" s="21">
        <f>P5</f>
        <v>221.21314546138547</v>
      </c>
    </row>
    <row r="9" spans="1:16">
      <c r="B9" s="19"/>
      <c r="C9" s="19"/>
      <c r="D9" s="255"/>
      <c r="E9" s="19"/>
      <c r="F9" s="19"/>
      <c r="G9" s="19"/>
      <c r="H9" s="19"/>
      <c r="I9" s="19"/>
      <c r="J9" s="19"/>
      <c r="K9" s="19"/>
      <c r="L9" s="19"/>
      <c r="M9" s="19"/>
      <c r="N9" s="19"/>
      <c r="O9" s="19"/>
      <c r="P9" s="19"/>
    </row>
    <row r="10" spans="1:16">
      <c r="A10" s="24" t="s">
        <v>207</v>
      </c>
      <c r="B10" s="25">
        <f ca="1">'EF ele_warmte'!B12</f>
        <v>0.20723868253314429</v>
      </c>
      <c r="C10" s="25">
        <f ca="1">'EF ele_warmte'!B22</f>
        <v>0.21154716571120585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2897.7574925163935</v>
      </c>
      <c r="C12" s="23">
        <f ca="1">C10*C8</f>
        <v>0</v>
      </c>
      <c r="D12" s="23">
        <f>D8*D10</f>
        <v>7602.7032127996399</v>
      </c>
      <c r="E12" s="23">
        <f>E10*E8</f>
        <v>155.06401786417271</v>
      </c>
      <c r="F12" s="23">
        <f>F10*F8</f>
        <v>3509.9304682185912</v>
      </c>
      <c r="G12" s="23"/>
      <c r="H12" s="23"/>
      <c r="I12" s="23"/>
      <c r="J12" s="23">
        <f>J10*J8</f>
        <v>23.813046733495373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3230</v>
      </c>
      <c r="C26" s="36"/>
      <c r="D26" s="225"/>
    </row>
    <row r="27" spans="1:7" s="15" customFormat="1">
      <c r="A27" s="227" t="s">
        <v>774</v>
      </c>
      <c r="B27" s="37">
        <f>SUM(HH_hh_gas_aantal,HH_rest_gas_aantal)</f>
        <v>2347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2229.65</v>
      </c>
      <c r="C31" s="165" t="s">
        <v>104</v>
      </c>
      <c r="D31" s="230"/>
      <c r="G31" s="15"/>
    </row>
    <row r="32" spans="1:7">
      <c r="A32" s="168" t="s">
        <v>72</v>
      </c>
      <c r="B32" s="165">
        <f>IF((B21*($B$26-($B$27-0.05*$B$27)-$B$60))&lt;0,0,B21*($B$26-($B$27-0.05*$B$27)-$B$60))</f>
        <v>11.040376424836023</v>
      </c>
      <c r="C32" s="165" t="s">
        <v>104</v>
      </c>
      <c r="D32" s="230"/>
      <c r="G32" s="15"/>
    </row>
    <row r="33" spans="1:7">
      <c r="A33" s="168" t="s">
        <v>73</v>
      </c>
      <c r="B33" s="165">
        <f>IF((B22*($B$26-($B$27-0.05*$B$27)-$B$60))&lt;0,0,B22*($B$26-($B$27-0.05*$B$27)-$B$60))</f>
        <v>229.53869724133972</v>
      </c>
      <c r="C33" s="165" t="s">
        <v>104</v>
      </c>
      <c r="D33" s="230"/>
      <c r="G33" s="15"/>
    </row>
    <row r="34" spans="1:7">
      <c r="A34" s="168" t="s">
        <v>74</v>
      </c>
      <c r="B34" s="165">
        <f>IF((B24*($B$26-($B$27-0.05*$B$27)-$B$60))&lt;0,0,B24*($B$26-($B$27-0.05*$B$27)-$B$60))</f>
        <v>96.921363216682678</v>
      </c>
      <c r="C34" s="165">
        <f>B26*C24</f>
        <v>557.37673879941735</v>
      </c>
      <c r="D34" s="230"/>
      <c r="G34" s="15"/>
    </row>
    <row r="35" spans="1:7">
      <c r="A35" s="168" t="s">
        <v>76</v>
      </c>
      <c r="B35" s="165">
        <f>IF((B19*($B$26-($B$27-0.05*$B$27)-$B$60))&lt;0,0,B19*($B$26-($B$27-0.05*$B$27)-$B$60))</f>
        <v>8.3563744623312814</v>
      </c>
      <c r="C35" s="165">
        <f>B35/2</f>
        <v>4.1781872311656407</v>
      </c>
      <c r="D35" s="231"/>
      <c r="G35" s="15"/>
    </row>
    <row r="36" spans="1:7">
      <c r="A36" s="168" t="s">
        <v>77</v>
      </c>
      <c r="B36" s="165">
        <f>IF((B18*($B$26-($B$27-0.05*$B$27)-$B$60))&lt;0,0,B18*($B$26-($B$27-0.05*$B$27)-$B$60))</f>
        <v>633.49318865481018</v>
      </c>
      <c r="C36" s="165" t="s">
        <v>104</v>
      </c>
      <c r="D36" s="231"/>
      <c r="G36" s="15"/>
    </row>
    <row r="37" spans="1:7">
      <c r="A37" s="168" t="s">
        <v>78</v>
      </c>
      <c r="B37" s="165">
        <f>B60</f>
        <v>21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72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12590.502738000001</v>
      </c>
      <c r="C5" s="17">
        <f>IF(ISERROR('Eigen informatie GS &amp; warmtenet'!B60),0,'Eigen informatie GS &amp; warmtenet'!B60)</f>
        <v>0</v>
      </c>
      <c r="D5" s="30">
        <f>SUM(D6:D12)</f>
        <v>18267.515929410001</v>
      </c>
      <c r="E5" s="17">
        <f>SUM(E6:E12)</f>
        <v>43.493562539371986</v>
      </c>
      <c r="F5" s="17">
        <f>SUM(F6:F12)</f>
        <v>3699.1588044205728</v>
      </c>
      <c r="G5" s="18"/>
      <c r="H5" s="17"/>
      <c r="I5" s="17"/>
      <c r="J5" s="17">
        <f>SUM(J6:J12)</f>
        <v>3.6055270902812527E-2</v>
      </c>
      <c r="K5" s="17"/>
      <c r="L5" s="17"/>
      <c r="M5" s="17"/>
      <c r="N5" s="17">
        <f>SUM(N6:N12)</f>
        <v>1316.8991643146837</v>
      </c>
      <c r="O5" s="17">
        <f>B38*B39*B40</f>
        <v>14.691782297523464</v>
      </c>
      <c r="P5" s="17">
        <f>B46*B47*B48/1000-B46*B47*B48/1000/B49</f>
        <v>0</v>
      </c>
      <c r="R5" s="32"/>
    </row>
    <row r="6" spans="1:18">
      <c r="A6" s="32" t="s">
        <v>53</v>
      </c>
      <c r="B6" s="37">
        <f>B26</f>
        <v>3737.2127379999997</v>
      </c>
      <c r="C6" s="33"/>
      <c r="D6" s="37">
        <f>IF(ISERROR(TER_kantoor_gas_kWh/1000),0,TER_kantoor_gas_kWh/1000)*0.902</f>
        <v>10122.69663262</v>
      </c>
      <c r="E6" s="33">
        <f>$C$26*'E Balans VL '!I12/100/3.6*1000000</f>
        <v>0.97589340581219142</v>
      </c>
      <c r="F6" s="33">
        <f>$C$26*('E Balans VL '!L12+'E Balans VL '!N12)/100/3.6*1000000</f>
        <v>373.4080917143408</v>
      </c>
      <c r="G6" s="34"/>
      <c r="H6" s="33"/>
      <c r="I6" s="33"/>
      <c r="J6" s="33">
        <f>$C$26*('E Balans VL '!D12+'E Balans VL '!E12)/100/3.6*1000000</f>
        <v>0</v>
      </c>
      <c r="K6" s="33"/>
      <c r="L6" s="33"/>
      <c r="M6" s="33"/>
      <c r="N6" s="33">
        <f>$C$26*'E Balans VL '!Y12/100/3.6*1000000</f>
        <v>2.6496643398835071</v>
      </c>
      <c r="O6" s="33"/>
      <c r="P6" s="33"/>
      <c r="R6" s="32"/>
    </row>
    <row r="7" spans="1:18">
      <c r="A7" s="32" t="s">
        <v>52</v>
      </c>
      <c r="B7" s="37">
        <f t="shared" ref="B7:B12" si="0">B27</f>
        <v>1466.2349999999999</v>
      </c>
      <c r="C7" s="33"/>
      <c r="D7" s="37">
        <f>IF(ISERROR(TER_horeca_gas_kWh/1000),0,TER_horeca_gas_kWh/1000)*0.902</f>
        <v>588.31522675199994</v>
      </c>
      <c r="E7" s="33">
        <f>$C$27*'E Balans VL '!I9/100/3.6*1000000</f>
        <v>0</v>
      </c>
      <c r="F7" s="33">
        <f>$C$27*('E Balans VL '!L9+'E Balans VL '!N9)/100/3.6*1000000</f>
        <v>120.41670764108487</v>
      </c>
      <c r="G7" s="34"/>
      <c r="H7" s="33"/>
      <c r="I7" s="33"/>
      <c r="J7" s="33">
        <f>$C$27*('E Balans VL '!D9+'E Balans VL '!E9)/100/3.6*1000000</f>
        <v>0</v>
      </c>
      <c r="K7" s="33"/>
      <c r="L7" s="33"/>
      <c r="M7" s="33"/>
      <c r="N7" s="33">
        <f>$C$27*'E Balans VL '!Y9/100/3.6*1000000</f>
        <v>18.528917832570706</v>
      </c>
      <c r="O7" s="33"/>
      <c r="P7" s="33"/>
      <c r="R7" s="32"/>
    </row>
    <row r="8" spans="1:18">
      <c r="A8" s="6" t="s">
        <v>51</v>
      </c>
      <c r="B8" s="37">
        <f t="shared" si="0"/>
        <v>2561.8319999999999</v>
      </c>
      <c r="C8" s="33"/>
      <c r="D8" s="37">
        <f>IF(ISERROR(TER_handel_gas_kWh/1000),0,TER_handel_gas_kWh/1000)*0.902</f>
        <v>1061.6618618320001</v>
      </c>
      <c r="E8" s="33">
        <f>$C$28*'E Balans VL '!I13/100/3.6*1000000</f>
        <v>9.4154048492533828</v>
      </c>
      <c r="F8" s="33">
        <f>$C$28*('E Balans VL '!L13+'E Balans VL '!N13)/100/3.6*1000000</f>
        <v>244.69812411070512</v>
      </c>
      <c r="G8" s="34"/>
      <c r="H8" s="33"/>
      <c r="I8" s="33"/>
      <c r="J8" s="33">
        <f>$C$28*('E Balans VL '!D13+'E Balans VL '!E13)/100/3.6*1000000</f>
        <v>0</v>
      </c>
      <c r="K8" s="33"/>
      <c r="L8" s="33"/>
      <c r="M8" s="33"/>
      <c r="N8" s="33">
        <f>$C$28*'E Balans VL '!Y13/100/3.6*1000000</f>
        <v>1.0136567257035531</v>
      </c>
      <c r="O8" s="33"/>
      <c r="P8" s="33"/>
      <c r="R8" s="32"/>
    </row>
    <row r="9" spans="1:18">
      <c r="A9" s="32" t="s">
        <v>50</v>
      </c>
      <c r="B9" s="37">
        <f t="shared" si="0"/>
        <v>1132.789</v>
      </c>
      <c r="C9" s="33"/>
      <c r="D9" s="37">
        <f>IF(ISERROR(TER_gezond_gas_kWh/1000),0,TER_gezond_gas_kWh/1000)*0.902</f>
        <v>3712.1255107639995</v>
      </c>
      <c r="E9" s="33">
        <f>$C$29*'E Balans VL '!I10/100/3.6*1000000</f>
        <v>0</v>
      </c>
      <c r="F9" s="33">
        <f>$C$29*('E Balans VL '!L10+'E Balans VL '!N10)/100/3.6*1000000</f>
        <v>76.525172328756597</v>
      </c>
      <c r="G9" s="34"/>
      <c r="H9" s="33"/>
      <c r="I9" s="33"/>
      <c r="J9" s="33">
        <f>$C$29*('E Balans VL '!D10+'E Balans VL '!E10)/100/3.6*1000000</f>
        <v>0</v>
      </c>
      <c r="K9" s="33"/>
      <c r="L9" s="33"/>
      <c r="M9" s="33"/>
      <c r="N9" s="33">
        <f>$C$29*'E Balans VL '!Y10/100/3.6*1000000</f>
        <v>8.8139436020356321</v>
      </c>
      <c r="O9" s="33"/>
      <c r="P9" s="33"/>
      <c r="R9" s="32"/>
    </row>
    <row r="10" spans="1:18">
      <c r="A10" s="32" t="s">
        <v>49</v>
      </c>
      <c r="B10" s="37">
        <f t="shared" si="0"/>
        <v>3630.261</v>
      </c>
      <c r="C10" s="33"/>
      <c r="D10" s="37">
        <f>IF(ISERROR(TER_ander_gas_kWh/1000),0,TER_ander_gas_kWh/1000)*0.902</f>
        <v>123.48236582000001</v>
      </c>
      <c r="E10" s="33">
        <f>$C$30*'E Balans VL '!I14/100/3.6*1000000</f>
        <v>32.91849990193046</v>
      </c>
      <c r="F10" s="33">
        <f>$C$30*('E Balans VL '!L14+'E Balans VL '!N14)/100/3.6*1000000</f>
        <v>2869.5291709736657</v>
      </c>
      <c r="G10" s="34"/>
      <c r="H10" s="33"/>
      <c r="I10" s="33"/>
      <c r="J10" s="33">
        <f>$C$30*('E Balans VL '!D14+'E Balans VL '!E14)/100/3.6*1000000</f>
        <v>3.5930593456116607E-2</v>
      </c>
      <c r="K10" s="33"/>
      <c r="L10" s="33"/>
      <c r="M10" s="33"/>
      <c r="N10" s="33">
        <f>$C$30*'E Balans VL '!Y14/100/3.6*1000000</f>
        <v>1281.2970758824783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62.173000000000002</v>
      </c>
      <c r="C12" s="33"/>
      <c r="D12" s="37">
        <f>IF(ISERROR(TER_rest_gas_kWh/1000),0,TER_rest_gas_kWh/1000)*0.902</f>
        <v>2659.2343316220004</v>
      </c>
      <c r="E12" s="33">
        <f>$C$32*'E Balans VL '!I8/100/3.6*1000000</f>
        <v>0.18376438237594808</v>
      </c>
      <c r="F12" s="33">
        <f>$C$32*('E Balans VL '!L8+'E Balans VL '!N8)/100/3.6*1000000</f>
        <v>14.581537652019421</v>
      </c>
      <c r="G12" s="34"/>
      <c r="H12" s="33"/>
      <c r="I12" s="33"/>
      <c r="J12" s="33">
        <f>$C$32*('E Balans VL '!D8+'E Balans VL '!E8)/100/3.6*1000000</f>
        <v>1.2467744669592153E-4</v>
      </c>
      <c r="K12" s="33"/>
      <c r="L12" s="33"/>
      <c r="M12" s="33"/>
      <c r="N12" s="33">
        <f>$C$32*'E Balans VL '!Y8/100/3.6*1000000</f>
        <v>4.595905932012033</v>
      </c>
      <c r="O12" s="33"/>
      <c r="P12" s="33"/>
      <c r="R12" s="32"/>
    </row>
    <row r="13" spans="1:18">
      <c r="A13" s="16" t="s">
        <v>464</v>
      </c>
      <c r="B13" s="244">
        <f ca="1">'lokale energieproductie'!N51+'lokale energieproductie'!N44</f>
        <v>1647</v>
      </c>
      <c r="C13" s="244">
        <f ca="1">'lokale energieproductie'!O51+'lokale energieproductie'!O44</f>
        <v>0</v>
      </c>
      <c r="D13" s="302">
        <f ca="1">('lokale energieproductie'!P44+'lokale energieproductie'!P51)*(-1)</f>
        <v>0</v>
      </c>
      <c r="E13" s="245"/>
      <c r="F13" s="302">
        <f ca="1">('lokale energieproductie'!S44+'lokale energieproductie'!S51)*(-1)</f>
        <v>0</v>
      </c>
      <c r="G13" s="246"/>
      <c r="H13" s="245"/>
      <c r="I13" s="245"/>
      <c r="J13" s="245"/>
      <c r="K13" s="245"/>
      <c r="L13" s="302">
        <f ca="1">('lokale energieproductie'!U44+'lokale energieproductie'!T44+'lokale energieproductie'!U51+'lokale energieproductie'!T51)*(-1)</f>
        <v>0</v>
      </c>
      <c r="M13" s="245"/>
      <c r="N13" s="302">
        <f ca="1">('lokale energieproductie'!Q44+'lokale energieproductie'!R44+'lokale energieproductie'!V44+'lokale energieproductie'!Q51+'lokale energieproductie'!R51+'lokale energieproductie'!V51)*(-1)</f>
        <v>-4705.7142857142862</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14237.502738000001</v>
      </c>
      <c r="C16" s="21">
        <f t="shared" ca="1" si="1"/>
        <v>0</v>
      </c>
      <c r="D16" s="21">
        <f t="shared" ca="1" si="1"/>
        <v>18267.515929410001</v>
      </c>
      <c r="E16" s="21">
        <f t="shared" si="1"/>
        <v>43.493562539371986</v>
      </c>
      <c r="F16" s="21">
        <f t="shared" ca="1" si="1"/>
        <v>3699.1588044205728</v>
      </c>
      <c r="G16" s="21">
        <f t="shared" si="1"/>
        <v>0</v>
      </c>
      <c r="H16" s="21">
        <f t="shared" si="1"/>
        <v>0</v>
      </c>
      <c r="I16" s="21">
        <f t="shared" si="1"/>
        <v>0</v>
      </c>
      <c r="J16" s="21">
        <f t="shared" si="1"/>
        <v>3.6055270902812527E-2</v>
      </c>
      <c r="K16" s="21">
        <f t="shared" si="1"/>
        <v>0</v>
      </c>
      <c r="L16" s="21">
        <f t="shared" ca="1" si="1"/>
        <v>0</v>
      </c>
      <c r="M16" s="21">
        <f t="shared" si="1"/>
        <v>0</v>
      </c>
      <c r="N16" s="21">
        <f t="shared" ca="1" si="1"/>
        <v>0</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0.20723868253314429</v>
      </c>
      <c r="C18" s="25">
        <f ca="1">'EF ele_warmte'!B22</f>
        <v>0.21154716571120585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2950.5613099851548</v>
      </c>
      <c r="C20" s="23">
        <f t="shared" ref="C20:P20" ca="1" si="2">C16*C18</f>
        <v>0</v>
      </c>
      <c r="D20" s="23">
        <f t="shared" ca="1" si="2"/>
        <v>3690.0382177408205</v>
      </c>
      <c r="E20" s="23">
        <f t="shared" si="2"/>
        <v>9.8730386964374404</v>
      </c>
      <c r="F20" s="23">
        <f t="shared" ca="1" si="2"/>
        <v>987.67540078029299</v>
      </c>
      <c r="G20" s="23">
        <f t="shared" si="2"/>
        <v>0</v>
      </c>
      <c r="H20" s="23">
        <f t="shared" si="2"/>
        <v>0</v>
      </c>
      <c r="I20" s="23">
        <f t="shared" si="2"/>
        <v>0</v>
      </c>
      <c r="J20" s="23">
        <f t="shared" si="2"/>
        <v>1.2763565899595633E-2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3737.2127379999997</v>
      </c>
      <c r="C26" s="39">
        <f>IF(ISERROR(B26*3.6/1000000/'E Balans VL '!Z12*100),0,B26*3.6/1000000/'E Balans VL '!Z12*100)</f>
        <v>0.10458670724469001</v>
      </c>
      <c r="D26" s="234" t="s">
        <v>667</v>
      </c>
      <c r="F26" s="6"/>
    </row>
    <row r="27" spans="1:18">
      <c r="A27" s="228" t="s">
        <v>52</v>
      </c>
      <c r="B27" s="33">
        <f>IF(ISERROR(TER_horeca_ele_kWh/1000),0,TER_horeca_ele_kWh/1000)</f>
        <v>1466.2349999999999</v>
      </c>
      <c r="C27" s="39">
        <f>IF(ISERROR(B27*3.6/1000000/'E Balans VL '!Z9*100),0,B27*3.6/1000000/'E Balans VL '!Z9*100)</f>
        <v>0.10928207023878818</v>
      </c>
      <c r="D27" s="234" t="s">
        <v>667</v>
      </c>
      <c r="F27" s="6"/>
    </row>
    <row r="28" spans="1:18">
      <c r="A28" s="168" t="s">
        <v>51</v>
      </c>
      <c r="B28" s="33">
        <f>IF(ISERROR(TER_handel_ele_kWh/1000),0,TER_handel_ele_kWh/1000)</f>
        <v>2561.8319999999999</v>
      </c>
      <c r="C28" s="39">
        <f>IF(ISERROR(B28*3.6/1000000/'E Balans VL '!Z13*100),0,B28*3.6/1000000/'E Balans VL '!Z13*100)</f>
        <v>7.4223055339091723E-2</v>
      </c>
      <c r="D28" s="234" t="s">
        <v>667</v>
      </c>
      <c r="F28" s="6"/>
    </row>
    <row r="29" spans="1:18">
      <c r="A29" s="228" t="s">
        <v>50</v>
      </c>
      <c r="B29" s="33">
        <f>IF(ISERROR(TER_gezond_ele_kWh/1000),0,TER_gezond_ele_kWh/1000)</f>
        <v>1132.789</v>
      </c>
      <c r="C29" s="39">
        <f>IF(ISERROR(B29*3.6/1000000/'E Balans VL '!Z10*100),0,B29*3.6/1000000/'E Balans VL '!Z10*100)</f>
        <v>0.11424312155590369</v>
      </c>
      <c r="D29" s="234" t="s">
        <v>667</v>
      </c>
      <c r="F29" s="6"/>
    </row>
    <row r="30" spans="1:18">
      <c r="A30" s="228" t="s">
        <v>49</v>
      </c>
      <c r="B30" s="33">
        <f>IF(ISERROR(TER_ander_ele_kWh/1000),0,TER_ander_ele_kWh/1000)</f>
        <v>3630.261</v>
      </c>
      <c r="C30" s="39">
        <f>IF(ISERROR(B30*3.6/1000000/'E Balans VL '!Z14*100),0,B30*3.6/1000000/'E Balans VL '!Z14*100)</f>
        <v>0.14715601415474378</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62.173000000000002</v>
      </c>
      <c r="C32" s="39">
        <f>IF(ISERROR(B32*3.6/1000000/'E Balans VL '!Z8*100),0,B32*3.6/1000000/'E Balans VL '!Z8*100)</f>
        <v>5.1062435506862066E-4</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3491.8089500000001</v>
      </c>
      <c r="C5" s="17">
        <f>IF(ISERROR('Eigen informatie GS &amp; warmtenet'!B61),0,'Eigen informatie GS &amp; warmtenet'!B61)</f>
        <v>0</v>
      </c>
      <c r="D5" s="30">
        <f>SUM(D6:D15)</f>
        <v>2605.3802908319999</v>
      </c>
      <c r="E5" s="17">
        <f>SUM(E6:E15)</f>
        <v>11.645284992088682</v>
      </c>
      <c r="F5" s="17">
        <f>SUM(F6:F15)</f>
        <v>905.44166832910798</v>
      </c>
      <c r="G5" s="18"/>
      <c r="H5" s="17"/>
      <c r="I5" s="17"/>
      <c r="J5" s="17">
        <f>SUM(J6:J15)</f>
        <v>0.70893252252743255</v>
      </c>
      <c r="K5" s="17"/>
      <c r="L5" s="17"/>
      <c r="M5" s="17"/>
      <c r="N5" s="17">
        <f>SUM(N6:N15)</f>
        <v>161.70858749204598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631.16</v>
      </c>
      <c r="C8" s="33"/>
      <c r="D8" s="37">
        <f>IF( ISERROR(IND_metaal_Gas_kWH/1000),0,IND_metaal_Gas_kWH/1000)*0.902</f>
        <v>112.67377648999999</v>
      </c>
      <c r="E8" s="33">
        <f>C30*'E Balans VL '!I18/100/3.6*1000000</f>
        <v>4.5293548682393583</v>
      </c>
      <c r="F8" s="33">
        <f>C30*'E Balans VL '!L18/100/3.6*1000000+C30*'E Balans VL '!N18/100/3.6*1000000</f>
        <v>42.009557748399317</v>
      </c>
      <c r="G8" s="34"/>
      <c r="H8" s="33"/>
      <c r="I8" s="33"/>
      <c r="J8" s="40">
        <f>C30*'E Balans VL '!D18/100/3.6*1000000+C30*'E Balans VL '!E18/100/3.6*1000000</f>
        <v>0.60846522911761747</v>
      </c>
      <c r="K8" s="33"/>
      <c r="L8" s="33"/>
      <c r="M8" s="33"/>
      <c r="N8" s="33">
        <f>C30*'E Balans VL '!Y18/100/3.6*1000000</f>
        <v>7.6482062943598299</v>
      </c>
      <c r="O8" s="33"/>
      <c r="P8" s="33"/>
      <c r="R8" s="32"/>
    </row>
    <row r="9" spans="1:18">
      <c r="A9" s="6" t="s">
        <v>32</v>
      </c>
      <c r="B9" s="37">
        <f t="shared" si="0"/>
        <v>1151.5959499999999</v>
      </c>
      <c r="C9" s="33"/>
      <c r="D9" s="37">
        <f>IF( ISERROR(IND_andere_gas_kWh/1000),0,IND_andere_gas_kWh/1000)*0.902</f>
        <v>1331.1136230479999</v>
      </c>
      <c r="E9" s="33">
        <f>C31*'E Balans VL '!I19/100/3.6*1000000</f>
        <v>3.0277489150851533</v>
      </c>
      <c r="F9" s="33">
        <f>C31*'E Balans VL '!L19/100/3.6*1000000+C31*'E Balans VL '!N19/100/3.6*1000000</f>
        <v>760.51934256882396</v>
      </c>
      <c r="G9" s="34"/>
      <c r="H9" s="33"/>
      <c r="I9" s="33"/>
      <c r="J9" s="40">
        <f>C31*'E Balans VL '!D19/100/3.6*1000000+C31*'E Balans VL '!E19/100/3.6*1000000</f>
        <v>0</v>
      </c>
      <c r="K9" s="33"/>
      <c r="L9" s="33"/>
      <c r="M9" s="33"/>
      <c r="N9" s="33">
        <f>C31*'E Balans VL '!Y19/100/3.6*1000000</f>
        <v>61.481875401415067</v>
      </c>
      <c r="O9" s="33"/>
      <c r="P9" s="33"/>
      <c r="R9" s="32"/>
    </row>
    <row r="10" spans="1:18">
      <c r="A10" s="6" t="s">
        <v>40</v>
      </c>
      <c r="B10" s="37">
        <f t="shared" si="0"/>
        <v>1682.912</v>
      </c>
      <c r="C10" s="33"/>
      <c r="D10" s="37">
        <f>IF( ISERROR(IND_voed_gas_kWh/1000),0,IND_voed_gas_kWh/1000)*0.902</f>
        <v>444.538700694</v>
      </c>
      <c r="E10" s="33">
        <f>C32*'E Balans VL '!I20/100/3.6*1000000</f>
        <v>2.8411401714316558</v>
      </c>
      <c r="F10" s="33">
        <f>C32*'E Balans VL '!L20/100/3.6*1000000+C32*'E Balans VL '!N20/100/3.6*1000000</f>
        <v>98.779589543175376</v>
      </c>
      <c r="G10" s="34"/>
      <c r="H10" s="33"/>
      <c r="I10" s="33"/>
      <c r="J10" s="40">
        <f>C32*'E Balans VL '!D20/100/3.6*1000000+C32*'E Balans VL '!E20/100/3.6*1000000</f>
        <v>0</v>
      </c>
      <c r="K10" s="33"/>
      <c r="L10" s="33"/>
      <c r="M10" s="33"/>
      <c r="N10" s="33">
        <f>C32*'E Balans VL '!Y20/100/3.6*1000000</f>
        <v>91.626133741246647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26.140999999999998</v>
      </c>
      <c r="C15" s="33"/>
      <c r="D15" s="37">
        <f>IF( ISERROR(IND_rest_gas_kWh/1000),0,IND_rest_gas_kWh/1000)*0.902</f>
        <v>717.05419060000008</v>
      </c>
      <c r="E15" s="33">
        <f>C37*'E Balans VL '!I15/100/3.6*1000000</f>
        <v>1.247041037332514</v>
      </c>
      <c r="F15" s="33">
        <f>C37*'E Balans VL '!L15/100/3.6*1000000+C37*'E Balans VL '!N15/100/3.6*1000000</f>
        <v>4.1331784687094215</v>
      </c>
      <c r="G15" s="34"/>
      <c r="H15" s="33"/>
      <c r="I15" s="33"/>
      <c r="J15" s="40">
        <f>C37*'E Balans VL '!D15/100/3.6*1000000+C37*'E Balans VL '!E15/100/3.6*1000000</f>
        <v>0.10046729340981507</v>
      </c>
      <c r="K15" s="33"/>
      <c r="L15" s="33"/>
      <c r="M15" s="33"/>
      <c r="N15" s="33">
        <f>C37*'E Balans VL '!Y15/100/3.6*1000000</f>
        <v>0.952372055024444</v>
      </c>
      <c r="O15" s="33"/>
      <c r="P15" s="33"/>
      <c r="R15" s="32"/>
    </row>
    <row r="16" spans="1:18">
      <c r="A16" s="16" t="s">
        <v>464</v>
      </c>
      <c r="B16" s="244">
        <f>'lokale energieproductie'!N50+'lokale energieproductie'!N43</f>
        <v>0</v>
      </c>
      <c r="C16" s="244">
        <f>'lokale energieproductie'!O50+'lokale energieproductie'!O43</f>
        <v>0</v>
      </c>
      <c r="D16" s="302">
        <f>('lokale energieproductie'!P43+'lokale energieproductie'!P50)*(-1)</f>
        <v>0</v>
      </c>
      <c r="E16" s="245"/>
      <c r="F16" s="302">
        <f>('lokale energieproductie'!S43+'lokale energieproductie'!S50)*(-1)</f>
        <v>0</v>
      </c>
      <c r="G16" s="246"/>
      <c r="H16" s="245"/>
      <c r="I16" s="245"/>
      <c r="J16" s="245"/>
      <c r="K16" s="245"/>
      <c r="L16" s="302">
        <f>('lokale energieproductie'!T43+'lokale energieproductie'!U43+'lokale energieproductie'!T50+'lokale energieproductie'!U50)*(-1)</f>
        <v>0</v>
      </c>
      <c r="M16" s="245"/>
      <c r="N16" s="302">
        <f>('lokale energieproductie'!Q43+'lokale energieproductie'!R43+'lokale energieproductie'!V43+'lokale energieproductie'!Q50+'lokale energieproductie'!R50+'lokale energieproductie'!V50)*(-1)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3491.8089500000001</v>
      </c>
      <c r="C18" s="21">
        <f>C5+C16</f>
        <v>0</v>
      </c>
      <c r="D18" s="21">
        <f>MAX((D5+D16),0)</f>
        <v>2605.3802908319999</v>
      </c>
      <c r="E18" s="21">
        <f>MAX((E5+E16),0)</f>
        <v>11.645284992088682</v>
      </c>
      <c r="F18" s="21">
        <f>MAX((F5+F16),0)</f>
        <v>905.44166832910798</v>
      </c>
      <c r="G18" s="21"/>
      <c r="H18" s="21"/>
      <c r="I18" s="21"/>
      <c r="J18" s="21">
        <f>MAX((J5+J16),0)</f>
        <v>0.70893252252743255</v>
      </c>
      <c r="K18" s="21"/>
      <c r="L18" s="21">
        <f>MAX((L5+L16),0)</f>
        <v>0</v>
      </c>
      <c r="M18" s="21"/>
      <c r="N18" s="21">
        <f>MAX((N5+N16),0)</f>
        <v>161.70858749204598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0.20723868253314429</v>
      </c>
      <c r="C20" s="25">
        <f ca="1">'EF ele_warmte'!B22</f>
        <v>0.21154716571120585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723.63788645544196</v>
      </c>
      <c r="C22" s="23">
        <f ca="1">C18*C20</f>
        <v>0</v>
      </c>
      <c r="D22" s="23">
        <f>D18*D20</f>
        <v>526.28681874806398</v>
      </c>
      <c r="E22" s="23">
        <f>E18*E20</f>
        <v>2.6434796932041307</v>
      </c>
      <c r="F22" s="23">
        <f>F18*F20</f>
        <v>241.75292544387185</v>
      </c>
      <c r="G22" s="23"/>
      <c r="H22" s="23"/>
      <c r="I22" s="23"/>
      <c r="J22" s="23">
        <f>J18*J20</f>
        <v>0.2509621129747111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631.16</v>
      </c>
      <c r="C30" s="39">
        <f>IF(ISERROR(B30*3.6/1000000/'E Balans VL '!Z18*100),0,B30*3.6/1000000/'E Balans VL '!Z18*100)</f>
        <v>3.4922991961854978E-2</v>
      </c>
      <c r="D30" s="234" t="s">
        <v>667</v>
      </c>
    </row>
    <row r="31" spans="1:18">
      <c r="A31" s="6" t="s">
        <v>32</v>
      </c>
      <c r="B31" s="37">
        <f>IF( ISERROR(IND_ander_ele_kWh/1000),0,IND_ander_ele_kWh/1000)</f>
        <v>1151.5959499999999</v>
      </c>
      <c r="C31" s="39">
        <f>IF(ISERROR(B31*3.6/1000000/'E Balans VL '!Z19*100),0,B31*3.6/1000000/'E Balans VL '!Z19*100)</f>
        <v>5.023621358748849E-2</v>
      </c>
      <c r="D31" s="234" t="s">
        <v>667</v>
      </c>
    </row>
    <row r="32" spans="1:18">
      <c r="A32" s="168" t="s">
        <v>40</v>
      </c>
      <c r="B32" s="37">
        <f>IF( ISERROR(IND_voed_ele_kWh/1000),0,IND_voed_ele_kWh/1000)</f>
        <v>1682.912</v>
      </c>
      <c r="C32" s="39">
        <f>IF(ISERROR(B32*3.6/1000000/'E Balans VL '!Z20*100),0,B32*3.6/1000000/'E Balans VL '!Z20*100)</f>
        <v>5.2825413784597881E-2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26.140999999999998</v>
      </c>
      <c r="C37" s="39">
        <f>IF(ISERROR(B37*3.6/1000000/'E Balans VL '!Z15*100),0,B37*3.6/1000000/'E Balans VL '!Z15*100)</f>
        <v>2.127463842665443E-4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13635.610893999999</v>
      </c>
      <c r="C5" s="17">
        <f>'Eigen informatie GS &amp; warmtenet'!B62</f>
        <v>0</v>
      </c>
      <c r="D5" s="30">
        <f>IF(ISERROR(SUM(LB_lb_gas_kWh,LB_rest_gas_kWh)/1000),0,SUM(LB_lb_gas_kWh,LB_rest_gas_kWh)/1000)*0.902</f>
        <v>605511.63679298596</v>
      </c>
      <c r="E5" s="17">
        <f>B17*'E Balans VL '!I25/3.6*1000000/100</f>
        <v>553.96646294187656</v>
      </c>
      <c r="F5" s="17">
        <f>B17*('E Balans VL '!L25/3.6*1000000+'E Balans VL '!N25/3.6*1000000)/100</f>
        <v>48233.926961416684</v>
      </c>
      <c r="G5" s="18"/>
      <c r="H5" s="17"/>
      <c r="I5" s="17"/>
      <c r="J5" s="17">
        <f>('E Balans VL '!D25+'E Balans VL '!E25)/3.6*1000000*landbouw!B17/100</f>
        <v>3874.1597050806467</v>
      </c>
      <c r="K5" s="17"/>
      <c r="L5" s="17">
        <f>L6*(-1)</f>
        <v>0</v>
      </c>
      <c r="M5" s="17"/>
      <c r="N5" s="17">
        <f>N6*(-1)</f>
        <v>85161.857142857159</v>
      </c>
      <c r="O5" s="17"/>
      <c r="P5" s="17"/>
      <c r="R5" s="32"/>
    </row>
    <row r="6" spans="1:18">
      <c r="A6" s="16" t="s">
        <v>464</v>
      </c>
      <c r="B6" s="17" t="s">
        <v>204</v>
      </c>
      <c r="C6" s="17">
        <f>'lokale energieproductie'!O52+'lokale energieproductie'!O45</f>
        <v>387711.64285714284</v>
      </c>
      <c r="D6" s="302">
        <f>('lokale energieproductie'!P45+'lokale energieproductie'!P52)*(-1)</f>
        <v>-690261.42857142852</v>
      </c>
      <c r="E6" s="245"/>
      <c r="F6" s="302">
        <f>('lokale energieproductie'!S45+'lokale energieproductie'!S52)*(-1)</f>
        <v>0</v>
      </c>
      <c r="G6" s="246"/>
      <c r="H6" s="245"/>
      <c r="I6" s="245"/>
      <c r="J6" s="245"/>
      <c r="K6" s="245"/>
      <c r="L6" s="302">
        <f>('lokale energieproductie'!T45+'lokale energieproductie'!U45+'lokale energieproductie'!T52+'lokale energieproductie'!U52)*(-1)</f>
        <v>0</v>
      </c>
      <c r="M6" s="245"/>
      <c r="N6" s="302">
        <f>('lokale energieproductie'!V45+'lokale energieproductie'!R45+'lokale energieproductie'!Q45+'lokale energieproductie'!Q52+'lokale energieproductie'!R52+'lokale energieproductie'!V52)*(-1)</f>
        <v>-85161.857142857159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13635.610893999999</v>
      </c>
      <c r="C8" s="21">
        <f>C5+C6</f>
        <v>387711.64285714284</v>
      </c>
      <c r="D8" s="21">
        <f>MAX((D5+D6),0)</f>
        <v>0</v>
      </c>
      <c r="E8" s="21">
        <f>MAX((E5+E6),0)</f>
        <v>553.96646294187656</v>
      </c>
      <c r="F8" s="21">
        <f>MAX((F5+F6),0)</f>
        <v>48233.926961416684</v>
      </c>
      <c r="G8" s="21"/>
      <c r="H8" s="21"/>
      <c r="I8" s="21"/>
      <c r="J8" s="21">
        <f>MAX((J5+J6),0)</f>
        <v>3874.1597050806467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0.20723868253314429</v>
      </c>
      <c r="C10" s="31">
        <f ca="1">'EF ele_warmte'!B22</f>
        <v>0.21154716571120585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2825.8260372071495</v>
      </c>
      <c r="C12" s="23">
        <f ca="1">C8*C10</f>
        <v>82019.29915966386</v>
      </c>
      <c r="D12" s="23">
        <f>D8*D10</f>
        <v>0</v>
      </c>
      <c r="E12" s="23">
        <f>E8*E10</f>
        <v>125.75038708780598</v>
      </c>
      <c r="F12" s="23">
        <f>F8*F10</f>
        <v>12878.458498698255</v>
      </c>
      <c r="G12" s="23"/>
      <c r="H12" s="23"/>
      <c r="I12" s="23"/>
      <c r="J12" s="23">
        <f>J8*J10</f>
        <v>1371.4525355985488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2.0270313087110159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887.93170999973324</v>
      </c>
      <c r="C26" s="244">
        <f>B26*'GWP N2O_CH4'!B5</f>
        <v>18646.565909994399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513.04174087594492</v>
      </c>
      <c r="C27" s="244">
        <f>B27*'GWP N2O_CH4'!B5</f>
        <v>10773.876558394844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22.534465756291755</v>
      </c>
      <c r="C28" s="244">
        <f>B28*'GWP N2O_CH4'!B4</f>
        <v>6985.6843844504438</v>
      </c>
      <c r="D28" s="50"/>
    </row>
    <row r="29" spans="1:4">
      <c r="A29" s="41" t="s">
        <v>265</v>
      </c>
      <c r="B29" s="244">
        <f>B34*'ha_N2O bodem landbouw'!B4</f>
        <v>16.977953637342388</v>
      </c>
      <c r="C29" s="244">
        <f>B29*'GWP N2O_CH4'!B4</f>
        <v>5263.1656275761407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3.7229595514871308E-3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1.8565047294691201E-4</v>
      </c>
      <c r="C5" s="429" t="s">
        <v>204</v>
      </c>
      <c r="D5" s="414">
        <f>SUM(D6:D11)</f>
        <v>3.3023558824834398E-4</v>
      </c>
      <c r="E5" s="414">
        <f>SUM(E6:E11)</f>
        <v>2.8289873790014221E-4</v>
      </c>
      <c r="F5" s="427" t="s">
        <v>204</v>
      </c>
      <c r="G5" s="414">
        <f>SUM(G6:G11)</f>
        <v>0.1231213863416994</v>
      </c>
      <c r="H5" s="414">
        <f>SUM(H6:H11)</f>
        <v>3.1644757675790038E-2</v>
      </c>
      <c r="I5" s="429" t="s">
        <v>204</v>
      </c>
      <c r="J5" s="429" t="s">
        <v>204</v>
      </c>
      <c r="K5" s="429" t="s">
        <v>204</v>
      </c>
      <c r="L5" s="429" t="s">
        <v>204</v>
      </c>
      <c r="M5" s="414">
        <f>SUM(M6:M11)</f>
        <v>9.1921511830402383E-3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1.4882163488548093E-4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2.5248377274419878E-4</v>
      </c>
      <c r="E6" s="843">
        <f>vkm_GW_PW*SUMIFS(TableVerdeelsleutelVkm[LPG],TableVerdeelsleutelVkm[Voertuigtype],"Lichte voertuigen")*SUMIFS(TableECFTransport[EnergieConsumptieFactor (PJ per km)],TableECFTransport[Index],CONCATENATE($A6,"_LPG_LPG"))</f>
        <v>2.1860281865567174E-4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6.9830905955426251E-2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2.4293298821702485E-2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5.6336571604751317E-3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8.2788639445163228E-7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3.1598005992661861E-2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5.0359267126730615E-7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1.8213885278873308E-3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3.5947236040443227E-5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7.7751815504145192E-5</v>
      </c>
      <c r="E8" s="417">
        <f>vkm_NGW_PW*SUMIFS(TableVerdeelsleutelVkm[LPG],TableVerdeelsleutelVkm[Voertuigtype],"Lichte voertuigen")*SUMIFS(TableECFTransport[EnergieConsumptieFactor (PJ per km)],TableECFTransport[Index],CONCATENATE($A8,"_LPG_LPG"))</f>
        <v>6.4295919244470467E-5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1.9056824186590895E-2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7.3509158224296239E-3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1.5851801585701623E-3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5.3715626536216314E-8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2.6356502070203911E-3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3.9438986662485692E-8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1.5192533610761271E-4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51.569575818586671</v>
      </c>
      <c r="C14" s="21"/>
      <c r="D14" s="21">
        <f t="shared" ref="D14:M14" si="0">((D5)*10^9/3600)+D12</f>
        <v>91.732107846762219</v>
      </c>
      <c r="E14" s="21">
        <f t="shared" si="0"/>
        <v>78.582982750039506</v>
      </c>
      <c r="F14" s="21"/>
      <c r="G14" s="21">
        <f t="shared" si="0"/>
        <v>34200.385094916499</v>
      </c>
      <c r="H14" s="21">
        <f t="shared" si="0"/>
        <v>8790.2104654972336</v>
      </c>
      <c r="I14" s="21"/>
      <c r="J14" s="21"/>
      <c r="K14" s="21"/>
      <c r="L14" s="21"/>
      <c r="M14" s="21">
        <f t="shared" si="0"/>
        <v>2553.3753286222886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0.20723868253314429</v>
      </c>
      <c r="C16" s="56">
        <f ca="1">'EF ele_warmte'!B22</f>
        <v>0.21154716571120585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10.687210951436997</v>
      </c>
      <c r="C18" s="23"/>
      <c r="D18" s="23">
        <f t="shared" ref="D18:M18" si="1">D14*D16</f>
        <v>18.52988578504597</v>
      </c>
      <c r="E18" s="23">
        <f t="shared" si="1"/>
        <v>17.838337084258967</v>
      </c>
      <c r="F18" s="23"/>
      <c r="G18" s="23">
        <f t="shared" si="1"/>
        <v>9131.5028203427064</v>
      </c>
      <c r="H18" s="23">
        <f t="shared" si="1"/>
        <v>2188.7624059088112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3.954887865938449E-5</v>
      </c>
      <c r="C50" s="313">
        <f t="shared" ref="C50:P50" si="2">SUM(C51:C52)</f>
        <v>0</v>
      </c>
      <c r="D50" s="313">
        <f t="shared" si="2"/>
        <v>0</v>
      </c>
      <c r="E50" s="313">
        <f t="shared" si="2"/>
        <v>0</v>
      </c>
      <c r="F50" s="313">
        <f t="shared" si="2"/>
        <v>0</v>
      </c>
      <c r="G50" s="313">
        <f t="shared" si="2"/>
        <v>2.865375866691432E-3</v>
      </c>
      <c r="H50" s="313">
        <f t="shared" si="2"/>
        <v>0</v>
      </c>
      <c r="I50" s="313">
        <f t="shared" si="2"/>
        <v>0</v>
      </c>
      <c r="J50" s="313">
        <f t="shared" si="2"/>
        <v>0</v>
      </c>
      <c r="K50" s="313">
        <f t="shared" si="2"/>
        <v>0</v>
      </c>
      <c r="L50" s="313">
        <f t="shared" si="2"/>
        <v>0</v>
      </c>
      <c r="M50" s="313">
        <f t="shared" si="2"/>
        <v>1.6207419220500189E-4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3.954887865938449E-5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2.865375866691432E-3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1.6207419220500189E-4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10.985799627606804</v>
      </c>
      <c r="C54" s="21">
        <f t="shared" ref="C54:P54" si="3">(C50)*10^9/3600</f>
        <v>0</v>
      </c>
      <c r="D54" s="21">
        <f t="shared" si="3"/>
        <v>0</v>
      </c>
      <c r="E54" s="21">
        <f t="shared" si="3"/>
        <v>0</v>
      </c>
      <c r="F54" s="21">
        <f t="shared" si="3"/>
        <v>0</v>
      </c>
      <c r="G54" s="21">
        <f t="shared" si="3"/>
        <v>795.93774074761996</v>
      </c>
      <c r="H54" s="21">
        <f t="shared" si="3"/>
        <v>0</v>
      </c>
      <c r="I54" s="21">
        <f t="shared" si="3"/>
        <v>0</v>
      </c>
      <c r="J54" s="21">
        <f t="shared" si="3"/>
        <v>0</v>
      </c>
      <c r="K54" s="21">
        <f t="shared" si="3"/>
        <v>0</v>
      </c>
      <c r="L54" s="21">
        <f t="shared" si="3"/>
        <v>0</v>
      </c>
      <c r="M54" s="21">
        <f t="shared" si="3"/>
        <v>45.020608945833857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0.20723868253314429</v>
      </c>
      <c r="C56" s="56">
        <f ca="1">'EF ele_warmte'!B22</f>
        <v>0.21154716571120585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2.2766826413983412</v>
      </c>
      <c r="C58" s="23">
        <f t="shared" ref="C58:P58" ca="1" si="4">C54*C56</f>
        <v>0</v>
      </c>
      <c r="D58" s="23">
        <f t="shared" si="4"/>
        <v>0</v>
      </c>
      <c r="E58" s="23">
        <f t="shared" si="4"/>
        <v>0</v>
      </c>
      <c r="F58" s="23">
        <f t="shared" si="4"/>
        <v>0</v>
      </c>
      <c r="G58" s="23">
        <f t="shared" si="4"/>
        <v>212.51537677961454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4"/>
  <sheetViews>
    <sheetView showGridLines="0" zoomScale="65" zoomScaleNormal="65" workbookViewId="0">
      <selection activeCell="A28" sqref="A28:XFD42"/>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3995.3557105224604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N42</f>
        <v>271398.15000000002</v>
      </c>
      <c r="C8" s="539">
        <f>B61</f>
        <v>284225.29411764705</v>
      </c>
      <c r="D8" s="540"/>
      <c r="E8" s="540">
        <f>E61</f>
        <v>0</v>
      </c>
      <c r="F8" s="541"/>
      <c r="G8" s="542"/>
      <c r="H8" s="540">
        <f>I61</f>
        <v>0</v>
      </c>
      <c r="I8" s="540">
        <f>G61+F61</f>
        <v>0</v>
      </c>
      <c r="J8" s="540">
        <f>H61+D61+C61</f>
        <v>35066.647058823539</v>
      </c>
      <c r="K8" s="540"/>
      <c r="L8" s="540"/>
      <c r="M8" s="540"/>
      <c r="N8" s="543"/>
      <c r="O8" s="544">
        <f>C8*$C$12+D8*$D$12+E8*$E$12+F8*$F$12+G8*$G$12+H8*$H$12+I8*$I$12+J8*$J$12</f>
        <v>57413.50941176471</v>
      </c>
      <c r="P8" s="1230"/>
      <c r="Q8" s="1231"/>
      <c r="S8" s="534"/>
      <c r="T8" s="1227"/>
      <c r="U8" s="1227"/>
    </row>
    <row r="9" spans="1:21" s="525" customFormat="1" ht="17.45" customHeight="1" thickBot="1">
      <c r="A9" s="545" t="s">
        <v>236</v>
      </c>
      <c r="B9" s="546">
        <f>N49+'Eigen informatie GS &amp; warmtenet'!B12</f>
        <v>1647</v>
      </c>
      <c r="C9" s="547">
        <f>P49+IF(ISERROR(('Eigen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S49+IF(ISERROR('Eigen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W49+IF(ISERROR('Eigen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(T49+U49)+IF(ISERROR('Eigen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V49+Q49+R49+IF(ISERROR('Eigen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4705.7142857142862</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277040.50571052247</v>
      </c>
      <c r="C10" s="554">
        <f t="shared" ref="C10:L10" si="0">SUM(C8:C9)</f>
        <v>284225.29411764705</v>
      </c>
      <c r="D10" s="554">
        <f t="shared" si="0"/>
        <v>0</v>
      </c>
      <c r="E10" s="554">
        <f t="shared" si="0"/>
        <v>0</v>
      </c>
      <c r="F10" s="554">
        <f t="shared" si="0"/>
        <v>0</v>
      </c>
      <c r="G10" s="554">
        <f t="shared" si="0"/>
        <v>0</v>
      </c>
      <c r="H10" s="554">
        <f t="shared" si="0"/>
        <v>0</v>
      </c>
      <c r="I10" s="554">
        <f t="shared" si="0"/>
        <v>0</v>
      </c>
      <c r="J10" s="554">
        <f t="shared" si="0"/>
        <v>39772.361344537829</v>
      </c>
      <c r="K10" s="554">
        <f t="shared" si="0"/>
        <v>0</v>
      </c>
      <c r="L10" s="554">
        <f t="shared" si="0"/>
        <v>0</v>
      </c>
      <c r="M10" s="923"/>
      <c r="N10" s="923"/>
      <c r="O10" s="555">
        <f>SUM(O4:O9)</f>
        <v>57413.50941176471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O42</f>
        <v>387711.64285714284</v>
      </c>
      <c r="C17" s="570">
        <f>B62</f>
        <v>406036.13445378147</v>
      </c>
      <c r="D17" s="571"/>
      <c r="E17" s="571">
        <f>E62</f>
        <v>0</v>
      </c>
      <c r="F17" s="572"/>
      <c r="G17" s="573"/>
      <c r="H17" s="570">
        <f>I62</f>
        <v>0</v>
      </c>
      <c r="I17" s="571">
        <f>G62+F62</f>
        <v>0</v>
      </c>
      <c r="J17" s="571">
        <f>H62+D62+C62</f>
        <v>50095.210084033628</v>
      </c>
      <c r="K17" s="571"/>
      <c r="L17" s="571"/>
      <c r="M17" s="571"/>
      <c r="N17" s="924"/>
      <c r="O17" s="574">
        <f>C17*$C$22+E17*$E$22+H17*$H$22+I17*$I$22+J17*$J$22+D17*$D$22+F17*$F$22+G17*$G$22+K17*$K$22+L17*$L$22</f>
        <v>82019.29915966386</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387711.64285714284</v>
      </c>
      <c r="C20" s="553">
        <f>SUM(C17:C19)</f>
        <v>406036.13445378147</v>
      </c>
      <c r="D20" s="553">
        <f t="shared" ref="D20:L20" si="1">SUM(D17:D19)</f>
        <v>0</v>
      </c>
      <c r="E20" s="553">
        <f t="shared" si="1"/>
        <v>0</v>
      </c>
      <c r="F20" s="553">
        <f t="shared" si="1"/>
        <v>0</v>
      </c>
      <c r="G20" s="553">
        <f t="shared" si="1"/>
        <v>0</v>
      </c>
      <c r="H20" s="553">
        <f t="shared" si="1"/>
        <v>0</v>
      </c>
      <c r="I20" s="553">
        <f t="shared" si="1"/>
        <v>0</v>
      </c>
      <c r="J20" s="553">
        <f t="shared" si="1"/>
        <v>50095.210084033628</v>
      </c>
      <c r="K20" s="553">
        <f t="shared" si="1"/>
        <v>0</v>
      </c>
      <c r="L20" s="553">
        <f t="shared" si="1"/>
        <v>0</v>
      </c>
      <c r="M20" s="553"/>
      <c r="N20" s="553"/>
      <c r="O20" s="579">
        <f>SUM(O17:O19)</f>
        <v>82019.29915966386</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13023</v>
      </c>
      <c r="C28" s="745">
        <v>2330</v>
      </c>
      <c r="D28" s="631"/>
      <c r="E28" s="630"/>
      <c r="F28" s="630"/>
      <c r="G28" s="630" t="s">
        <v>883</v>
      </c>
      <c r="H28" s="630" t="s">
        <v>884</v>
      </c>
      <c r="I28" s="630"/>
      <c r="J28" s="744"/>
      <c r="K28" s="744"/>
      <c r="L28" s="630" t="s">
        <v>885</v>
      </c>
      <c r="M28" s="630">
        <v>2758</v>
      </c>
      <c r="N28" s="630">
        <v>12411</v>
      </c>
      <c r="O28" s="630">
        <v>17730</v>
      </c>
      <c r="P28" s="630">
        <v>35460</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13023</v>
      </c>
      <c r="C29" s="745">
        <v>2330</v>
      </c>
      <c r="D29" s="631"/>
      <c r="E29" s="630"/>
      <c r="F29" s="630"/>
      <c r="G29" s="630" t="s">
        <v>883</v>
      </c>
      <c r="H29" s="630" t="s">
        <v>884</v>
      </c>
      <c r="I29" s="630"/>
      <c r="J29" s="744"/>
      <c r="K29" s="744"/>
      <c r="L29" s="630" t="s">
        <v>885</v>
      </c>
      <c r="M29" s="630">
        <v>7083</v>
      </c>
      <c r="N29" s="630">
        <v>31873.5</v>
      </c>
      <c r="O29" s="630">
        <v>45533.571428571428</v>
      </c>
      <c r="P29" s="630">
        <v>91067.14285714287</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13023</v>
      </c>
      <c r="C30" s="745">
        <v>2330</v>
      </c>
      <c r="D30" s="631"/>
      <c r="E30" s="630"/>
      <c r="F30" s="630"/>
      <c r="G30" s="630" t="s">
        <v>883</v>
      </c>
      <c r="H30" s="630" t="s">
        <v>884</v>
      </c>
      <c r="I30" s="630"/>
      <c r="J30" s="744"/>
      <c r="K30" s="744"/>
      <c r="L30" s="630" t="s">
        <v>885</v>
      </c>
      <c r="M30" s="630">
        <v>2800</v>
      </c>
      <c r="N30" s="630">
        <v>12600</v>
      </c>
      <c r="O30" s="630">
        <v>18000</v>
      </c>
      <c r="P30" s="630">
        <v>36000</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13023</v>
      </c>
      <c r="C31" s="745">
        <v>2330</v>
      </c>
      <c r="D31" s="631"/>
      <c r="E31" s="630"/>
      <c r="F31" s="630"/>
      <c r="G31" s="630" t="s">
        <v>883</v>
      </c>
      <c r="H31" s="630" t="s">
        <v>884</v>
      </c>
      <c r="I31" s="630"/>
      <c r="J31" s="744"/>
      <c r="K31" s="744"/>
      <c r="L31" s="630" t="s">
        <v>885</v>
      </c>
      <c r="M31" s="630">
        <v>3256</v>
      </c>
      <c r="N31" s="630">
        <v>14651.999999999998</v>
      </c>
      <c r="O31" s="630">
        <v>20931.428571428569</v>
      </c>
      <c r="P31" s="630">
        <v>41862.857142857138</v>
      </c>
      <c r="Q31" s="630">
        <v>0</v>
      </c>
      <c r="R31" s="630">
        <v>0</v>
      </c>
      <c r="S31" s="630">
        <v>0</v>
      </c>
      <c r="T31" s="630">
        <v>0</v>
      </c>
      <c r="U31" s="630">
        <v>0</v>
      </c>
      <c r="V31" s="630">
        <v>0</v>
      </c>
      <c r="W31" s="630">
        <v>0</v>
      </c>
      <c r="X31" s="630"/>
      <c r="Y31" s="630">
        <v>10</v>
      </c>
      <c r="Z31" s="630" t="s">
        <v>105</v>
      </c>
      <c r="AA31" s="632" t="s">
        <v>105</v>
      </c>
    </row>
    <row r="32" spans="1:27" s="584" customFormat="1" ht="25.5" hidden="1">
      <c r="A32" s="583"/>
      <c r="B32" s="745">
        <v>13023</v>
      </c>
      <c r="C32" s="745">
        <v>2330</v>
      </c>
      <c r="D32" s="631"/>
      <c r="E32" s="630"/>
      <c r="F32" s="630"/>
      <c r="G32" s="630" t="s">
        <v>883</v>
      </c>
      <c r="H32" s="630" t="s">
        <v>884</v>
      </c>
      <c r="I32" s="630"/>
      <c r="J32" s="744"/>
      <c r="K32" s="744"/>
      <c r="L32" s="630" t="s">
        <v>885</v>
      </c>
      <c r="M32" s="630">
        <v>3183</v>
      </c>
      <c r="N32" s="630">
        <v>14323.5</v>
      </c>
      <c r="O32" s="630">
        <v>20462.142857142859</v>
      </c>
      <c r="P32" s="630">
        <v>40924.285714285717</v>
      </c>
      <c r="Q32" s="630">
        <v>0</v>
      </c>
      <c r="R32" s="630">
        <v>0</v>
      </c>
      <c r="S32" s="630">
        <v>0</v>
      </c>
      <c r="T32" s="630">
        <v>0</v>
      </c>
      <c r="U32" s="630">
        <v>0</v>
      </c>
      <c r="V32" s="630">
        <v>0</v>
      </c>
      <c r="W32" s="630">
        <v>0</v>
      </c>
      <c r="X32" s="630"/>
      <c r="Y32" s="630">
        <v>10</v>
      </c>
      <c r="Z32" s="630" t="s">
        <v>105</v>
      </c>
      <c r="AA32" s="632" t="s">
        <v>105</v>
      </c>
    </row>
    <row r="33" spans="1:27" s="584" customFormat="1" ht="25.5" hidden="1">
      <c r="A33" s="583"/>
      <c r="B33" s="745">
        <v>13023</v>
      </c>
      <c r="C33" s="745">
        <v>2330</v>
      </c>
      <c r="D33" s="631"/>
      <c r="E33" s="630"/>
      <c r="F33" s="630"/>
      <c r="G33" s="630" t="s">
        <v>883</v>
      </c>
      <c r="H33" s="630" t="s">
        <v>884</v>
      </c>
      <c r="I33" s="630"/>
      <c r="J33" s="744"/>
      <c r="K33" s="744"/>
      <c r="L33" s="630" t="s">
        <v>885</v>
      </c>
      <c r="M33" s="630">
        <v>3574</v>
      </c>
      <c r="N33" s="630">
        <v>16083</v>
      </c>
      <c r="O33" s="630">
        <v>22975.714285714286</v>
      </c>
      <c r="P33" s="630">
        <v>45951.428571428572</v>
      </c>
      <c r="Q33" s="630">
        <v>0</v>
      </c>
      <c r="R33" s="630">
        <v>0</v>
      </c>
      <c r="S33" s="630">
        <v>0</v>
      </c>
      <c r="T33" s="630">
        <v>0</v>
      </c>
      <c r="U33" s="630">
        <v>0</v>
      </c>
      <c r="V33" s="630">
        <v>0</v>
      </c>
      <c r="W33" s="630">
        <v>0</v>
      </c>
      <c r="X33" s="630"/>
      <c r="Y33" s="630">
        <v>10</v>
      </c>
      <c r="Z33" s="630" t="s">
        <v>105</v>
      </c>
      <c r="AA33" s="632" t="s">
        <v>105</v>
      </c>
    </row>
    <row r="34" spans="1:27" s="584" customFormat="1" ht="25.5" hidden="1">
      <c r="A34" s="583"/>
      <c r="B34" s="745">
        <v>13023</v>
      </c>
      <c r="C34" s="745">
        <v>2330</v>
      </c>
      <c r="D34" s="631"/>
      <c r="E34" s="630"/>
      <c r="F34" s="630"/>
      <c r="G34" s="630" t="s">
        <v>883</v>
      </c>
      <c r="H34" s="630" t="s">
        <v>884</v>
      </c>
      <c r="I34" s="630"/>
      <c r="J34" s="744"/>
      <c r="K34" s="744"/>
      <c r="L34" s="630" t="s">
        <v>885</v>
      </c>
      <c r="M34" s="630">
        <v>12421</v>
      </c>
      <c r="N34" s="630">
        <v>55894.5</v>
      </c>
      <c r="O34" s="630">
        <v>79849.28571428571</v>
      </c>
      <c r="P34" s="630">
        <v>159698.57142857145</v>
      </c>
      <c r="Q34" s="630">
        <v>0</v>
      </c>
      <c r="R34" s="630">
        <v>0</v>
      </c>
      <c r="S34" s="630">
        <v>0</v>
      </c>
      <c r="T34" s="630">
        <v>0</v>
      </c>
      <c r="U34" s="630">
        <v>0</v>
      </c>
      <c r="V34" s="630">
        <v>0</v>
      </c>
      <c r="W34" s="630">
        <v>0</v>
      </c>
      <c r="X34" s="630"/>
      <c r="Y34" s="630">
        <v>10</v>
      </c>
      <c r="Z34" s="630" t="s">
        <v>105</v>
      </c>
      <c r="AA34" s="632" t="s">
        <v>105</v>
      </c>
    </row>
    <row r="35" spans="1:27" s="584" customFormat="1" ht="25.5" hidden="1">
      <c r="A35" s="583"/>
      <c r="B35" s="745">
        <v>13023</v>
      </c>
      <c r="C35" s="745">
        <v>2330</v>
      </c>
      <c r="D35" s="631"/>
      <c r="E35" s="630"/>
      <c r="F35" s="630"/>
      <c r="G35" s="630" t="s">
        <v>883</v>
      </c>
      <c r="H35" s="630" t="s">
        <v>884</v>
      </c>
      <c r="I35" s="630"/>
      <c r="J35" s="744"/>
      <c r="K35" s="744"/>
      <c r="L35" s="630" t="s">
        <v>885</v>
      </c>
      <c r="M35" s="630">
        <v>8585</v>
      </c>
      <c r="N35" s="630">
        <v>38632.500000000007</v>
      </c>
      <c r="O35" s="630">
        <v>55189.285714285725</v>
      </c>
      <c r="P35" s="630">
        <v>110378.57142857145</v>
      </c>
      <c r="Q35" s="630">
        <v>0</v>
      </c>
      <c r="R35" s="630">
        <v>0</v>
      </c>
      <c r="S35" s="630">
        <v>0</v>
      </c>
      <c r="T35" s="630">
        <v>0</v>
      </c>
      <c r="U35" s="630">
        <v>0</v>
      </c>
      <c r="V35" s="630">
        <v>0</v>
      </c>
      <c r="W35" s="630">
        <v>0</v>
      </c>
      <c r="X35" s="630"/>
      <c r="Y35" s="630">
        <v>10</v>
      </c>
      <c r="Z35" s="630" t="s">
        <v>105</v>
      </c>
      <c r="AA35" s="632" t="s">
        <v>105</v>
      </c>
    </row>
    <row r="36" spans="1:27" s="584" customFormat="1" ht="25.5" hidden="1">
      <c r="A36" s="583"/>
      <c r="B36" s="745">
        <v>13023</v>
      </c>
      <c r="C36" s="745">
        <v>2330</v>
      </c>
      <c r="D36" s="631"/>
      <c r="E36" s="630"/>
      <c r="F36" s="630"/>
      <c r="G36" s="630" t="s">
        <v>883</v>
      </c>
      <c r="H36" s="630" t="s">
        <v>884</v>
      </c>
      <c r="I36" s="630"/>
      <c r="J36" s="744"/>
      <c r="K36" s="744"/>
      <c r="L36" s="630" t="s">
        <v>885</v>
      </c>
      <c r="M36" s="630">
        <v>6614</v>
      </c>
      <c r="N36" s="630">
        <v>29763</v>
      </c>
      <c r="O36" s="630">
        <v>42518.571428571428</v>
      </c>
      <c r="P36" s="630">
        <v>0</v>
      </c>
      <c r="Q36" s="630">
        <v>85037.14285714287</v>
      </c>
      <c r="R36" s="630">
        <v>0</v>
      </c>
      <c r="S36" s="630">
        <v>0</v>
      </c>
      <c r="T36" s="630">
        <v>0</v>
      </c>
      <c r="U36" s="630">
        <v>0</v>
      </c>
      <c r="V36" s="630">
        <v>0</v>
      </c>
      <c r="W36" s="630">
        <v>0</v>
      </c>
      <c r="X36" s="630"/>
      <c r="Y36" s="630">
        <v>10</v>
      </c>
      <c r="Z36" s="630" t="s">
        <v>105</v>
      </c>
      <c r="AA36" s="632" t="s">
        <v>105</v>
      </c>
    </row>
    <row r="37" spans="1:27" s="584" customFormat="1" ht="25.5" hidden="1">
      <c r="A37" s="583"/>
      <c r="B37" s="745">
        <v>13023</v>
      </c>
      <c r="C37" s="745">
        <v>2330</v>
      </c>
      <c r="D37" s="631"/>
      <c r="E37" s="630"/>
      <c r="F37" s="630"/>
      <c r="G37" s="630" t="s">
        <v>883</v>
      </c>
      <c r="H37" s="630" t="s">
        <v>884</v>
      </c>
      <c r="I37" s="630"/>
      <c r="J37" s="744"/>
      <c r="K37" s="744"/>
      <c r="L37" s="630" t="s">
        <v>885</v>
      </c>
      <c r="M37" s="630">
        <v>3349</v>
      </c>
      <c r="N37" s="630">
        <v>15070.5</v>
      </c>
      <c r="O37" s="630">
        <v>21529.285714285714</v>
      </c>
      <c r="P37" s="630">
        <v>43058.571428571435</v>
      </c>
      <c r="Q37" s="630">
        <v>0</v>
      </c>
      <c r="R37" s="630">
        <v>0</v>
      </c>
      <c r="S37" s="630">
        <v>0</v>
      </c>
      <c r="T37" s="630">
        <v>0</v>
      </c>
      <c r="U37" s="630">
        <v>0</v>
      </c>
      <c r="V37" s="630">
        <v>0</v>
      </c>
      <c r="W37" s="630">
        <v>0</v>
      </c>
      <c r="X37" s="630"/>
      <c r="Y37" s="630">
        <v>10</v>
      </c>
      <c r="Z37" s="630" t="s">
        <v>105</v>
      </c>
      <c r="AA37" s="632" t="s">
        <v>105</v>
      </c>
    </row>
    <row r="38" spans="1:27" s="584" customFormat="1" ht="25.5" hidden="1">
      <c r="A38" s="583"/>
      <c r="B38" s="745">
        <v>13023</v>
      </c>
      <c r="C38" s="745">
        <v>2330</v>
      </c>
      <c r="D38" s="631"/>
      <c r="E38" s="630"/>
      <c r="F38" s="630"/>
      <c r="G38" s="630" t="s">
        <v>883</v>
      </c>
      <c r="H38" s="630" t="s">
        <v>884</v>
      </c>
      <c r="I38" s="630"/>
      <c r="J38" s="744"/>
      <c r="K38" s="744"/>
      <c r="L38" s="630" t="s">
        <v>885</v>
      </c>
      <c r="M38" s="630">
        <v>9.6999999999999993</v>
      </c>
      <c r="N38" s="630">
        <v>43.649999999999991</v>
      </c>
      <c r="O38" s="630">
        <v>62.357142857142847</v>
      </c>
      <c r="P38" s="630">
        <v>0</v>
      </c>
      <c r="Q38" s="630">
        <v>124.71428571428569</v>
      </c>
      <c r="R38" s="630">
        <v>0</v>
      </c>
      <c r="S38" s="630">
        <v>0</v>
      </c>
      <c r="T38" s="630">
        <v>0</v>
      </c>
      <c r="U38" s="630">
        <v>0</v>
      </c>
      <c r="V38" s="630">
        <v>0</v>
      </c>
      <c r="W38" s="630">
        <v>0</v>
      </c>
      <c r="X38" s="630"/>
      <c r="Y38" s="630">
        <v>10</v>
      </c>
      <c r="Z38" s="630" t="s">
        <v>105</v>
      </c>
      <c r="AA38" s="632" t="s">
        <v>105</v>
      </c>
    </row>
    <row r="39" spans="1:27" s="584" customFormat="1" ht="25.5" hidden="1">
      <c r="A39" s="583"/>
      <c r="B39" s="745">
        <v>13023</v>
      </c>
      <c r="C39" s="745">
        <v>2330</v>
      </c>
      <c r="D39" s="631"/>
      <c r="E39" s="630"/>
      <c r="F39" s="630"/>
      <c r="G39" s="630" t="s">
        <v>883</v>
      </c>
      <c r="H39" s="630" t="s">
        <v>884</v>
      </c>
      <c r="I39" s="630"/>
      <c r="J39" s="744"/>
      <c r="K39" s="744"/>
      <c r="L39" s="630" t="s">
        <v>885</v>
      </c>
      <c r="M39" s="630">
        <v>2678</v>
      </c>
      <c r="N39" s="630">
        <v>12051</v>
      </c>
      <c r="O39" s="630">
        <v>17215.714285714286</v>
      </c>
      <c r="P39" s="630">
        <v>34431.428571428572</v>
      </c>
      <c r="Q39" s="630">
        <v>0</v>
      </c>
      <c r="R39" s="630">
        <v>0</v>
      </c>
      <c r="S39" s="630">
        <v>0</v>
      </c>
      <c r="T39" s="630">
        <v>0</v>
      </c>
      <c r="U39" s="630">
        <v>0</v>
      </c>
      <c r="V39" s="630">
        <v>0</v>
      </c>
      <c r="W39" s="630">
        <v>0</v>
      </c>
      <c r="X39" s="630"/>
      <c r="Y39" s="630">
        <v>10</v>
      </c>
      <c r="Z39" s="630" t="s">
        <v>105</v>
      </c>
      <c r="AA39" s="632" t="s">
        <v>105</v>
      </c>
    </row>
    <row r="40" spans="1:27" s="584" customFormat="1" ht="25.5" hidden="1">
      <c r="A40" s="583"/>
      <c r="B40" s="745">
        <v>13023</v>
      </c>
      <c r="C40" s="745">
        <v>2330</v>
      </c>
      <c r="D40" s="631"/>
      <c r="E40" s="630"/>
      <c r="F40" s="630"/>
      <c r="G40" s="630" t="s">
        <v>883</v>
      </c>
      <c r="H40" s="630" t="s">
        <v>884</v>
      </c>
      <c r="I40" s="630"/>
      <c r="J40" s="744"/>
      <c r="K40" s="744"/>
      <c r="L40" s="630" t="s">
        <v>886</v>
      </c>
      <c r="M40" s="630">
        <v>2000</v>
      </c>
      <c r="N40" s="630">
        <v>9000</v>
      </c>
      <c r="O40" s="630">
        <v>12857.142857142857</v>
      </c>
      <c r="P40" s="630">
        <v>25714.285714285717</v>
      </c>
      <c r="Q40" s="630">
        <v>0</v>
      </c>
      <c r="R40" s="630">
        <v>0</v>
      </c>
      <c r="S40" s="630">
        <v>0</v>
      </c>
      <c r="T40" s="630">
        <v>0</v>
      </c>
      <c r="U40" s="630">
        <v>0</v>
      </c>
      <c r="V40" s="630">
        <v>0</v>
      </c>
      <c r="W40" s="630">
        <v>0</v>
      </c>
      <c r="X40" s="630"/>
      <c r="Y40" s="630">
        <v>10</v>
      </c>
      <c r="Z40" s="630" t="s">
        <v>105</v>
      </c>
      <c r="AA40" s="632" t="s">
        <v>105</v>
      </c>
    </row>
    <row r="41" spans="1:27" s="584" customFormat="1" ht="25.5" hidden="1">
      <c r="A41" s="583"/>
      <c r="B41" s="745">
        <v>13023</v>
      </c>
      <c r="C41" s="745">
        <v>2330</v>
      </c>
      <c r="D41" s="631"/>
      <c r="E41" s="630"/>
      <c r="F41" s="630"/>
      <c r="G41" s="630" t="s">
        <v>887</v>
      </c>
      <c r="H41" s="630" t="s">
        <v>884</v>
      </c>
      <c r="I41" s="630"/>
      <c r="J41" s="744"/>
      <c r="K41" s="744"/>
      <c r="L41" s="630" t="s">
        <v>886</v>
      </c>
      <c r="M41" s="630">
        <v>2000</v>
      </c>
      <c r="N41" s="630">
        <v>9000</v>
      </c>
      <c r="O41" s="630">
        <v>12857.142857142857</v>
      </c>
      <c r="P41" s="630">
        <v>25714.285714285717</v>
      </c>
      <c r="Q41" s="630">
        <v>0</v>
      </c>
      <c r="R41" s="630">
        <v>0</v>
      </c>
      <c r="S41" s="630">
        <v>0</v>
      </c>
      <c r="T41" s="630">
        <v>0</v>
      </c>
      <c r="U41" s="630">
        <v>0</v>
      </c>
      <c r="V41" s="630">
        <v>0</v>
      </c>
      <c r="W41" s="630">
        <v>0</v>
      </c>
      <c r="X41" s="630"/>
      <c r="Y41" s="630">
        <v>10</v>
      </c>
      <c r="Z41" s="630" t="s">
        <v>105</v>
      </c>
      <c r="AA41" s="632" t="s">
        <v>105</v>
      </c>
    </row>
    <row r="42" spans="1:27" s="564" customFormat="1" hidden="1">
      <c r="A42" s="586" t="s">
        <v>268</v>
      </c>
      <c r="B42" s="587"/>
      <c r="C42" s="587"/>
      <c r="D42" s="587"/>
      <c r="E42" s="587"/>
      <c r="F42" s="587"/>
      <c r="G42" s="587"/>
      <c r="H42" s="587"/>
      <c r="I42" s="587"/>
      <c r="J42" s="587"/>
      <c r="K42" s="587"/>
      <c r="L42" s="588"/>
      <c r="M42" s="588">
        <f>SUM(M28:M41)</f>
        <v>60310.7</v>
      </c>
      <c r="N42" s="588">
        <f>SUM(N28:N41)</f>
        <v>271398.15000000002</v>
      </c>
      <c r="O42" s="588">
        <f>SUM(O28:O41)</f>
        <v>387711.64285714284</v>
      </c>
      <c r="P42" s="588">
        <f>SUM(P28:P41)</f>
        <v>690261.42857142852</v>
      </c>
      <c r="Q42" s="588">
        <f>SUM(Q28:Q41)</f>
        <v>85161.857142857159</v>
      </c>
      <c r="R42" s="588">
        <f>SUM(R28:R41)</f>
        <v>0</v>
      </c>
      <c r="S42" s="588">
        <f>SUM(S28:S41)</f>
        <v>0</v>
      </c>
      <c r="T42" s="588">
        <f>SUM(T28:T41)</f>
        <v>0</v>
      </c>
      <c r="U42" s="588">
        <f>SUM(U28:U41)</f>
        <v>0</v>
      </c>
      <c r="V42" s="588">
        <f>SUM(V28:V41)</f>
        <v>0</v>
      </c>
      <c r="W42" s="588">
        <f>SUM(W28:W41)</f>
        <v>0</v>
      </c>
      <c r="X42" s="588"/>
      <c r="Y42" s="589"/>
      <c r="Z42" s="589"/>
      <c r="AA42" s="590"/>
    </row>
    <row r="43" spans="1:27" s="564" customFormat="1">
      <c r="A43" s="586" t="s">
        <v>275</v>
      </c>
      <c r="B43" s="587"/>
      <c r="C43" s="587"/>
      <c r="D43" s="587"/>
      <c r="E43" s="587"/>
      <c r="F43" s="587"/>
      <c r="G43" s="587"/>
      <c r="H43" s="587"/>
      <c r="I43" s="587"/>
      <c r="J43" s="587"/>
      <c r="K43" s="587"/>
      <c r="L43" s="588"/>
      <c r="M43" s="588">
        <f>SUMIF($AA$28:$AA$41,"industrie",M28:M41)</f>
        <v>0</v>
      </c>
      <c r="N43" s="588">
        <f>SUMIF($AA$28:$AA$41,"industrie",N28:N41)</f>
        <v>0</v>
      </c>
      <c r="O43" s="588">
        <f>SUMIF($AA$28:$AA$41,"industrie",O28:O41)</f>
        <v>0</v>
      </c>
      <c r="P43" s="588">
        <f>SUMIF($AA$28:$AA$41,"industrie",P28:P41)</f>
        <v>0</v>
      </c>
      <c r="Q43" s="588">
        <f>SUMIF($AA$28:$AA$41,"industrie",Q28:Q41)</f>
        <v>0</v>
      </c>
      <c r="R43" s="588">
        <f>SUMIF($AA$28:$AA$41,"industrie",R28:R41)</f>
        <v>0</v>
      </c>
      <c r="S43" s="588">
        <f>SUMIF($AA$28:$AA$41,"industrie",S28:S41)</f>
        <v>0</v>
      </c>
      <c r="T43" s="588">
        <f>SUMIF($AA$28:$AA$41,"industrie",T28:T41)</f>
        <v>0</v>
      </c>
      <c r="U43" s="588">
        <f>SUMIF($AA$28:$AA$41,"industrie",U28:U41)</f>
        <v>0</v>
      </c>
      <c r="V43" s="588">
        <f>SUMIF($AA$28:$AA$41,"industrie",V28:V41)</f>
        <v>0</v>
      </c>
      <c r="W43" s="588">
        <f>SUMIF($AA$28:$AA$41,"industrie",W28:W41)</f>
        <v>0</v>
      </c>
      <c r="X43" s="588"/>
      <c r="Y43" s="589"/>
      <c r="Z43" s="589"/>
      <c r="AA43" s="590"/>
    </row>
    <row r="44" spans="1:27" s="564" customFormat="1">
      <c r="A44" s="586" t="s">
        <v>276</v>
      </c>
      <c r="B44" s="587"/>
      <c r="C44" s="587"/>
      <c r="D44" s="587"/>
      <c r="E44" s="587"/>
      <c r="F44" s="587"/>
      <c r="G44" s="587"/>
      <c r="H44" s="587"/>
      <c r="I44" s="587"/>
      <c r="J44" s="587"/>
      <c r="K44" s="587"/>
      <c r="L44" s="588"/>
      <c r="M44" s="588">
        <f ca="1">SUMIF($AA$28:AD41,"tertiair",M28:M41)</f>
        <v>0</v>
      </c>
      <c r="N44" s="588">
        <f ca="1">SUMIF($AA$28:AE41,"tertiair",N28:N41)</f>
        <v>0</v>
      </c>
      <c r="O44" s="588">
        <f ca="1">SUMIF($AA$28:AF41,"tertiair",O28:O41)</f>
        <v>0</v>
      </c>
      <c r="P44" s="588">
        <f ca="1">SUMIF($AA$28:AG41,"tertiair",P28:P41)</f>
        <v>0</v>
      </c>
      <c r="Q44" s="588">
        <f ca="1">SUMIF($AA$28:AH41,"tertiair",Q28:Q41)</f>
        <v>0</v>
      </c>
      <c r="R44" s="588">
        <f ca="1">SUMIF($AA$28:AI41,"tertiair",R28:R41)</f>
        <v>0</v>
      </c>
      <c r="S44" s="588">
        <f ca="1">SUMIF($AA$28:AJ41,"tertiair",S28:S41)</f>
        <v>0</v>
      </c>
      <c r="T44" s="588">
        <f ca="1">SUMIF($AA$28:AK41,"tertiair",T28:T41)</f>
        <v>0</v>
      </c>
      <c r="U44" s="588">
        <f ca="1">SUMIF($AA$28:AL41,"tertiair",U28:U41)</f>
        <v>0</v>
      </c>
      <c r="V44" s="588">
        <f ca="1">SUMIF($AA$28:AM41,"tertiair",V28:V41)</f>
        <v>0</v>
      </c>
      <c r="W44" s="588">
        <f ca="1">SUMIF($AA$28:AN41,"tertiair",W28:W41)</f>
        <v>0</v>
      </c>
      <c r="X44" s="588"/>
      <c r="Y44" s="589"/>
      <c r="Z44" s="589"/>
      <c r="AA44" s="590"/>
    </row>
    <row r="45" spans="1:27" s="564" customFormat="1" ht="15.75" thickBot="1">
      <c r="A45" s="591" t="s">
        <v>277</v>
      </c>
      <c r="B45" s="592"/>
      <c r="C45" s="592"/>
      <c r="D45" s="592"/>
      <c r="E45" s="592"/>
      <c r="F45" s="592"/>
      <c r="G45" s="592"/>
      <c r="H45" s="592"/>
      <c r="I45" s="592"/>
      <c r="J45" s="592"/>
      <c r="K45" s="592"/>
      <c r="L45" s="593"/>
      <c r="M45" s="593">
        <f>SUMIF($AA$28:$AA$41,"landbouw",M28:M41)</f>
        <v>60310.7</v>
      </c>
      <c r="N45" s="593">
        <f>SUMIF($AA$28:$AA$41,"landbouw",N28:N41)</f>
        <v>271398.15000000002</v>
      </c>
      <c r="O45" s="593">
        <f>SUMIF($AA$28:$AA$41,"landbouw",O28:O41)</f>
        <v>387711.64285714284</v>
      </c>
      <c r="P45" s="593">
        <f>SUMIF($AA$28:$AA$41,"landbouw",P28:P41)</f>
        <v>690261.42857142852</v>
      </c>
      <c r="Q45" s="593">
        <f>SUMIF($AA$28:$AA$41,"landbouw",Q28:Q41)</f>
        <v>85161.857142857159</v>
      </c>
      <c r="R45" s="593">
        <f>SUMIF($AA$28:$AA$41,"landbouw",R28:R41)</f>
        <v>0</v>
      </c>
      <c r="S45" s="593">
        <f>SUMIF($AA$28:$AA$41,"landbouw",S28:S41)</f>
        <v>0</v>
      </c>
      <c r="T45" s="593">
        <f>SUMIF($AA$28:$AA$41,"landbouw",T28:T41)</f>
        <v>0</v>
      </c>
      <c r="U45" s="593">
        <f>SUMIF($AA$28:$AA$41,"landbouw",U28:U41)</f>
        <v>0</v>
      </c>
      <c r="V45" s="593">
        <f>SUMIF($AA$28:$AA$41,"landbouw",V28:V41)</f>
        <v>0</v>
      </c>
      <c r="W45" s="593">
        <f>SUMIF($AA$28:$AA$41,"landbouw",W28:W41)</f>
        <v>0</v>
      </c>
      <c r="X45" s="593"/>
      <c r="Y45" s="594"/>
      <c r="Z45" s="594"/>
      <c r="AA45" s="595"/>
    </row>
    <row r="46" spans="1:27" s="525" customFormat="1" ht="15.75" thickBot="1">
      <c r="A46" s="596"/>
      <c r="B46" s="597"/>
      <c r="C46" s="597"/>
      <c r="D46" s="597"/>
      <c r="E46" s="597"/>
      <c r="F46" s="597"/>
      <c r="G46" s="597"/>
      <c r="H46" s="597"/>
      <c r="I46" s="597"/>
      <c r="J46" s="597"/>
      <c r="K46" s="597"/>
      <c r="L46" s="580"/>
      <c r="M46" s="580"/>
      <c r="N46" s="580"/>
      <c r="O46" s="581"/>
      <c r="P46" s="581"/>
    </row>
    <row r="47" spans="1:27" s="525" customFormat="1" ht="45">
      <c r="A47" s="598" t="s">
        <v>269</v>
      </c>
      <c r="B47" s="627" t="s">
        <v>89</v>
      </c>
      <c r="C47" s="627" t="s">
        <v>90</v>
      </c>
      <c r="D47" s="627"/>
      <c r="E47" s="627"/>
      <c r="F47" s="627"/>
      <c r="G47" s="627" t="s">
        <v>91</v>
      </c>
      <c r="H47" s="627" t="s">
        <v>92</v>
      </c>
      <c r="I47" s="627"/>
      <c r="J47" s="627"/>
      <c r="K47" s="627"/>
      <c r="L47" s="627" t="s">
        <v>93</v>
      </c>
      <c r="M47" s="628" t="s">
        <v>286</v>
      </c>
      <c r="N47" s="628" t="s">
        <v>94</v>
      </c>
      <c r="O47" s="628" t="s">
        <v>95</v>
      </c>
      <c r="P47" s="628" t="s">
        <v>509</v>
      </c>
      <c r="Q47" s="628" t="s">
        <v>96</v>
      </c>
      <c r="R47" s="628" t="s">
        <v>97</v>
      </c>
      <c r="S47" s="628" t="s">
        <v>98</v>
      </c>
      <c r="T47" s="628" t="s">
        <v>99</v>
      </c>
      <c r="U47" s="628" t="s">
        <v>100</v>
      </c>
      <c r="V47" s="628" t="s">
        <v>101</v>
      </c>
      <c r="W47" s="627" t="s">
        <v>102</v>
      </c>
      <c r="X47" s="627" t="s">
        <v>882</v>
      </c>
      <c r="Y47" s="627" t="s">
        <v>287</v>
      </c>
      <c r="Z47" s="627" t="s">
        <v>103</v>
      </c>
      <c r="AA47" s="629" t="s">
        <v>288</v>
      </c>
    </row>
    <row r="48" spans="1:27" s="599" customFormat="1" ht="63.75" hidden="1">
      <c r="A48" s="585"/>
      <c r="B48" s="745">
        <v>13023</v>
      </c>
      <c r="C48" s="745">
        <v>2330</v>
      </c>
      <c r="D48" s="633"/>
      <c r="E48" s="633"/>
      <c r="F48" s="633"/>
      <c r="G48" s="633" t="s">
        <v>888</v>
      </c>
      <c r="H48" s="633" t="s">
        <v>889</v>
      </c>
      <c r="I48" s="633"/>
      <c r="J48" s="744"/>
      <c r="K48" s="744"/>
      <c r="L48" s="633" t="s">
        <v>885</v>
      </c>
      <c r="M48" s="633">
        <v>366</v>
      </c>
      <c r="N48" s="633">
        <v>1647</v>
      </c>
      <c r="O48" s="633">
        <v>0</v>
      </c>
      <c r="P48" s="633">
        <v>0</v>
      </c>
      <c r="Q48" s="633">
        <v>0</v>
      </c>
      <c r="R48" s="633">
        <v>4705.7142857142862</v>
      </c>
      <c r="S48" s="633">
        <v>0</v>
      </c>
      <c r="T48" s="633">
        <v>0</v>
      </c>
      <c r="U48" s="633">
        <v>0</v>
      </c>
      <c r="V48" s="633">
        <v>0</v>
      </c>
      <c r="W48" s="633">
        <v>0</v>
      </c>
      <c r="X48" s="633"/>
      <c r="Y48" s="633">
        <v>1600</v>
      </c>
      <c r="Z48" s="633" t="s">
        <v>49</v>
      </c>
      <c r="AA48" s="634" t="s">
        <v>149</v>
      </c>
    </row>
    <row r="49" spans="1:28" s="564" customFormat="1" hidden="1">
      <c r="A49" s="586" t="s">
        <v>268</v>
      </c>
      <c r="B49" s="587"/>
      <c r="C49" s="587"/>
      <c r="D49" s="587"/>
      <c r="E49" s="587"/>
      <c r="F49" s="587"/>
      <c r="G49" s="587"/>
      <c r="H49" s="587"/>
      <c r="I49" s="587"/>
      <c r="J49" s="587"/>
      <c r="K49" s="587"/>
      <c r="L49" s="588"/>
      <c r="M49" s="588">
        <f>SUM(M48:M48)</f>
        <v>366</v>
      </c>
      <c r="N49" s="588">
        <f>SUM(N48:N48)</f>
        <v>1647</v>
      </c>
      <c r="O49" s="588">
        <f>SUM(O48:O48)</f>
        <v>0</v>
      </c>
      <c r="P49" s="588">
        <f>SUM(P48:P48)</f>
        <v>0</v>
      </c>
      <c r="Q49" s="588">
        <f>SUM(Q48:Q48)</f>
        <v>0</v>
      </c>
      <c r="R49" s="588">
        <f>SUM(R48:R48)</f>
        <v>4705.7142857142862</v>
      </c>
      <c r="S49" s="588">
        <f>SUM(S48:S48)</f>
        <v>0</v>
      </c>
      <c r="T49" s="588">
        <f>SUM(T48:T48)</f>
        <v>0</v>
      </c>
      <c r="U49" s="588">
        <f>SUM(U48:U48)</f>
        <v>0</v>
      </c>
      <c r="V49" s="588">
        <f>SUM(V48:V48)</f>
        <v>0</v>
      </c>
      <c r="W49" s="588">
        <f>SUM(W48:W48)</f>
        <v>0</v>
      </c>
      <c r="X49" s="588"/>
      <c r="Y49" s="589"/>
      <c r="Z49" s="589"/>
      <c r="AA49" s="590"/>
    </row>
    <row r="50" spans="1:28" s="564" customFormat="1">
      <c r="A50" s="586" t="s">
        <v>275</v>
      </c>
      <c r="B50" s="587"/>
      <c r="C50" s="587"/>
      <c r="D50" s="587"/>
      <c r="E50" s="587"/>
      <c r="F50" s="587"/>
      <c r="G50" s="587"/>
      <c r="H50" s="587"/>
      <c r="I50" s="587"/>
      <c r="J50" s="587"/>
      <c r="K50" s="587"/>
      <c r="L50" s="588"/>
      <c r="M50" s="588">
        <f>SUMIF($AA$48:$AA$48,"industrie",M48:M48)</f>
        <v>0</v>
      </c>
      <c r="N50" s="588">
        <f>SUMIF($AA$48:$AA$48,"industrie",N48:N48)</f>
        <v>0</v>
      </c>
      <c r="O50" s="588">
        <f>SUMIF($AA$48:$AA$48,"industrie",O48:O48)</f>
        <v>0</v>
      </c>
      <c r="P50" s="588">
        <f>SUMIF($AA$48:$AA$48,"industrie",P48:P48)</f>
        <v>0</v>
      </c>
      <c r="Q50" s="588">
        <f>SUMIF($AA$48:$AA$48,"industrie",Q48:Q48)</f>
        <v>0</v>
      </c>
      <c r="R50" s="588">
        <f>SUMIF($AA$48:$AA$48,"industrie",R48:R48)</f>
        <v>0</v>
      </c>
      <c r="S50" s="588">
        <f>SUMIF($AA$48:$AA$48,"industrie",S48:S48)</f>
        <v>0</v>
      </c>
      <c r="T50" s="588">
        <f>SUMIF($AA$48:$AA$48,"industrie",T48:T48)</f>
        <v>0</v>
      </c>
      <c r="U50" s="588">
        <f>SUMIF($AA$48:$AA$48,"industrie",U48:U48)</f>
        <v>0</v>
      </c>
      <c r="V50" s="588">
        <f>SUMIF($AA$48:$AA$48,"industrie",V48:V48)</f>
        <v>0</v>
      </c>
      <c r="W50" s="588">
        <f>SUMIF($AA$48:$AA$48,"industrie",W48:W48)</f>
        <v>0</v>
      </c>
      <c r="X50" s="588"/>
      <c r="Y50" s="589"/>
      <c r="Z50" s="589"/>
      <c r="AA50" s="590"/>
    </row>
    <row r="51" spans="1:28" s="564" customFormat="1">
      <c r="A51" s="586" t="s">
        <v>276</v>
      </c>
      <c r="B51" s="587"/>
      <c r="C51" s="587"/>
      <c r="D51" s="587"/>
      <c r="E51" s="587"/>
      <c r="F51" s="587"/>
      <c r="G51" s="587"/>
      <c r="H51" s="587"/>
      <c r="I51" s="587"/>
      <c r="J51" s="587"/>
      <c r="K51" s="587"/>
      <c r="L51" s="588"/>
      <c r="M51" s="588">
        <f>SUMIF($AA$48:$AA$49,"tertiair",M48:M49)</f>
        <v>366</v>
      </c>
      <c r="N51" s="588">
        <f>SUMIF($AA$48:$AA$49,"tertiair",N48:N49)</f>
        <v>1647</v>
      </c>
      <c r="O51" s="588">
        <f>SUMIF($AA$48:$AA$49,"tertiair",O48:O49)</f>
        <v>0</v>
      </c>
      <c r="P51" s="588">
        <f>SUMIF($AA$48:$AA$49,"tertiair",P48:P49)</f>
        <v>0</v>
      </c>
      <c r="Q51" s="588">
        <f>SUMIF($AA$48:$AA$49,"tertiair",Q48:Q49)</f>
        <v>0</v>
      </c>
      <c r="R51" s="588">
        <f>SUMIF($AA$48:$AA$49,"tertiair",R48:R49)</f>
        <v>4705.7142857142862</v>
      </c>
      <c r="S51" s="588">
        <f>SUMIF($AA$48:$AA$49,"tertiair",S48:S49)</f>
        <v>0</v>
      </c>
      <c r="T51" s="588">
        <f>SUMIF($AA$48:$AA$49,"tertiair",T48:T49)</f>
        <v>0</v>
      </c>
      <c r="U51" s="588">
        <f>SUMIF($AA$48:$AA$49,"tertiair",U48:U49)</f>
        <v>0</v>
      </c>
      <c r="V51" s="588">
        <f>SUMIF($AA$48:$AA$49,"tertiair",V48:V49)</f>
        <v>0</v>
      </c>
      <c r="W51" s="588">
        <f>SUMIF($AA$48:$AA$49,"tertiair",W48:W49)</f>
        <v>0</v>
      </c>
      <c r="X51" s="588"/>
      <c r="Y51" s="589"/>
      <c r="Z51" s="589"/>
      <c r="AA51" s="590"/>
    </row>
    <row r="52" spans="1:28" s="564" customFormat="1" ht="15.75" thickBot="1">
      <c r="A52" s="591" t="s">
        <v>277</v>
      </c>
      <c r="B52" s="592"/>
      <c r="C52" s="592"/>
      <c r="D52" s="592"/>
      <c r="E52" s="592"/>
      <c r="F52" s="592"/>
      <c r="G52" s="592"/>
      <c r="H52" s="592"/>
      <c r="I52" s="592"/>
      <c r="J52" s="592"/>
      <c r="K52" s="592"/>
      <c r="L52" s="593"/>
      <c r="M52" s="593">
        <f>SUMIF($AA$48:$AA$50,"landbouw",M48:M50)</f>
        <v>0</v>
      </c>
      <c r="N52" s="593">
        <f>SUMIF($AA$48:$AA$50,"landbouw",N48:N50)</f>
        <v>0</v>
      </c>
      <c r="O52" s="593">
        <f>SUMIF($AA$48:$AA$50,"landbouw",O48:O50)</f>
        <v>0</v>
      </c>
      <c r="P52" s="593">
        <f>SUMIF($AA$48:$AA$50,"landbouw",P48:P50)</f>
        <v>0</v>
      </c>
      <c r="Q52" s="593">
        <f>SUMIF($AA$48:$AA$50,"landbouw",Q48:Q50)</f>
        <v>0</v>
      </c>
      <c r="R52" s="593">
        <f>SUMIF($AA$48:$AA$50,"landbouw",R48:R50)</f>
        <v>0</v>
      </c>
      <c r="S52" s="593">
        <f>SUMIF($AA$48:$AA$50,"landbouw",S48:S50)</f>
        <v>0</v>
      </c>
      <c r="T52" s="593">
        <f>SUMIF($AA$48:$AA$50,"landbouw",T48:T50)</f>
        <v>0</v>
      </c>
      <c r="U52" s="593">
        <f>SUMIF($AA$48:$AA$50,"landbouw",U48:U50)</f>
        <v>0</v>
      </c>
      <c r="V52" s="593">
        <f>SUMIF($AA$48:$AA$50,"landbouw",V48:V50)</f>
        <v>0</v>
      </c>
      <c r="W52" s="593">
        <f>SUMIF($AA$48:$AA$50,"landbouw",W48:W50)</f>
        <v>0</v>
      </c>
      <c r="X52" s="593"/>
      <c r="Y52" s="594"/>
      <c r="Z52" s="594"/>
      <c r="AA52" s="595"/>
    </row>
    <row r="53" spans="1:28" s="600" customFormat="1">
      <c r="A53" s="596"/>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row>
    <row r="54" spans="1:28" s="600" customFormat="1" ht="15.75" thickBot="1">
      <c r="A54" s="596"/>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row>
    <row r="55" spans="1:28">
      <c r="A55" s="601" t="s">
        <v>270</v>
      </c>
      <c r="B55" s="602"/>
      <c r="C55" s="602"/>
      <c r="D55" s="602"/>
      <c r="E55" s="602"/>
      <c r="F55" s="602"/>
      <c r="G55" s="602"/>
      <c r="H55" s="602"/>
      <c r="I55" s="603"/>
      <c r="J55" s="604"/>
      <c r="K55" s="604"/>
      <c r="L55" s="605"/>
      <c r="M55" s="605"/>
      <c r="N55" s="605"/>
      <c r="O55" s="605"/>
      <c r="P55" s="605"/>
    </row>
    <row r="56" spans="1:28">
      <c r="A56" s="607"/>
      <c r="B56" s="597"/>
      <c r="C56" s="597"/>
      <c r="D56" s="597"/>
      <c r="E56" s="597"/>
      <c r="F56" s="597"/>
      <c r="G56" s="597"/>
      <c r="H56" s="597"/>
      <c r="I56" s="608"/>
      <c r="J56" s="597"/>
      <c r="K56" s="597"/>
      <c r="L56" s="605"/>
      <c r="M56" s="605"/>
      <c r="N56" s="605"/>
      <c r="O56" s="605"/>
      <c r="P56" s="605"/>
    </row>
    <row r="57" spans="1:28">
      <c r="A57" s="609"/>
      <c r="B57" s="610" t="s">
        <v>271</v>
      </c>
      <c r="C57" s="610" t="s">
        <v>272</v>
      </c>
      <c r="D57" s="610"/>
      <c r="E57" s="610"/>
      <c r="F57" s="610"/>
      <c r="G57" s="610"/>
      <c r="H57" s="610"/>
      <c r="I57" s="611"/>
      <c r="J57" s="610"/>
      <c r="K57" s="610"/>
      <c r="L57" s="610"/>
      <c r="M57" s="610"/>
      <c r="N57" s="610"/>
      <c r="O57" s="610"/>
      <c r="P57" s="605"/>
    </row>
    <row r="58" spans="1:28">
      <c r="A58" s="607" t="s">
        <v>268</v>
      </c>
      <c r="B58" s="612">
        <f>IF(ISERROR(O42/(O42+N42)),0,O42/(O42+N42))</f>
        <v>0.58823529411764708</v>
      </c>
      <c r="C58" s="613">
        <f>IF(ISERROR(N42/(O42+N42)),0,N42/(N42+O42))</f>
        <v>0.41176470588235298</v>
      </c>
      <c r="D58" s="580"/>
      <c r="E58" s="580"/>
      <c r="F58" s="580"/>
      <c r="G58" s="580"/>
      <c r="H58" s="580"/>
      <c r="I58" s="614"/>
      <c r="J58" s="580"/>
      <c r="K58" s="580"/>
      <c r="L58" s="615"/>
      <c r="M58" s="615"/>
      <c r="N58" s="615"/>
      <c r="O58" s="615"/>
      <c r="P58" s="605"/>
    </row>
    <row r="59" spans="1:28">
      <c r="A59" s="607"/>
      <c r="B59" s="616"/>
      <c r="C59" s="616"/>
      <c r="D59" s="616"/>
      <c r="E59" s="616"/>
      <c r="F59" s="616"/>
      <c r="G59" s="616"/>
      <c r="H59" s="616"/>
      <c r="I59" s="617"/>
      <c r="J59" s="616"/>
      <c r="K59" s="616"/>
      <c r="L59" s="618"/>
      <c r="M59" s="618"/>
      <c r="N59" s="618"/>
      <c r="O59" s="618"/>
      <c r="P59" s="605"/>
    </row>
    <row r="60" spans="1:28" ht="30">
      <c r="A60" s="619"/>
      <c r="B60" s="620" t="s">
        <v>509</v>
      </c>
      <c r="C60" s="620" t="s">
        <v>96</v>
      </c>
      <c r="D60" s="620" t="s">
        <v>97</v>
      </c>
      <c r="E60" s="620" t="s">
        <v>98</v>
      </c>
      <c r="F60" s="620" t="s">
        <v>99</v>
      </c>
      <c r="G60" s="620" t="s">
        <v>100</v>
      </c>
      <c r="H60" s="620" t="s">
        <v>101</v>
      </c>
      <c r="I60" s="621" t="s">
        <v>102</v>
      </c>
      <c r="J60" s="610"/>
      <c r="K60" s="610"/>
      <c r="L60" s="618"/>
      <c r="M60" s="618"/>
      <c r="N60" s="618"/>
      <c r="O60" s="605"/>
      <c r="P60" s="605"/>
    </row>
    <row r="61" spans="1:28">
      <c r="A61" s="609" t="s">
        <v>273</v>
      </c>
      <c r="B61" s="622">
        <f t="shared" ref="B61:I61" si="2">$C$58*P42</f>
        <v>284225.29411764705</v>
      </c>
      <c r="C61" s="622">
        <f t="shared" si="2"/>
        <v>35066.647058823539</v>
      </c>
      <c r="D61" s="622">
        <f t="shared" si="2"/>
        <v>0</v>
      </c>
      <c r="E61" s="622">
        <f t="shared" si="2"/>
        <v>0</v>
      </c>
      <c r="F61" s="622">
        <f t="shared" si="2"/>
        <v>0</v>
      </c>
      <c r="G61" s="622">
        <f t="shared" si="2"/>
        <v>0</v>
      </c>
      <c r="H61" s="622">
        <f t="shared" si="2"/>
        <v>0</v>
      </c>
      <c r="I61" s="623">
        <f t="shared" si="2"/>
        <v>0</v>
      </c>
      <c r="J61" s="580"/>
      <c r="K61" s="580"/>
      <c r="L61" s="618"/>
      <c r="M61" s="618"/>
      <c r="N61" s="618"/>
      <c r="O61" s="605"/>
      <c r="P61" s="605"/>
    </row>
    <row r="62" spans="1:28" ht="15.75" thickBot="1">
      <c r="A62" s="624" t="s">
        <v>274</v>
      </c>
      <c r="B62" s="625">
        <f t="shared" ref="B62:I62" si="3">$B$58*P42</f>
        <v>406036.13445378147</v>
      </c>
      <c r="C62" s="625">
        <f t="shared" si="3"/>
        <v>50095.210084033628</v>
      </c>
      <c r="D62" s="625">
        <f t="shared" si="3"/>
        <v>0</v>
      </c>
      <c r="E62" s="625">
        <f t="shared" si="3"/>
        <v>0</v>
      </c>
      <c r="F62" s="625">
        <f t="shared" si="3"/>
        <v>0</v>
      </c>
      <c r="G62" s="625">
        <f t="shared" si="3"/>
        <v>0</v>
      </c>
      <c r="H62" s="625">
        <f t="shared" si="3"/>
        <v>0</v>
      </c>
      <c r="I62" s="626">
        <f t="shared" si="3"/>
        <v>0</v>
      </c>
      <c r="J62" s="580"/>
      <c r="K62" s="580"/>
      <c r="L62" s="618"/>
      <c r="M62" s="618"/>
      <c r="N62" s="618"/>
      <c r="O62" s="605"/>
      <c r="P62" s="605"/>
    </row>
    <row r="63" spans="1:28">
      <c r="J63" s="560"/>
      <c r="K63" s="560"/>
      <c r="L63" s="560"/>
      <c r="M63" s="560"/>
      <c r="N63" s="560"/>
    </row>
    <row r="64" spans="1:28">
      <c r="J64" s="560"/>
      <c r="K64" s="560"/>
      <c r="L64" s="560"/>
      <c r="M64" s="560"/>
      <c r="N64"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14709.636738000001</v>
      </c>
      <c r="D10" s="641">
        <f ca="1">tertiair!C16</f>
        <v>0</v>
      </c>
      <c r="E10" s="641">
        <f ca="1">tertiair!D16</f>
        <v>18267.515929410001</v>
      </c>
      <c r="F10" s="641">
        <f>tertiair!E16</f>
        <v>43.493562539371986</v>
      </c>
      <c r="G10" s="641">
        <f ca="1">tertiair!F16</f>
        <v>3699.1588044205728</v>
      </c>
      <c r="H10" s="641">
        <f>tertiair!G16</f>
        <v>0</v>
      </c>
      <c r="I10" s="641">
        <f>tertiair!H16</f>
        <v>0</v>
      </c>
      <c r="J10" s="641">
        <f>tertiair!I16</f>
        <v>0</v>
      </c>
      <c r="K10" s="641">
        <f>tertiair!J16</f>
        <v>3.6055270902812527E-2</v>
      </c>
      <c r="L10" s="641">
        <f>tertiair!K16</f>
        <v>0</v>
      </c>
      <c r="M10" s="641">
        <f ca="1">tertiair!L16</f>
        <v>0</v>
      </c>
      <c r="N10" s="641">
        <f>tertiair!M16</f>
        <v>0</v>
      </c>
      <c r="O10" s="641">
        <f ca="1">tertiair!N16</f>
        <v>0</v>
      </c>
      <c r="P10" s="641">
        <f>tertiair!O16</f>
        <v>14.691782297523464</v>
      </c>
      <c r="Q10" s="642">
        <f>tertiair!P16</f>
        <v>0</v>
      </c>
      <c r="R10" s="644">
        <f ca="1">SUM(C10:Q10)</f>
        <v>36734.532871938369</v>
      </c>
      <c r="S10" s="67"/>
    </row>
    <row r="11" spans="1:19" s="440" customFormat="1">
      <c r="A11" s="761" t="s">
        <v>213</v>
      </c>
      <c r="B11" s="766"/>
      <c r="C11" s="641">
        <f>huishoudens!B8</f>
        <v>13982.705627618274</v>
      </c>
      <c r="D11" s="641">
        <f>huishoudens!C8</f>
        <v>0</v>
      </c>
      <c r="E11" s="641">
        <f>huishoudens!D8</f>
        <v>37637.144617819999</v>
      </c>
      <c r="F11" s="641">
        <f>huishoudens!E8</f>
        <v>683.10140028269916</v>
      </c>
      <c r="G11" s="641">
        <f>huishoudens!F8</f>
        <v>13145.806997073374</v>
      </c>
      <c r="H11" s="641">
        <f>huishoudens!G8</f>
        <v>0</v>
      </c>
      <c r="I11" s="641">
        <f>huishoudens!H8</f>
        <v>0</v>
      </c>
      <c r="J11" s="641">
        <f>huishoudens!I8</f>
        <v>0</v>
      </c>
      <c r="K11" s="641">
        <f>huishoudens!J8</f>
        <v>67.268493597444561</v>
      </c>
      <c r="L11" s="641">
        <f>huishoudens!K8</f>
        <v>0</v>
      </c>
      <c r="M11" s="641">
        <f>huishoudens!L8</f>
        <v>0</v>
      </c>
      <c r="N11" s="641">
        <f>huishoudens!M8</f>
        <v>0</v>
      </c>
      <c r="O11" s="641">
        <f>huishoudens!N8</f>
        <v>4059.1548758857953</v>
      </c>
      <c r="P11" s="641">
        <f>huishoudens!O8</f>
        <v>142.84499179586629</v>
      </c>
      <c r="Q11" s="642">
        <f>huishoudens!P8</f>
        <v>221.21314546138547</v>
      </c>
      <c r="R11" s="644">
        <f>SUM(C11:Q11)</f>
        <v>69939.240149534831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3491.8089500000001</v>
      </c>
      <c r="D13" s="641">
        <f>industrie!C18</f>
        <v>0</v>
      </c>
      <c r="E13" s="641">
        <f>industrie!D18</f>
        <v>2605.3802908319999</v>
      </c>
      <c r="F13" s="641">
        <f>industrie!E18</f>
        <v>11.645284992088682</v>
      </c>
      <c r="G13" s="641">
        <f>industrie!F18</f>
        <v>905.44166832910798</v>
      </c>
      <c r="H13" s="641">
        <f>industrie!G18</f>
        <v>0</v>
      </c>
      <c r="I13" s="641">
        <f>industrie!H18</f>
        <v>0</v>
      </c>
      <c r="J13" s="641">
        <f>industrie!I18</f>
        <v>0</v>
      </c>
      <c r="K13" s="641">
        <f>industrie!J18</f>
        <v>0.70893252252743255</v>
      </c>
      <c r="L13" s="641">
        <f>industrie!K18</f>
        <v>0</v>
      </c>
      <c r="M13" s="641">
        <f>industrie!L18</f>
        <v>0</v>
      </c>
      <c r="N13" s="641">
        <f>industrie!M18</f>
        <v>0</v>
      </c>
      <c r="O13" s="641">
        <f>industrie!N18</f>
        <v>161.70858749204598</v>
      </c>
      <c r="P13" s="641">
        <f>industrie!O18</f>
        <v>0</v>
      </c>
      <c r="Q13" s="642">
        <f>industrie!P18</f>
        <v>0</v>
      </c>
      <c r="R13" s="644">
        <f>SUM(C13:Q13)</f>
        <v>7176.6937141677699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32184.151315618274</v>
      </c>
      <c r="D16" s="677">
        <f t="shared" ref="D16:R16" ca="1" si="0">SUM(D9:D15)</f>
        <v>0</v>
      </c>
      <c r="E16" s="677">
        <f t="shared" ca="1" si="0"/>
        <v>58510.040838061999</v>
      </c>
      <c r="F16" s="677">
        <f t="shared" si="0"/>
        <v>738.24024781415983</v>
      </c>
      <c r="G16" s="677">
        <f t="shared" ca="1" si="0"/>
        <v>17750.407469823058</v>
      </c>
      <c r="H16" s="677">
        <f t="shared" si="0"/>
        <v>0</v>
      </c>
      <c r="I16" s="677">
        <f t="shared" si="0"/>
        <v>0</v>
      </c>
      <c r="J16" s="677">
        <f t="shared" si="0"/>
        <v>0</v>
      </c>
      <c r="K16" s="677">
        <f t="shared" si="0"/>
        <v>68.013481390874801</v>
      </c>
      <c r="L16" s="677">
        <f t="shared" si="0"/>
        <v>0</v>
      </c>
      <c r="M16" s="677">
        <f t="shared" ca="1" si="0"/>
        <v>0</v>
      </c>
      <c r="N16" s="677">
        <f t="shared" si="0"/>
        <v>0</v>
      </c>
      <c r="O16" s="677">
        <f t="shared" ca="1" si="0"/>
        <v>4220.8634633778411</v>
      </c>
      <c r="P16" s="677">
        <f t="shared" si="0"/>
        <v>157.53677409338977</v>
      </c>
      <c r="Q16" s="677">
        <f t="shared" si="0"/>
        <v>221.21314546138547</v>
      </c>
      <c r="R16" s="677">
        <f t="shared" ca="1" si="0"/>
        <v>113850.46673564098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10.985799627606804</v>
      </c>
      <c r="D19" s="641">
        <f>transport!C54</f>
        <v>0</v>
      </c>
      <c r="E19" s="641">
        <f>transport!D54</f>
        <v>0</v>
      </c>
      <c r="F19" s="641">
        <f>transport!E54</f>
        <v>0</v>
      </c>
      <c r="G19" s="641">
        <f>transport!F54</f>
        <v>0</v>
      </c>
      <c r="H19" s="641">
        <f>transport!G54</f>
        <v>795.93774074761996</v>
      </c>
      <c r="I19" s="641">
        <f>transport!H54</f>
        <v>0</v>
      </c>
      <c r="J19" s="641">
        <f>transport!I54</f>
        <v>0</v>
      </c>
      <c r="K19" s="641">
        <f>transport!J54</f>
        <v>0</v>
      </c>
      <c r="L19" s="641">
        <f>transport!K54</f>
        <v>0</v>
      </c>
      <c r="M19" s="641">
        <f>transport!L54</f>
        <v>0</v>
      </c>
      <c r="N19" s="641">
        <f>transport!M54</f>
        <v>45.020608945833857</v>
      </c>
      <c r="O19" s="641">
        <f>transport!N54</f>
        <v>0</v>
      </c>
      <c r="P19" s="641">
        <f>transport!O54</f>
        <v>0</v>
      </c>
      <c r="Q19" s="642">
        <f>transport!P54</f>
        <v>0</v>
      </c>
      <c r="R19" s="644">
        <f>SUM(C19:Q19)</f>
        <v>851.94414932106054</v>
      </c>
      <c r="S19" s="67"/>
    </row>
    <row r="20" spans="1:19" s="440" customFormat="1">
      <c r="A20" s="761" t="s">
        <v>295</v>
      </c>
      <c r="B20" s="766"/>
      <c r="C20" s="641">
        <f>transport!B14</f>
        <v>51.569575818586671</v>
      </c>
      <c r="D20" s="641">
        <f>transport!C14</f>
        <v>0</v>
      </c>
      <c r="E20" s="641">
        <f>transport!D14</f>
        <v>91.732107846762219</v>
      </c>
      <c r="F20" s="641">
        <f>transport!E14</f>
        <v>78.582982750039506</v>
      </c>
      <c r="G20" s="641">
        <f>transport!F14</f>
        <v>0</v>
      </c>
      <c r="H20" s="641">
        <f>transport!G14</f>
        <v>34200.385094916499</v>
      </c>
      <c r="I20" s="641">
        <f>transport!H14</f>
        <v>8790.2104654972336</v>
      </c>
      <c r="J20" s="641">
        <f>transport!I14</f>
        <v>0</v>
      </c>
      <c r="K20" s="641">
        <f>transport!J14</f>
        <v>0</v>
      </c>
      <c r="L20" s="641">
        <f>transport!K14</f>
        <v>0</v>
      </c>
      <c r="M20" s="641">
        <f>transport!L14</f>
        <v>0</v>
      </c>
      <c r="N20" s="641">
        <f>transport!M14</f>
        <v>2553.3753286222886</v>
      </c>
      <c r="O20" s="641">
        <f>transport!N14</f>
        <v>0</v>
      </c>
      <c r="P20" s="641">
        <f>transport!O14</f>
        <v>0</v>
      </c>
      <c r="Q20" s="642">
        <f>transport!P14</f>
        <v>0</v>
      </c>
      <c r="R20" s="644">
        <f>SUM(C20:Q20)</f>
        <v>45765.85555545141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62.555375446193473</v>
      </c>
      <c r="D22" s="764">
        <f t="shared" ref="D22:R22" si="1">SUM(D18:D21)</f>
        <v>0</v>
      </c>
      <c r="E22" s="764">
        <f t="shared" si="1"/>
        <v>91.732107846762219</v>
      </c>
      <c r="F22" s="764">
        <f t="shared" si="1"/>
        <v>78.582982750039506</v>
      </c>
      <c r="G22" s="764">
        <f t="shared" si="1"/>
        <v>0</v>
      </c>
      <c r="H22" s="764">
        <f t="shared" si="1"/>
        <v>34996.322835664119</v>
      </c>
      <c r="I22" s="764">
        <f t="shared" si="1"/>
        <v>8790.2104654972336</v>
      </c>
      <c r="J22" s="764">
        <f t="shared" si="1"/>
        <v>0</v>
      </c>
      <c r="K22" s="764">
        <f t="shared" si="1"/>
        <v>0</v>
      </c>
      <c r="L22" s="764">
        <f t="shared" si="1"/>
        <v>0</v>
      </c>
      <c r="M22" s="764">
        <f t="shared" si="1"/>
        <v>0</v>
      </c>
      <c r="N22" s="764">
        <f t="shared" si="1"/>
        <v>2598.3959375681225</v>
      </c>
      <c r="O22" s="764">
        <f t="shared" si="1"/>
        <v>0</v>
      </c>
      <c r="P22" s="764">
        <f t="shared" si="1"/>
        <v>0</v>
      </c>
      <c r="Q22" s="764">
        <f t="shared" si="1"/>
        <v>0</v>
      </c>
      <c r="R22" s="764">
        <f t="shared" si="1"/>
        <v>46617.799704772471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13635.610893999999</v>
      </c>
      <c r="D24" s="641">
        <f>+landbouw!C8</f>
        <v>387711.64285714284</v>
      </c>
      <c r="E24" s="641">
        <f>+landbouw!D8</f>
        <v>0</v>
      </c>
      <c r="F24" s="641">
        <f>+landbouw!E8</f>
        <v>553.96646294187656</v>
      </c>
      <c r="G24" s="641">
        <f>+landbouw!F8</f>
        <v>48233.926961416684</v>
      </c>
      <c r="H24" s="641">
        <f>+landbouw!G8</f>
        <v>0</v>
      </c>
      <c r="I24" s="641">
        <f>+landbouw!H8</f>
        <v>0</v>
      </c>
      <c r="J24" s="641">
        <f>+landbouw!I8</f>
        <v>0</v>
      </c>
      <c r="K24" s="641">
        <f>+landbouw!J8</f>
        <v>3874.1597050806467</v>
      </c>
      <c r="L24" s="641">
        <f>+landbouw!K8</f>
        <v>0</v>
      </c>
      <c r="M24" s="641">
        <f>+landbouw!L8</f>
        <v>0</v>
      </c>
      <c r="N24" s="641">
        <f>+landbouw!M8</f>
        <v>0</v>
      </c>
      <c r="O24" s="641">
        <f>+landbouw!N8</f>
        <v>0</v>
      </c>
      <c r="P24" s="641">
        <f>+landbouw!O8</f>
        <v>0</v>
      </c>
      <c r="Q24" s="642">
        <f>+landbouw!P8</f>
        <v>0</v>
      </c>
      <c r="R24" s="644">
        <f>SUM(C24:Q24)</f>
        <v>454009.30688058207</v>
      </c>
      <c r="S24" s="67"/>
    </row>
    <row r="25" spans="1:19" s="440" customFormat="1" ht="15" thickBot="1">
      <c r="A25" s="783" t="s">
        <v>683</v>
      </c>
      <c r="B25" s="901"/>
      <c r="C25" s="902">
        <f>IF(Onbekend_ele_kWh="---",0,Onbekend_ele_kWh)/1000+IF(REST_rest_ele_kWh="---",0,REST_rest_ele_kWh)/1000</f>
        <v>677.13834999999995</v>
      </c>
      <c r="D25" s="902"/>
      <c r="E25" s="902">
        <f>IF(onbekend_gas_kWh="---",0,onbekend_gas_kWh)/1000+IF(REST_rest_gas_kWh="---",0,REST_rest_gas_kWh)/1000</f>
        <v>165.00190700000002</v>
      </c>
      <c r="F25" s="902"/>
      <c r="G25" s="902"/>
      <c r="H25" s="902"/>
      <c r="I25" s="902"/>
      <c r="J25" s="902"/>
      <c r="K25" s="902"/>
      <c r="L25" s="902"/>
      <c r="M25" s="902"/>
      <c r="N25" s="902"/>
      <c r="O25" s="902"/>
      <c r="P25" s="902"/>
      <c r="Q25" s="903"/>
      <c r="R25" s="644">
        <f>SUM(C25:Q25)</f>
        <v>842.14025700000002</v>
      </c>
      <c r="S25" s="67"/>
    </row>
    <row r="26" spans="1:19" s="440" customFormat="1" ht="15.75" thickBot="1">
      <c r="A26" s="649" t="s">
        <v>684</v>
      </c>
      <c r="B26" s="769"/>
      <c r="C26" s="764">
        <f>SUM(C24:C25)</f>
        <v>14312.749243999999</v>
      </c>
      <c r="D26" s="764">
        <f t="shared" ref="D26:R26" si="2">SUM(D24:D25)</f>
        <v>387711.64285714284</v>
      </c>
      <c r="E26" s="764">
        <f t="shared" si="2"/>
        <v>165.00190700000002</v>
      </c>
      <c r="F26" s="764">
        <f t="shared" si="2"/>
        <v>553.96646294187656</v>
      </c>
      <c r="G26" s="764">
        <f t="shared" si="2"/>
        <v>48233.926961416684</v>
      </c>
      <c r="H26" s="764">
        <f t="shared" si="2"/>
        <v>0</v>
      </c>
      <c r="I26" s="764">
        <f t="shared" si="2"/>
        <v>0</v>
      </c>
      <c r="J26" s="764">
        <f t="shared" si="2"/>
        <v>0</v>
      </c>
      <c r="K26" s="764">
        <f t="shared" si="2"/>
        <v>3874.1597050806467</v>
      </c>
      <c r="L26" s="764">
        <f t="shared" si="2"/>
        <v>0</v>
      </c>
      <c r="M26" s="764">
        <f t="shared" si="2"/>
        <v>0</v>
      </c>
      <c r="N26" s="764">
        <f t="shared" si="2"/>
        <v>0</v>
      </c>
      <c r="O26" s="764">
        <f t="shared" si="2"/>
        <v>0</v>
      </c>
      <c r="P26" s="764">
        <f t="shared" si="2"/>
        <v>0</v>
      </c>
      <c r="Q26" s="764">
        <f t="shared" si="2"/>
        <v>0</v>
      </c>
      <c r="R26" s="764">
        <f t="shared" si="2"/>
        <v>454851.44713758206</v>
      </c>
      <c r="S26" s="67"/>
    </row>
    <row r="27" spans="1:19" s="440" customFormat="1" ht="17.25" thickTop="1" thickBot="1">
      <c r="A27" s="650" t="s">
        <v>109</v>
      </c>
      <c r="B27" s="756"/>
      <c r="C27" s="651">
        <f ca="1">C22+C16+C26</f>
        <v>46559.45593506447</v>
      </c>
      <c r="D27" s="651">
        <f t="shared" ref="D27:R27" ca="1" si="3">D22+D16+D26</f>
        <v>387711.64285714284</v>
      </c>
      <c r="E27" s="651">
        <f t="shared" ca="1" si="3"/>
        <v>58766.774852908762</v>
      </c>
      <c r="F27" s="651">
        <f t="shared" si="3"/>
        <v>1370.7896935060758</v>
      </c>
      <c r="G27" s="651">
        <f t="shared" ca="1" si="3"/>
        <v>65984.334431239738</v>
      </c>
      <c r="H27" s="651">
        <f t="shared" si="3"/>
        <v>34996.322835664119</v>
      </c>
      <c r="I27" s="651">
        <f t="shared" si="3"/>
        <v>8790.2104654972336</v>
      </c>
      <c r="J27" s="651">
        <f t="shared" si="3"/>
        <v>0</v>
      </c>
      <c r="K27" s="651">
        <f t="shared" si="3"/>
        <v>3942.1731864715216</v>
      </c>
      <c r="L27" s="651">
        <f t="shared" si="3"/>
        <v>0</v>
      </c>
      <c r="M27" s="651">
        <f t="shared" ca="1" si="3"/>
        <v>0</v>
      </c>
      <c r="N27" s="651">
        <f t="shared" si="3"/>
        <v>2598.3959375681225</v>
      </c>
      <c r="O27" s="651">
        <f t="shared" ca="1" si="3"/>
        <v>4220.8634633778411</v>
      </c>
      <c r="P27" s="651">
        <f t="shared" si="3"/>
        <v>157.53677409338977</v>
      </c>
      <c r="Q27" s="651">
        <f t="shared" si="3"/>
        <v>221.21314546138547</v>
      </c>
      <c r="R27" s="651">
        <f t="shared" ca="1" si="3"/>
        <v>615319.71357799554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3048.4057381242583</v>
      </c>
      <c r="D40" s="641">
        <f ca="1">tertiair!C20</f>
        <v>0</v>
      </c>
      <c r="E40" s="641">
        <f ca="1">tertiair!D20</f>
        <v>3690.0382177408205</v>
      </c>
      <c r="F40" s="641">
        <f>tertiair!E20</f>
        <v>9.8730386964374404</v>
      </c>
      <c r="G40" s="641">
        <f ca="1">tertiair!F20</f>
        <v>987.67540078029299</v>
      </c>
      <c r="H40" s="641">
        <f>tertiair!G20</f>
        <v>0</v>
      </c>
      <c r="I40" s="641">
        <f>tertiair!H20</f>
        <v>0</v>
      </c>
      <c r="J40" s="641">
        <f>tertiair!I20</f>
        <v>0</v>
      </c>
      <c r="K40" s="641">
        <f>tertiair!J20</f>
        <v>1.2763565899595633E-2</v>
      </c>
      <c r="L40" s="641">
        <f>tertiair!K20</f>
        <v>0</v>
      </c>
      <c r="M40" s="641">
        <f ca="1">tertiair!L20</f>
        <v>0</v>
      </c>
      <c r="N40" s="641">
        <f>tertiair!M20</f>
        <v>0</v>
      </c>
      <c r="O40" s="641">
        <f ca="1">tertiair!N20</f>
        <v>0</v>
      </c>
      <c r="P40" s="641">
        <f>tertiair!O20</f>
        <v>0</v>
      </c>
      <c r="Q40" s="724">
        <f>tertiair!P20</f>
        <v>0</v>
      </c>
      <c r="R40" s="802">
        <f t="shared" ca="1" si="4"/>
        <v>7736.0051589077084</v>
      </c>
    </row>
    <row r="41" spans="1:18">
      <c r="A41" s="774" t="s">
        <v>213</v>
      </c>
      <c r="B41" s="781"/>
      <c r="C41" s="641">
        <f ca="1">huishoudens!B12</f>
        <v>2897.7574925163935</v>
      </c>
      <c r="D41" s="641">
        <f ca="1">huishoudens!C12</f>
        <v>0</v>
      </c>
      <c r="E41" s="641">
        <f>huishoudens!D12</f>
        <v>7602.7032127996399</v>
      </c>
      <c r="F41" s="641">
        <f>huishoudens!E12</f>
        <v>155.06401786417271</v>
      </c>
      <c r="G41" s="641">
        <f>huishoudens!F12</f>
        <v>3509.9304682185912</v>
      </c>
      <c r="H41" s="641">
        <f>huishoudens!G12</f>
        <v>0</v>
      </c>
      <c r="I41" s="641">
        <f>huishoudens!H12</f>
        <v>0</v>
      </c>
      <c r="J41" s="641">
        <f>huishoudens!I12</f>
        <v>0</v>
      </c>
      <c r="K41" s="641">
        <f>huishoudens!J12</f>
        <v>23.813046733495373</v>
      </c>
      <c r="L41" s="641">
        <f>huishoudens!K12</f>
        <v>0</v>
      </c>
      <c r="M41" s="641">
        <f>huishoudens!L12</f>
        <v>0</v>
      </c>
      <c r="N41" s="641">
        <f>huishoudens!M12</f>
        <v>0</v>
      </c>
      <c r="O41" s="641">
        <f>huishoudens!N12</f>
        <v>0</v>
      </c>
      <c r="P41" s="641">
        <f>huishoudens!O12</f>
        <v>0</v>
      </c>
      <c r="Q41" s="724">
        <f>huishoudens!P12</f>
        <v>0</v>
      </c>
      <c r="R41" s="802">
        <f t="shared" ca="1" si="4"/>
        <v>14189.268238132292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723.63788645544196</v>
      </c>
      <c r="D43" s="641">
        <f ca="1">industrie!C22</f>
        <v>0</v>
      </c>
      <c r="E43" s="641">
        <f>industrie!D22</f>
        <v>526.28681874806398</v>
      </c>
      <c r="F43" s="641">
        <f>industrie!E22</f>
        <v>2.6434796932041307</v>
      </c>
      <c r="G43" s="641">
        <f>industrie!F22</f>
        <v>241.75292544387185</v>
      </c>
      <c r="H43" s="641">
        <f>industrie!G22</f>
        <v>0</v>
      </c>
      <c r="I43" s="641">
        <f>industrie!H22</f>
        <v>0</v>
      </c>
      <c r="J43" s="641">
        <f>industrie!I22</f>
        <v>0</v>
      </c>
      <c r="K43" s="641">
        <f>industrie!J22</f>
        <v>0.2509621129747111</v>
      </c>
      <c r="L43" s="641">
        <f>industrie!K22</f>
        <v>0</v>
      </c>
      <c r="M43" s="641">
        <f>industrie!L22</f>
        <v>0</v>
      </c>
      <c r="N43" s="641">
        <f>industrie!M22</f>
        <v>0</v>
      </c>
      <c r="O43" s="641">
        <f>industrie!N22</f>
        <v>0</v>
      </c>
      <c r="P43" s="641">
        <f>industrie!O22</f>
        <v>0</v>
      </c>
      <c r="Q43" s="724">
        <f>industrie!P22</f>
        <v>0</v>
      </c>
      <c r="R43" s="801">
        <f t="shared" ca="1" si="4"/>
        <v>1494.5720724535568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6669.8011170960935</v>
      </c>
      <c r="D46" s="677">
        <f t="shared" ref="D46:Q46" ca="1" si="5">SUM(D39:D45)</f>
        <v>0</v>
      </c>
      <c r="E46" s="677">
        <f t="shared" ca="1" si="5"/>
        <v>11819.028249288524</v>
      </c>
      <c r="F46" s="677">
        <f t="shared" si="5"/>
        <v>167.5805362538143</v>
      </c>
      <c r="G46" s="677">
        <f t="shared" ca="1" si="5"/>
        <v>4739.3587944427563</v>
      </c>
      <c r="H46" s="677">
        <f t="shared" si="5"/>
        <v>0</v>
      </c>
      <c r="I46" s="677">
        <f t="shared" si="5"/>
        <v>0</v>
      </c>
      <c r="J46" s="677">
        <f t="shared" si="5"/>
        <v>0</v>
      </c>
      <c r="K46" s="677">
        <f t="shared" si="5"/>
        <v>24.076772412369682</v>
      </c>
      <c r="L46" s="677">
        <f t="shared" si="5"/>
        <v>0</v>
      </c>
      <c r="M46" s="677">
        <f t="shared" ca="1" si="5"/>
        <v>0</v>
      </c>
      <c r="N46" s="677">
        <f t="shared" si="5"/>
        <v>0</v>
      </c>
      <c r="O46" s="677">
        <f t="shared" ca="1" si="5"/>
        <v>0</v>
      </c>
      <c r="P46" s="677">
        <f t="shared" si="5"/>
        <v>0</v>
      </c>
      <c r="Q46" s="677">
        <f t="shared" si="5"/>
        <v>0</v>
      </c>
      <c r="R46" s="677">
        <f ca="1">SUM(R39:R45)</f>
        <v>23419.845469493557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2.2766826413983412</v>
      </c>
      <c r="D49" s="641">
        <f ca="1">transport!C58</f>
        <v>0</v>
      </c>
      <c r="E49" s="641">
        <f>transport!D58</f>
        <v>0</v>
      </c>
      <c r="F49" s="641">
        <f>transport!E58</f>
        <v>0</v>
      </c>
      <c r="G49" s="641">
        <f>transport!F58</f>
        <v>0</v>
      </c>
      <c r="H49" s="641">
        <f>transport!G58</f>
        <v>212.51537677961454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214.79205942101288</v>
      </c>
    </row>
    <row r="50" spans="1:18">
      <c r="A50" s="777" t="s">
        <v>295</v>
      </c>
      <c r="B50" s="787"/>
      <c r="C50" s="647">
        <f ca="1">transport!B18</f>
        <v>10.687210951436997</v>
      </c>
      <c r="D50" s="647">
        <f>transport!C18</f>
        <v>0</v>
      </c>
      <c r="E50" s="647">
        <f>transport!D18</f>
        <v>18.52988578504597</v>
      </c>
      <c r="F50" s="647">
        <f>transport!E18</f>
        <v>17.838337084258967</v>
      </c>
      <c r="G50" s="647">
        <f>transport!F18</f>
        <v>0</v>
      </c>
      <c r="H50" s="647">
        <f>transport!G18</f>
        <v>9131.5028203427064</v>
      </c>
      <c r="I50" s="647">
        <f>transport!H18</f>
        <v>2188.7624059088112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11367.320660072259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12.963893592835339</v>
      </c>
      <c r="D52" s="677">
        <f t="shared" ref="D52:Q52" ca="1" si="6">SUM(D48:D51)</f>
        <v>0</v>
      </c>
      <c r="E52" s="677">
        <f t="shared" si="6"/>
        <v>18.52988578504597</v>
      </c>
      <c r="F52" s="677">
        <f t="shared" si="6"/>
        <v>17.838337084258967</v>
      </c>
      <c r="G52" s="677">
        <f t="shared" si="6"/>
        <v>0</v>
      </c>
      <c r="H52" s="677">
        <f t="shared" si="6"/>
        <v>9344.018197122321</v>
      </c>
      <c r="I52" s="677">
        <f t="shared" si="6"/>
        <v>2188.7624059088112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11582.112719493272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2825.8260372071495</v>
      </c>
      <c r="D54" s="647">
        <f ca="1">+landbouw!C12</f>
        <v>82019.29915966386</v>
      </c>
      <c r="E54" s="647">
        <f>+landbouw!D12</f>
        <v>0</v>
      </c>
      <c r="F54" s="647">
        <f>+landbouw!E12</f>
        <v>125.75038708780598</v>
      </c>
      <c r="G54" s="647">
        <f>+landbouw!F12</f>
        <v>12878.458498698255</v>
      </c>
      <c r="H54" s="647">
        <f>+landbouw!G12</f>
        <v>0</v>
      </c>
      <c r="I54" s="647">
        <f>+landbouw!H12</f>
        <v>0</v>
      </c>
      <c r="J54" s="647">
        <f>+landbouw!I12</f>
        <v>0</v>
      </c>
      <c r="K54" s="647">
        <f>+landbouw!J12</f>
        <v>1371.4525355985488</v>
      </c>
      <c r="L54" s="647">
        <f>+landbouw!K12</f>
        <v>0</v>
      </c>
      <c r="M54" s="647">
        <f>+landbouw!L12</f>
        <v>0</v>
      </c>
      <c r="N54" s="647">
        <f>+landbouw!M12</f>
        <v>0</v>
      </c>
      <c r="O54" s="647">
        <f>+landbouw!N12</f>
        <v>0</v>
      </c>
      <c r="P54" s="647">
        <f>+landbouw!O12</f>
        <v>0</v>
      </c>
      <c r="Q54" s="648">
        <f>+landbouw!P12</f>
        <v>0</v>
      </c>
      <c r="R54" s="676">
        <f ca="1">SUM(C54:Q54)</f>
        <v>99220.786618255617</v>
      </c>
    </row>
    <row r="55" spans="1:18" ht="15" thickBot="1">
      <c r="A55" s="777" t="s">
        <v>683</v>
      </c>
      <c r="B55" s="787"/>
      <c r="C55" s="647">
        <f ca="1">C25*'EF ele_warmte'!B12</f>
        <v>140.32925954666712</v>
      </c>
      <c r="D55" s="647"/>
      <c r="E55" s="647">
        <f>E25*EF_CO2_aardgas</f>
        <v>33.330385214000003</v>
      </c>
      <c r="F55" s="647"/>
      <c r="G55" s="647"/>
      <c r="H55" s="647"/>
      <c r="I55" s="647"/>
      <c r="J55" s="647"/>
      <c r="K55" s="647"/>
      <c r="L55" s="647"/>
      <c r="M55" s="647"/>
      <c r="N55" s="647"/>
      <c r="O55" s="647"/>
      <c r="P55" s="647"/>
      <c r="Q55" s="648"/>
      <c r="R55" s="676">
        <f ca="1">SUM(C55:Q55)</f>
        <v>173.65964476066711</v>
      </c>
    </row>
    <row r="56" spans="1:18" ht="15.75" thickBot="1">
      <c r="A56" s="775" t="s">
        <v>684</v>
      </c>
      <c r="B56" s="788"/>
      <c r="C56" s="677">
        <f ca="1">SUM(C54:C55)</f>
        <v>2966.1552967538164</v>
      </c>
      <c r="D56" s="677">
        <f t="shared" ref="D56:Q56" ca="1" si="7">SUM(D54:D55)</f>
        <v>82019.29915966386</v>
      </c>
      <c r="E56" s="677">
        <f t="shared" si="7"/>
        <v>33.330385214000003</v>
      </c>
      <c r="F56" s="677">
        <f t="shared" si="7"/>
        <v>125.75038708780598</v>
      </c>
      <c r="G56" s="677">
        <f t="shared" si="7"/>
        <v>12878.458498698255</v>
      </c>
      <c r="H56" s="677">
        <f t="shared" si="7"/>
        <v>0</v>
      </c>
      <c r="I56" s="677">
        <f t="shared" si="7"/>
        <v>0</v>
      </c>
      <c r="J56" s="677">
        <f t="shared" si="7"/>
        <v>0</v>
      </c>
      <c r="K56" s="677">
        <f t="shared" si="7"/>
        <v>1371.4525355985488</v>
      </c>
      <c r="L56" s="677">
        <f t="shared" si="7"/>
        <v>0</v>
      </c>
      <c r="M56" s="677">
        <f t="shared" si="7"/>
        <v>0</v>
      </c>
      <c r="N56" s="677">
        <f t="shared" si="7"/>
        <v>0</v>
      </c>
      <c r="O56" s="677">
        <f t="shared" si="7"/>
        <v>0</v>
      </c>
      <c r="P56" s="677">
        <f t="shared" si="7"/>
        <v>0</v>
      </c>
      <c r="Q56" s="678">
        <f t="shared" si="7"/>
        <v>0</v>
      </c>
      <c r="R56" s="679">
        <f ca="1">SUM(R54:R55)</f>
        <v>99394.446263016289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9648.920307442746</v>
      </c>
      <c r="D61" s="685">
        <f t="shared" ref="D61:Q61" ca="1" si="8">D46+D52+D56</f>
        <v>82019.29915966386</v>
      </c>
      <c r="E61" s="685">
        <f t="shared" ca="1" si="8"/>
        <v>11870.88852028757</v>
      </c>
      <c r="F61" s="685">
        <f t="shared" si="8"/>
        <v>311.16926042587926</v>
      </c>
      <c r="G61" s="685">
        <f t="shared" ca="1" si="8"/>
        <v>17617.817293141012</v>
      </c>
      <c r="H61" s="685">
        <f t="shared" si="8"/>
        <v>9344.018197122321</v>
      </c>
      <c r="I61" s="685">
        <f t="shared" si="8"/>
        <v>2188.7624059088112</v>
      </c>
      <c r="J61" s="685">
        <f t="shared" si="8"/>
        <v>0</v>
      </c>
      <c r="K61" s="685">
        <f t="shared" si="8"/>
        <v>1395.5293080109186</v>
      </c>
      <c r="L61" s="685">
        <f t="shared" si="8"/>
        <v>0</v>
      </c>
      <c r="M61" s="685">
        <f t="shared" ca="1" si="8"/>
        <v>0</v>
      </c>
      <c r="N61" s="685">
        <f t="shared" si="8"/>
        <v>0</v>
      </c>
      <c r="O61" s="685">
        <f t="shared" ca="1" si="8"/>
        <v>0</v>
      </c>
      <c r="P61" s="685">
        <f t="shared" si="8"/>
        <v>0</v>
      </c>
      <c r="Q61" s="685">
        <f t="shared" si="8"/>
        <v>0</v>
      </c>
      <c r="R61" s="685">
        <f ca="1">R46+R52+R56</f>
        <v>134396.40445200313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0.20723868253314429</v>
      </c>
      <c r="D63" s="731">
        <f t="shared" ca="1" si="9"/>
        <v>0.21154716571120585</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3995.3557105224604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29806.650000000009</v>
      </c>
      <c r="C76" s="698">
        <f>'lokale energieproductie'!B8*IFERROR(SUM(D76:H76)/SUM(D76:O76),0)</f>
        <v>241591.5</v>
      </c>
      <c r="D76" s="910">
        <f>'lokale energieproductie'!C8</f>
        <v>284225.29411764705</v>
      </c>
      <c r="E76" s="911">
        <f>'lokale energieproductie'!D8</f>
        <v>0</v>
      </c>
      <c r="F76" s="911">
        <f>'lokale energieproductie'!E8</f>
        <v>0</v>
      </c>
      <c r="G76" s="911">
        <f>'lokale energieproductie'!F8</f>
        <v>0</v>
      </c>
      <c r="H76" s="911">
        <f>'lokale energieproductie'!G8</f>
        <v>0</v>
      </c>
      <c r="I76" s="911">
        <f>'lokale energieproductie'!I8</f>
        <v>0</v>
      </c>
      <c r="J76" s="911">
        <f>'lokale energieproductie'!J8</f>
        <v>35066.647058823539</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57413.50941176471</v>
      </c>
      <c r="R76" s="804">
        <v>0</v>
      </c>
    </row>
    <row r="77" spans="1:18" ht="15.75" thickBot="1">
      <c r="A77" s="701" t="s">
        <v>741</v>
      </c>
      <c r="B77" s="698">
        <f>'lokale energieproductie'!B9*IFERROR(SUM(I77:O77)/SUM(D77:O77),0)</f>
        <v>1647</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4705.7142857142862</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35449.00571052247</v>
      </c>
      <c r="C78" s="703">
        <f>SUM(C72:C77)</f>
        <v>241591.5</v>
      </c>
      <c r="D78" s="704">
        <f t="shared" ref="D78:H78" si="10">SUM(D76:D77)</f>
        <v>284225.29411764705</v>
      </c>
      <c r="E78" s="704">
        <f t="shared" si="10"/>
        <v>0</v>
      </c>
      <c r="F78" s="704">
        <f t="shared" si="10"/>
        <v>0</v>
      </c>
      <c r="G78" s="704">
        <f t="shared" si="10"/>
        <v>0</v>
      </c>
      <c r="H78" s="704">
        <f t="shared" si="10"/>
        <v>0</v>
      </c>
      <c r="I78" s="704">
        <f>SUM(I76:I77)</f>
        <v>0</v>
      </c>
      <c r="J78" s="704">
        <f>SUM(J76:J77)</f>
        <v>39772.361344537829</v>
      </c>
      <c r="K78" s="704">
        <f t="shared" ref="K78:L78" si="11">SUM(K76:K77)</f>
        <v>0</v>
      </c>
      <c r="L78" s="704">
        <f t="shared" si="11"/>
        <v>0</v>
      </c>
      <c r="M78" s="704">
        <f>SUM(M76:M77)</f>
        <v>0</v>
      </c>
      <c r="N78" s="704">
        <f>SUM(N76:N77)</f>
        <v>0</v>
      </c>
      <c r="O78" s="812">
        <f>SUM(O76:O77)</f>
        <v>0</v>
      </c>
      <c r="P78" s="705">
        <v>0</v>
      </c>
      <c r="Q78" s="705">
        <f>SUM(Q76:Q77)</f>
        <v>57413.50941176471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42580.928571428587</v>
      </c>
      <c r="C87" s="716">
        <f>'lokale energieproductie'!B17*IFERROR(SUM(D87:H87)/SUM(D87:O87),0)</f>
        <v>345130.71428571426</v>
      </c>
      <c r="D87" s="727">
        <f>'lokale energieproductie'!C17</f>
        <v>406036.13445378147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50095.210084033628</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82019.29915966386</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42580.928571428587</v>
      </c>
      <c r="C90" s="703">
        <f>SUM(C87:C89)</f>
        <v>345130.71428571426</v>
      </c>
      <c r="D90" s="703">
        <f t="shared" ref="D90:H90" si="12">SUM(D87:D89)</f>
        <v>406036.13445378147</v>
      </c>
      <c r="E90" s="703">
        <f t="shared" si="12"/>
        <v>0</v>
      </c>
      <c r="F90" s="703">
        <f t="shared" si="12"/>
        <v>0</v>
      </c>
      <c r="G90" s="703">
        <f t="shared" si="12"/>
        <v>0</v>
      </c>
      <c r="H90" s="703">
        <f t="shared" si="12"/>
        <v>0</v>
      </c>
      <c r="I90" s="703">
        <f>SUM(I87:I89)</f>
        <v>0</v>
      </c>
      <c r="J90" s="703">
        <f>SUM(J87:J89)</f>
        <v>50095.210084033628</v>
      </c>
      <c r="K90" s="703">
        <f t="shared" ref="K90:L90" si="13">SUM(K87:K89)</f>
        <v>0</v>
      </c>
      <c r="L90" s="703">
        <f t="shared" si="13"/>
        <v>0</v>
      </c>
      <c r="M90" s="703">
        <f>SUM(M87:M89)</f>
        <v>0</v>
      </c>
      <c r="N90" s="703">
        <f>SUM(N87:N89)</f>
        <v>0</v>
      </c>
      <c r="O90" s="703">
        <f>SUM(O87:O89)</f>
        <v>0</v>
      </c>
      <c r="P90" s="703">
        <v>0</v>
      </c>
      <c r="Q90" s="703">
        <f>SUM(Q87:Q89)</f>
        <v>82019.29915966386</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13982.705627618274</v>
      </c>
      <c r="C4" s="444">
        <f>huishoudens!C8</f>
        <v>0</v>
      </c>
      <c r="D4" s="444">
        <f>huishoudens!D8</f>
        <v>37637.144617819999</v>
      </c>
      <c r="E4" s="444">
        <f>huishoudens!E8</f>
        <v>683.10140028269916</v>
      </c>
      <c r="F4" s="444">
        <f>huishoudens!F8</f>
        <v>13145.806997073374</v>
      </c>
      <c r="G4" s="444">
        <f>huishoudens!G8</f>
        <v>0</v>
      </c>
      <c r="H4" s="444">
        <f>huishoudens!H8</f>
        <v>0</v>
      </c>
      <c r="I4" s="444">
        <f>huishoudens!I8</f>
        <v>0</v>
      </c>
      <c r="J4" s="444">
        <f>huishoudens!J8</f>
        <v>67.268493597444561</v>
      </c>
      <c r="K4" s="444">
        <f>huishoudens!K8</f>
        <v>0</v>
      </c>
      <c r="L4" s="444">
        <f>huishoudens!L8</f>
        <v>0</v>
      </c>
      <c r="M4" s="444">
        <f>huishoudens!M8</f>
        <v>0</v>
      </c>
      <c r="N4" s="444">
        <f>huishoudens!N8</f>
        <v>4059.1548758857953</v>
      </c>
      <c r="O4" s="444">
        <f>huishoudens!O8</f>
        <v>142.84499179586629</v>
      </c>
      <c r="P4" s="445">
        <f>huishoudens!P8</f>
        <v>221.21314546138547</v>
      </c>
      <c r="Q4" s="446">
        <f>SUM(B4:P4)</f>
        <v>69939.240149534831</v>
      </c>
    </row>
    <row r="5" spans="1:17">
      <c r="A5" s="443" t="s">
        <v>149</v>
      </c>
      <c r="B5" s="444">
        <f ca="1">tertiair!B16</f>
        <v>14237.502738000001</v>
      </c>
      <c r="C5" s="444">
        <f ca="1">tertiair!C16</f>
        <v>0</v>
      </c>
      <c r="D5" s="444">
        <f ca="1">tertiair!D16</f>
        <v>18267.515929410001</v>
      </c>
      <c r="E5" s="444">
        <f>tertiair!E16</f>
        <v>43.493562539371986</v>
      </c>
      <c r="F5" s="444">
        <f ca="1">tertiair!F16</f>
        <v>3699.1588044205728</v>
      </c>
      <c r="G5" s="444">
        <f>tertiair!G16</f>
        <v>0</v>
      </c>
      <c r="H5" s="444">
        <f>tertiair!H16</f>
        <v>0</v>
      </c>
      <c r="I5" s="444">
        <f>tertiair!I16</f>
        <v>0</v>
      </c>
      <c r="J5" s="444">
        <f>tertiair!J16</f>
        <v>3.6055270902812527E-2</v>
      </c>
      <c r="K5" s="444">
        <f>tertiair!K16</f>
        <v>0</v>
      </c>
      <c r="L5" s="444">
        <f ca="1">tertiair!L16</f>
        <v>0</v>
      </c>
      <c r="M5" s="444">
        <f>tertiair!M16</f>
        <v>0</v>
      </c>
      <c r="N5" s="444">
        <f ca="1">tertiair!N16</f>
        <v>0</v>
      </c>
      <c r="O5" s="444">
        <f>tertiair!O16</f>
        <v>14.691782297523464</v>
      </c>
      <c r="P5" s="445">
        <f>tertiair!P16</f>
        <v>0</v>
      </c>
      <c r="Q5" s="443">
        <f t="shared" ref="Q5:Q14" ca="1" si="0">SUM(B5:P5)</f>
        <v>36262.398871938378</v>
      </c>
    </row>
    <row r="6" spans="1:17">
      <c r="A6" s="443" t="s">
        <v>187</v>
      </c>
      <c r="B6" s="444">
        <f>'openbare verlichting'!B8</f>
        <v>472.13400000000001</v>
      </c>
      <c r="C6" s="444"/>
      <c r="D6" s="444"/>
      <c r="E6" s="444"/>
      <c r="F6" s="444"/>
      <c r="G6" s="444"/>
      <c r="H6" s="444"/>
      <c r="I6" s="444"/>
      <c r="J6" s="444"/>
      <c r="K6" s="444"/>
      <c r="L6" s="444"/>
      <c r="M6" s="444"/>
      <c r="N6" s="444"/>
      <c r="O6" s="444"/>
      <c r="P6" s="445"/>
      <c r="Q6" s="443">
        <f t="shared" si="0"/>
        <v>472.13400000000001</v>
      </c>
    </row>
    <row r="7" spans="1:17">
      <c r="A7" s="443" t="s">
        <v>105</v>
      </c>
      <c r="B7" s="444">
        <f>landbouw!B8</f>
        <v>13635.610893999999</v>
      </c>
      <c r="C7" s="444">
        <f>landbouw!C8</f>
        <v>387711.64285714284</v>
      </c>
      <c r="D7" s="444">
        <f>landbouw!D8</f>
        <v>0</v>
      </c>
      <c r="E7" s="444">
        <f>landbouw!E8</f>
        <v>553.96646294187656</v>
      </c>
      <c r="F7" s="444">
        <f>landbouw!F8</f>
        <v>48233.926961416684</v>
      </c>
      <c r="G7" s="444">
        <f>landbouw!G8</f>
        <v>0</v>
      </c>
      <c r="H7" s="444">
        <f>landbouw!H8</f>
        <v>0</v>
      </c>
      <c r="I7" s="444">
        <f>landbouw!I8</f>
        <v>0</v>
      </c>
      <c r="J7" s="444">
        <f>landbouw!J8</f>
        <v>3874.1597050806467</v>
      </c>
      <c r="K7" s="444">
        <f>landbouw!K8</f>
        <v>0</v>
      </c>
      <c r="L7" s="444">
        <f>landbouw!L8</f>
        <v>0</v>
      </c>
      <c r="M7" s="444">
        <f>landbouw!M8</f>
        <v>0</v>
      </c>
      <c r="N7" s="444">
        <f>landbouw!N8</f>
        <v>0</v>
      </c>
      <c r="O7" s="444">
        <f>landbouw!O8</f>
        <v>0</v>
      </c>
      <c r="P7" s="445">
        <f>landbouw!P8</f>
        <v>0</v>
      </c>
      <c r="Q7" s="443">
        <f t="shared" si="0"/>
        <v>454009.30688058207</v>
      </c>
    </row>
    <row r="8" spans="1:17">
      <c r="A8" s="443" t="s">
        <v>587</v>
      </c>
      <c r="B8" s="444">
        <f>industrie!B18</f>
        <v>3491.8089500000001</v>
      </c>
      <c r="C8" s="444">
        <f>industrie!C18</f>
        <v>0</v>
      </c>
      <c r="D8" s="444">
        <f>industrie!D18</f>
        <v>2605.3802908319999</v>
      </c>
      <c r="E8" s="444">
        <f>industrie!E18</f>
        <v>11.645284992088682</v>
      </c>
      <c r="F8" s="444">
        <f>industrie!F18</f>
        <v>905.44166832910798</v>
      </c>
      <c r="G8" s="444">
        <f>industrie!G18</f>
        <v>0</v>
      </c>
      <c r="H8" s="444">
        <f>industrie!H18</f>
        <v>0</v>
      </c>
      <c r="I8" s="444">
        <f>industrie!I18</f>
        <v>0</v>
      </c>
      <c r="J8" s="444">
        <f>industrie!J18</f>
        <v>0.70893252252743255</v>
      </c>
      <c r="K8" s="444">
        <f>industrie!K18</f>
        <v>0</v>
      </c>
      <c r="L8" s="444">
        <f>industrie!L18</f>
        <v>0</v>
      </c>
      <c r="M8" s="444">
        <f>industrie!M18</f>
        <v>0</v>
      </c>
      <c r="N8" s="444">
        <f>industrie!N18</f>
        <v>161.70858749204598</v>
      </c>
      <c r="O8" s="444">
        <f>industrie!O18</f>
        <v>0</v>
      </c>
      <c r="P8" s="445">
        <f>industrie!P18</f>
        <v>0</v>
      </c>
      <c r="Q8" s="443">
        <f t="shared" si="0"/>
        <v>7176.6937141677699</v>
      </c>
    </row>
    <row r="9" spans="1:17" s="449" customFormat="1">
      <c r="A9" s="447" t="s">
        <v>536</v>
      </c>
      <c r="B9" s="448">
        <f>transport!B14</f>
        <v>51.569575818586671</v>
      </c>
      <c r="C9" s="448">
        <f>transport!C14</f>
        <v>0</v>
      </c>
      <c r="D9" s="448">
        <f>transport!D14</f>
        <v>91.732107846762219</v>
      </c>
      <c r="E9" s="448">
        <f>transport!E14</f>
        <v>78.582982750039506</v>
      </c>
      <c r="F9" s="448">
        <f>transport!F14</f>
        <v>0</v>
      </c>
      <c r="G9" s="448">
        <f>transport!G14</f>
        <v>34200.385094916499</v>
      </c>
      <c r="H9" s="448">
        <f>transport!H14</f>
        <v>8790.2104654972336</v>
      </c>
      <c r="I9" s="448">
        <f>transport!I14</f>
        <v>0</v>
      </c>
      <c r="J9" s="448">
        <f>transport!J14</f>
        <v>0</v>
      </c>
      <c r="K9" s="448">
        <f>transport!K14</f>
        <v>0</v>
      </c>
      <c r="L9" s="448">
        <f>transport!L14</f>
        <v>0</v>
      </c>
      <c r="M9" s="448">
        <f>transport!M14</f>
        <v>2553.3753286222886</v>
      </c>
      <c r="N9" s="448">
        <f>transport!N14</f>
        <v>0</v>
      </c>
      <c r="O9" s="448">
        <f>transport!O14</f>
        <v>0</v>
      </c>
      <c r="P9" s="448">
        <f>transport!P14</f>
        <v>0</v>
      </c>
      <c r="Q9" s="447">
        <f>SUM(B9:P9)</f>
        <v>45765.85555545141</v>
      </c>
    </row>
    <row r="10" spans="1:17">
      <c r="A10" s="443" t="s">
        <v>526</v>
      </c>
      <c r="B10" s="444">
        <f>transport!B54</f>
        <v>10.985799627606804</v>
      </c>
      <c r="C10" s="444">
        <f>transport!C54</f>
        <v>0</v>
      </c>
      <c r="D10" s="444">
        <f>transport!D54</f>
        <v>0</v>
      </c>
      <c r="E10" s="444">
        <f>transport!E54</f>
        <v>0</v>
      </c>
      <c r="F10" s="444">
        <f>transport!F54</f>
        <v>0</v>
      </c>
      <c r="G10" s="444">
        <f>transport!G54</f>
        <v>795.93774074761996</v>
      </c>
      <c r="H10" s="444">
        <f>transport!H54</f>
        <v>0</v>
      </c>
      <c r="I10" s="444">
        <f>transport!I54</f>
        <v>0</v>
      </c>
      <c r="J10" s="444">
        <f>transport!J54</f>
        <v>0</v>
      </c>
      <c r="K10" s="444">
        <f>transport!K54</f>
        <v>0</v>
      </c>
      <c r="L10" s="444">
        <f>transport!L54</f>
        <v>0</v>
      </c>
      <c r="M10" s="444">
        <f>transport!M54</f>
        <v>45.020608945833857</v>
      </c>
      <c r="N10" s="444">
        <f>transport!N54</f>
        <v>0</v>
      </c>
      <c r="O10" s="444">
        <f>transport!O54</f>
        <v>0</v>
      </c>
      <c r="P10" s="445">
        <f>transport!P54</f>
        <v>0</v>
      </c>
      <c r="Q10" s="443">
        <f t="shared" si="0"/>
        <v>851.94414932106054</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677.13834999999995</v>
      </c>
      <c r="C14" s="451"/>
      <c r="D14" s="451">
        <f>'SEAP template'!E25</f>
        <v>165.00190700000002</v>
      </c>
      <c r="E14" s="451"/>
      <c r="F14" s="451"/>
      <c r="G14" s="451"/>
      <c r="H14" s="451"/>
      <c r="I14" s="451"/>
      <c r="J14" s="451"/>
      <c r="K14" s="451"/>
      <c r="L14" s="451"/>
      <c r="M14" s="451"/>
      <c r="N14" s="451"/>
      <c r="O14" s="451"/>
      <c r="P14" s="452"/>
      <c r="Q14" s="443">
        <f t="shared" si="0"/>
        <v>842.14025700000002</v>
      </c>
    </row>
    <row r="15" spans="1:17" s="455" customFormat="1">
      <c r="A15" s="453" t="s">
        <v>530</v>
      </c>
      <c r="B15" s="454">
        <f ca="1">SUM(B4:B14)</f>
        <v>46559.455935064463</v>
      </c>
      <c r="C15" s="454">
        <f t="shared" ref="C15:Q15" ca="1" si="1">SUM(C4:C14)</f>
        <v>387711.64285714284</v>
      </c>
      <c r="D15" s="454">
        <f t="shared" ca="1" si="1"/>
        <v>58766.774852908762</v>
      </c>
      <c r="E15" s="454">
        <f t="shared" si="1"/>
        <v>1370.7896935060758</v>
      </c>
      <c r="F15" s="454">
        <f t="shared" ca="1" si="1"/>
        <v>65984.334431239738</v>
      </c>
      <c r="G15" s="454">
        <f t="shared" si="1"/>
        <v>34996.322835664119</v>
      </c>
      <c r="H15" s="454">
        <f t="shared" si="1"/>
        <v>8790.2104654972336</v>
      </c>
      <c r="I15" s="454">
        <f t="shared" si="1"/>
        <v>0</v>
      </c>
      <c r="J15" s="454">
        <f t="shared" si="1"/>
        <v>3942.1731864715216</v>
      </c>
      <c r="K15" s="454">
        <f t="shared" si="1"/>
        <v>0</v>
      </c>
      <c r="L15" s="454">
        <f t="shared" ca="1" si="1"/>
        <v>0</v>
      </c>
      <c r="M15" s="454">
        <f t="shared" si="1"/>
        <v>2598.3959375681225</v>
      </c>
      <c r="N15" s="454">
        <f t="shared" ca="1" si="1"/>
        <v>4220.8634633778411</v>
      </c>
      <c r="O15" s="454">
        <f t="shared" si="1"/>
        <v>157.53677409338977</v>
      </c>
      <c r="P15" s="454">
        <f t="shared" si="1"/>
        <v>221.21314546138547</v>
      </c>
      <c r="Q15" s="454">
        <f t="shared" ca="1" si="1"/>
        <v>615319.71357799554</v>
      </c>
    </row>
    <row r="17" spans="1:17">
      <c r="A17" s="456" t="s">
        <v>531</v>
      </c>
      <c r="B17" s="736">
        <f ca="1">huishoudens!B10</f>
        <v>0.20723868253314429</v>
      </c>
      <c r="C17" s="736">
        <f ca="1">huishoudens!C10</f>
        <v>0.21154716571120585</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2897.7574925163935</v>
      </c>
      <c r="C22" s="444">
        <f t="shared" ref="C22:C32" ca="1" si="3">C4*$C$17</f>
        <v>0</v>
      </c>
      <c r="D22" s="444">
        <f t="shared" ref="D22:D32" si="4">D4*$D$17</f>
        <v>7602.7032127996399</v>
      </c>
      <c r="E22" s="444">
        <f t="shared" ref="E22:E32" si="5">E4*$E$17</f>
        <v>155.06401786417271</v>
      </c>
      <c r="F22" s="444">
        <f t="shared" ref="F22:F32" si="6">F4*$F$17</f>
        <v>3509.9304682185912</v>
      </c>
      <c r="G22" s="444">
        <f t="shared" ref="G22:G32" si="7">G4*$G$17</f>
        <v>0</v>
      </c>
      <c r="H22" s="444">
        <f t="shared" ref="H22:H32" si="8">H4*$H$17</f>
        <v>0</v>
      </c>
      <c r="I22" s="444">
        <f t="shared" ref="I22:I32" si="9">I4*$I$17</f>
        <v>0</v>
      </c>
      <c r="J22" s="444">
        <f t="shared" ref="J22:J32" si="10">J4*$J$17</f>
        <v>23.813046733495373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14189.268238132292</v>
      </c>
    </row>
    <row r="23" spans="1:17">
      <c r="A23" s="443" t="s">
        <v>149</v>
      </c>
      <c r="B23" s="444">
        <f t="shared" ca="1" si="2"/>
        <v>2950.5613099851548</v>
      </c>
      <c r="C23" s="444">
        <f t="shared" ca="1" si="3"/>
        <v>0</v>
      </c>
      <c r="D23" s="444">
        <f t="shared" ca="1" si="4"/>
        <v>3690.0382177408205</v>
      </c>
      <c r="E23" s="444">
        <f t="shared" si="5"/>
        <v>9.8730386964374404</v>
      </c>
      <c r="F23" s="444">
        <f t="shared" ca="1" si="6"/>
        <v>987.67540078029299</v>
      </c>
      <c r="G23" s="444">
        <f t="shared" si="7"/>
        <v>0</v>
      </c>
      <c r="H23" s="444">
        <f t="shared" si="8"/>
        <v>0</v>
      </c>
      <c r="I23" s="444">
        <f t="shared" si="9"/>
        <v>0</v>
      </c>
      <c r="J23" s="444">
        <f t="shared" si="10"/>
        <v>1.2763565899595633E-2</v>
      </c>
      <c r="K23" s="444">
        <f t="shared" si="11"/>
        <v>0</v>
      </c>
      <c r="L23" s="444">
        <f t="shared" ca="1" si="12"/>
        <v>0</v>
      </c>
      <c r="M23" s="444">
        <f t="shared" si="13"/>
        <v>0</v>
      </c>
      <c r="N23" s="444">
        <f t="shared" ca="1" si="14"/>
        <v>0</v>
      </c>
      <c r="O23" s="444">
        <f t="shared" si="15"/>
        <v>0</v>
      </c>
      <c r="P23" s="445">
        <f t="shared" si="16"/>
        <v>0</v>
      </c>
      <c r="Q23" s="443">
        <f t="shared" ref="Q23:Q31" ca="1" si="17">SUM(B23:P23)</f>
        <v>7638.1607307686045</v>
      </c>
    </row>
    <row r="24" spans="1:17">
      <c r="A24" s="443" t="s">
        <v>187</v>
      </c>
      <c r="B24" s="444">
        <f t="shared" ca="1" si="2"/>
        <v>97.844428139103542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97.844428139103542</v>
      </c>
    </row>
    <row r="25" spans="1:17">
      <c r="A25" s="443" t="s">
        <v>105</v>
      </c>
      <c r="B25" s="444">
        <f t="shared" ca="1" si="2"/>
        <v>2825.8260372071495</v>
      </c>
      <c r="C25" s="444">
        <f t="shared" ca="1" si="3"/>
        <v>82019.29915966386</v>
      </c>
      <c r="D25" s="444">
        <f t="shared" si="4"/>
        <v>0</v>
      </c>
      <c r="E25" s="444">
        <f t="shared" si="5"/>
        <v>125.75038708780598</v>
      </c>
      <c r="F25" s="444">
        <f t="shared" si="6"/>
        <v>12878.458498698255</v>
      </c>
      <c r="G25" s="444">
        <f t="shared" si="7"/>
        <v>0</v>
      </c>
      <c r="H25" s="444">
        <f t="shared" si="8"/>
        <v>0</v>
      </c>
      <c r="I25" s="444">
        <f t="shared" si="9"/>
        <v>0</v>
      </c>
      <c r="J25" s="444">
        <f t="shared" si="10"/>
        <v>1371.4525355985488</v>
      </c>
      <c r="K25" s="444">
        <f t="shared" si="11"/>
        <v>0</v>
      </c>
      <c r="L25" s="444">
        <f t="shared" si="12"/>
        <v>0</v>
      </c>
      <c r="M25" s="444">
        <f t="shared" si="13"/>
        <v>0</v>
      </c>
      <c r="N25" s="444">
        <f t="shared" si="14"/>
        <v>0</v>
      </c>
      <c r="O25" s="444">
        <f t="shared" si="15"/>
        <v>0</v>
      </c>
      <c r="P25" s="445">
        <f t="shared" si="16"/>
        <v>0</v>
      </c>
      <c r="Q25" s="443">
        <f t="shared" ca="1" si="17"/>
        <v>99220.786618255617</v>
      </c>
    </row>
    <row r="26" spans="1:17">
      <c r="A26" s="443" t="s">
        <v>587</v>
      </c>
      <c r="B26" s="444">
        <f t="shared" ca="1" si="2"/>
        <v>723.63788645544196</v>
      </c>
      <c r="C26" s="444">
        <f t="shared" ca="1" si="3"/>
        <v>0</v>
      </c>
      <c r="D26" s="444">
        <f t="shared" si="4"/>
        <v>526.28681874806398</v>
      </c>
      <c r="E26" s="444">
        <f t="shared" si="5"/>
        <v>2.6434796932041307</v>
      </c>
      <c r="F26" s="444">
        <f t="shared" si="6"/>
        <v>241.75292544387185</v>
      </c>
      <c r="G26" s="444">
        <f t="shared" si="7"/>
        <v>0</v>
      </c>
      <c r="H26" s="444">
        <f t="shared" si="8"/>
        <v>0</v>
      </c>
      <c r="I26" s="444">
        <f t="shared" si="9"/>
        <v>0</v>
      </c>
      <c r="J26" s="444">
        <f t="shared" si="10"/>
        <v>0.2509621129747111</v>
      </c>
      <c r="K26" s="444">
        <f t="shared" si="11"/>
        <v>0</v>
      </c>
      <c r="L26" s="444">
        <f t="shared" si="12"/>
        <v>0</v>
      </c>
      <c r="M26" s="444">
        <f t="shared" si="13"/>
        <v>0</v>
      </c>
      <c r="N26" s="444">
        <f t="shared" si="14"/>
        <v>0</v>
      </c>
      <c r="O26" s="444">
        <f t="shared" si="15"/>
        <v>0</v>
      </c>
      <c r="P26" s="445">
        <f t="shared" si="16"/>
        <v>0</v>
      </c>
      <c r="Q26" s="443">
        <f t="shared" ca="1" si="17"/>
        <v>1494.5720724535568</v>
      </c>
    </row>
    <row r="27" spans="1:17" s="449" customFormat="1">
      <c r="A27" s="447" t="s">
        <v>536</v>
      </c>
      <c r="B27" s="730">
        <f t="shared" ca="1" si="2"/>
        <v>10.687210951436997</v>
      </c>
      <c r="C27" s="448">
        <f t="shared" ca="1" si="3"/>
        <v>0</v>
      </c>
      <c r="D27" s="448">
        <f t="shared" si="4"/>
        <v>18.52988578504597</v>
      </c>
      <c r="E27" s="448">
        <f t="shared" si="5"/>
        <v>17.838337084258967</v>
      </c>
      <c r="F27" s="448">
        <f t="shared" si="6"/>
        <v>0</v>
      </c>
      <c r="G27" s="448">
        <f t="shared" si="7"/>
        <v>9131.5028203427064</v>
      </c>
      <c r="H27" s="448">
        <f t="shared" si="8"/>
        <v>2188.7624059088112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11367.320660072259</v>
      </c>
    </row>
    <row r="28" spans="1:17" ht="16.5" customHeight="1">
      <c r="A28" s="443" t="s">
        <v>526</v>
      </c>
      <c r="B28" s="444">
        <f t="shared" ca="1" si="2"/>
        <v>2.2766826413983412</v>
      </c>
      <c r="C28" s="444">
        <f t="shared" ca="1" si="3"/>
        <v>0</v>
      </c>
      <c r="D28" s="444">
        <f t="shared" si="4"/>
        <v>0</v>
      </c>
      <c r="E28" s="444">
        <f t="shared" si="5"/>
        <v>0</v>
      </c>
      <c r="F28" s="444">
        <f t="shared" si="6"/>
        <v>0</v>
      </c>
      <c r="G28" s="444">
        <f t="shared" si="7"/>
        <v>212.51537677961454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214.79205942101288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140.32925954666712</v>
      </c>
      <c r="C32" s="444">
        <f t="shared" ca="1" si="3"/>
        <v>0</v>
      </c>
      <c r="D32" s="444">
        <f t="shared" si="4"/>
        <v>33.330385214000003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173.65964476066711</v>
      </c>
    </row>
    <row r="33" spans="1:17" s="455" customFormat="1">
      <c r="A33" s="453" t="s">
        <v>530</v>
      </c>
      <c r="B33" s="454">
        <f ca="1">SUM(B22:B32)</f>
        <v>9648.920307442746</v>
      </c>
      <c r="C33" s="454">
        <f t="shared" ref="C33:Q33" ca="1" si="19">SUM(C22:C32)</f>
        <v>82019.29915966386</v>
      </c>
      <c r="D33" s="454">
        <f t="shared" ca="1" si="19"/>
        <v>11870.88852028757</v>
      </c>
      <c r="E33" s="454">
        <f t="shared" si="19"/>
        <v>311.16926042587926</v>
      </c>
      <c r="F33" s="454">
        <f t="shared" ca="1" si="19"/>
        <v>17617.817293141008</v>
      </c>
      <c r="G33" s="454">
        <f t="shared" si="19"/>
        <v>9344.018197122321</v>
      </c>
      <c r="H33" s="454">
        <f t="shared" si="19"/>
        <v>2188.7624059088112</v>
      </c>
      <c r="I33" s="454">
        <f t="shared" si="19"/>
        <v>0</v>
      </c>
      <c r="J33" s="454">
        <f t="shared" si="19"/>
        <v>1395.5293080109186</v>
      </c>
      <c r="K33" s="454">
        <f t="shared" si="19"/>
        <v>0</v>
      </c>
      <c r="L33" s="454">
        <f t="shared" ca="1" si="19"/>
        <v>0</v>
      </c>
      <c r="M33" s="454">
        <f t="shared" si="19"/>
        <v>0</v>
      </c>
      <c r="N33" s="454">
        <f t="shared" ca="1" si="19"/>
        <v>0</v>
      </c>
      <c r="O33" s="454">
        <f t="shared" si="19"/>
        <v>0</v>
      </c>
      <c r="P33" s="454">
        <f t="shared" si="19"/>
        <v>0</v>
      </c>
      <c r="Q33" s="454">
        <f t="shared" ca="1" si="19"/>
        <v>134396.4044520031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3995.3557105224604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29806.650000000009</v>
      </c>
      <c r="C8" s="979">
        <f>'SEAP template'!C76</f>
        <v>241591.5</v>
      </c>
      <c r="D8" s="979">
        <f>'SEAP template'!D76</f>
        <v>284225.29411764705</v>
      </c>
      <c r="E8" s="979">
        <f>'SEAP template'!E76</f>
        <v>0</v>
      </c>
      <c r="F8" s="979">
        <f>'SEAP template'!F76</f>
        <v>0</v>
      </c>
      <c r="G8" s="979">
        <f>'SEAP template'!G76</f>
        <v>0</v>
      </c>
      <c r="H8" s="979">
        <f>'SEAP template'!H76</f>
        <v>0</v>
      </c>
      <c r="I8" s="979">
        <f>'SEAP template'!I76</f>
        <v>0</v>
      </c>
      <c r="J8" s="979">
        <f>'SEAP template'!J76</f>
        <v>35066.647058823539</v>
      </c>
      <c r="K8" s="979">
        <f>'SEAP template'!K76</f>
        <v>0</v>
      </c>
      <c r="L8" s="979">
        <f>'SEAP template'!L76</f>
        <v>0</v>
      </c>
      <c r="M8" s="979">
        <f>'SEAP template'!M76</f>
        <v>0</v>
      </c>
      <c r="N8" s="979">
        <f>'SEAP template'!N76</f>
        <v>0</v>
      </c>
      <c r="O8" s="979">
        <f>'SEAP template'!O76</f>
        <v>0</v>
      </c>
      <c r="P8" s="980">
        <f>'SEAP template'!Q76</f>
        <v>57413.50941176471</v>
      </c>
    </row>
    <row r="9" spans="1:16">
      <c r="A9" s="985" t="s">
        <v>742</v>
      </c>
      <c r="B9" s="979">
        <f>'SEAP template'!B77</f>
        <v>1647</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4705.7142857142862</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35449.00571052247</v>
      </c>
      <c r="C10" s="981">
        <f>SUM(C4:C9)</f>
        <v>241591.5</v>
      </c>
      <c r="D10" s="981">
        <f t="shared" ref="D10:H10" si="0">SUM(D8:D9)</f>
        <v>284225.29411764705</v>
      </c>
      <c r="E10" s="981">
        <f t="shared" si="0"/>
        <v>0</v>
      </c>
      <c r="F10" s="981">
        <f t="shared" si="0"/>
        <v>0</v>
      </c>
      <c r="G10" s="981">
        <f t="shared" si="0"/>
        <v>0</v>
      </c>
      <c r="H10" s="981">
        <f t="shared" si="0"/>
        <v>0</v>
      </c>
      <c r="I10" s="981">
        <f>SUM(I8:I9)</f>
        <v>0</v>
      </c>
      <c r="J10" s="981">
        <f>SUM(J8:J9)</f>
        <v>39772.361344537829</v>
      </c>
      <c r="K10" s="981">
        <f t="shared" ref="K10:L10" si="1">SUM(K8:K9)</f>
        <v>0</v>
      </c>
      <c r="L10" s="981">
        <f t="shared" si="1"/>
        <v>0</v>
      </c>
      <c r="M10" s="981">
        <f>SUM(M8:M9)</f>
        <v>0</v>
      </c>
      <c r="N10" s="981">
        <f>SUM(N8:N9)</f>
        <v>0</v>
      </c>
      <c r="O10" s="981">
        <f>SUM(O8:O9)</f>
        <v>0</v>
      </c>
      <c r="P10" s="981">
        <f>SUM(P8:P9)</f>
        <v>57413.50941176471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0.20723868253314429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42580.928571428587</v>
      </c>
      <c r="C17" s="982">
        <f>'SEAP template'!C87</f>
        <v>345130.71428571426</v>
      </c>
      <c r="D17" s="980">
        <f>'SEAP template'!D87</f>
        <v>406036.13445378147</v>
      </c>
      <c r="E17" s="980">
        <f>'SEAP template'!E87</f>
        <v>0</v>
      </c>
      <c r="F17" s="980">
        <f>'SEAP template'!F87</f>
        <v>0</v>
      </c>
      <c r="G17" s="980">
        <f>'SEAP template'!G87</f>
        <v>0</v>
      </c>
      <c r="H17" s="980">
        <f>'SEAP template'!H87</f>
        <v>0</v>
      </c>
      <c r="I17" s="980">
        <f>'SEAP template'!I87</f>
        <v>0</v>
      </c>
      <c r="J17" s="980">
        <f>'SEAP template'!J87</f>
        <v>50095.210084033628</v>
      </c>
      <c r="K17" s="980">
        <f>'SEAP template'!K87</f>
        <v>0</v>
      </c>
      <c r="L17" s="980">
        <f>'SEAP template'!L87</f>
        <v>0</v>
      </c>
      <c r="M17" s="980">
        <f>'SEAP template'!M87</f>
        <v>0</v>
      </c>
      <c r="N17" s="980">
        <f>'SEAP template'!N87</f>
        <v>0</v>
      </c>
      <c r="O17" s="980">
        <f>'SEAP template'!O87</f>
        <v>0</v>
      </c>
      <c r="P17" s="980">
        <f>'SEAP template'!Q87</f>
        <v>82019.29915966386</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42580.928571428587</v>
      </c>
      <c r="C20" s="981">
        <f>SUM(C17:C19)</f>
        <v>345130.71428571426</v>
      </c>
      <c r="D20" s="981">
        <f t="shared" ref="D20:H20" si="2">SUM(D17:D19)</f>
        <v>406036.13445378147</v>
      </c>
      <c r="E20" s="981">
        <f t="shared" si="2"/>
        <v>0</v>
      </c>
      <c r="F20" s="981">
        <f t="shared" si="2"/>
        <v>0</v>
      </c>
      <c r="G20" s="981">
        <f t="shared" si="2"/>
        <v>0</v>
      </c>
      <c r="H20" s="981">
        <f t="shared" si="2"/>
        <v>0</v>
      </c>
      <c r="I20" s="981">
        <f>SUM(I17:I19)</f>
        <v>0</v>
      </c>
      <c r="J20" s="981">
        <f>SUM(J17:J19)</f>
        <v>50095.210084033628</v>
      </c>
      <c r="K20" s="981">
        <f t="shared" ref="K20:L20" si="3">SUM(K17:K19)</f>
        <v>0</v>
      </c>
      <c r="L20" s="981">
        <f t="shared" si="3"/>
        <v>0</v>
      </c>
      <c r="M20" s="981">
        <f>SUM(M17:M19)</f>
        <v>0</v>
      </c>
      <c r="N20" s="981">
        <f>SUM(N17:N19)</f>
        <v>0</v>
      </c>
      <c r="O20" s="981">
        <f>SUM(O17:O19)</f>
        <v>0</v>
      </c>
      <c r="P20" s="981">
        <f>SUM(P17:P19)</f>
        <v>82019.29915966386</v>
      </c>
    </row>
    <row r="21" spans="1:16">
      <c r="B21" s="840"/>
    </row>
    <row r="22" spans="1:16">
      <c r="A22" s="456" t="s">
        <v>754</v>
      </c>
      <c r="B22" s="736" t="s">
        <v>752</v>
      </c>
      <c r="C22" s="736">
        <f ca="1">'EF ele_warmte'!B22</f>
        <v>0.21154716571120585</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0.20723868253314429</v>
      </c>
      <c r="C17" s="492">
        <f ca="1">'EF ele_warmte'!B22</f>
        <v>0.21154716571120585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2022-07-26T10:08:20Z</dcterms:modified>
</cp:coreProperties>
</file>