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3B7AE0B-5118-47A0-8704-72730FAAFF0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58"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67" i="18"/>
  <c r="V67" i="18"/>
  <c r="U67" i="18"/>
  <c r="T67" i="18"/>
  <c r="S67" i="18"/>
  <c r="R67" i="18"/>
  <c r="Q67" i="18"/>
  <c r="P67" i="18"/>
  <c r="O67" i="18"/>
  <c r="N67" i="18"/>
  <c r="M67" i="18"/>
  <c r="W66" i="18"/>
  <c r="V66" i="18"/>
  <c r="U66" i="18"/>
  <c r="T66" i="18"/>
  <c r="S66" i="18"/>
  <c r="R66" i="18"/>
  <c r="Q66" i="18"/>
  <c r="P66" i="18"/>
  <c r="O66" i="18"/>
  <c r="N66" i="18"/>
  <c r="M66" i="18"/>
  <c r="W65" i="18"/>
  <c r="V65" i="18"/>
  <c r="U65" i="18"/>
  <c r="T65" i="18"/>
  <c r="S65" i="18"/>
  <c r="R65" i="18"/>
  <c r="Q65" i="18"/>
  <c r="P65" i="18"/>
  <c r="O65" i="18"/>
  <c r="N65" i="18"/>
  <c r="M65" i="18"/>
  <c r="W64" i="18"/>
  <c r="H9" i="18"/>
  <c r="M77" i="14"/>
  <c r="M9" i="59"/>
  <c r="V64" i="18"/>
  <c r="U64" i="18"/>
  <c r="T64" i="18"/>
  <c r="I9" i="18"/>
  <c r="I77" i="14"/>
  <c r="I9" i="59"/>
  <c r="S64" i="18"/>
  <c r="E9" i="18"/>
  <c r="F77" i="14"/>
  <c r="F9" i="59"/>
  <c r="R64" i="18"/>
  <c r="Q64" i="18"/>
  <c r="P64" i="18"/>
  <c r="O64" i="18"/>
  <c r="N64" i="18"/>
  <c r="B9" i="18"/>
  <c r="M64" i="18"/>
  <c r="W60" i="18"/>
  <c r="V60" i="18"/>
  <c r="U60" i="18"/>
  <c r="T60" i="18"/>
  <c r="L6" i="17"/>
  <c r="L5" i="17"/>
  <c r="S60" i="18"/>
  <c r="F6" i="17"/>
  <c r="R60" i="18"/>
  <c r="Q60" i="18"/>
  <c r="P60" i="18"/>
  <c r="O60" i="18"/>
  <c r="N60" i="18"/>
  <c r="M60" i="18"/>
  <c r="W59" i="18"/>
  <c r="V59" i="18"/>
  <c r="U59" i="18"/>
  <c r="T59" i="18"/>
  <c r="S59" i="18"/>
  <c r="R59" i="18"/>
  <c r="Q59" i="18"/>
  <c r="P59" i="18"/>
  <c r="O59" i="18"/>
  <c r="C13" i="15"/>
  <c r="N59" i="18"/>
  <c r="B13" i="15"/>
  <c r="M59" i="18"/>
  <c r="W58" i="18"/>
  <c r="V58" i="18"/>
  <c r="U58" i="18"/>
  <c r="T58" i="18"/>
  <c r="S58" i="18"/>
  <c r="F16" i="16"/>
  <c r="R58" i="18"/>
  <c r="Q58" i="18"/>
  <c r="P58" i="18"/>
  <c r="O58" i="18"/>
  <c r="N58" i="18"/>
  <c r="W57" i="18"/>
  <c r="V57" i="18"/>
  <c r="U57" i="18"/>
  <c r="T57" i="18"/>
  <c r="S57" i="18"/>
  <c r="R57" i="18"/>
  <c r="Q57" i="18"/>
  <c r="P57" i="18"/>
  <c r="O57" i="18"/>
  <c r="B17" i="18"/>
  <c r="N57" i="18"/>
  <c r="B8" i="18"/>
  <c r="M57"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73" i="18"/>
  <c r="B77" i="18"/>
  <c r="B16" i="16"/>
  <c r="K9" i="14"/>
  <c r="H77" i="14"/>
  <c r="J11" i="48"/>
  <c r="J29" i="48"/>
  <c r="M9" i="14"/>
  <c r="L11" i="48"/>
  <c r="O19" i="14"/>
  <c r="O22" i="14"/>
  <c r="N10" i="48"/>
  <c r="N28" i="48"/>
  <c r="J19" i="14"/>
  <c r="J22" i="14"/>
  <c r="I10" i="48"/>
  <c r="I28" i="48"/>
  <c r="J19" i="19"/>
  <c r="K39" i="14"/>
  <c r="N19" i="19"/>
  <c r="O39" i="14"/>
  <c r="C73" i="18"/>
  <c r="I76"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76" i="18"/>
  <c r="E8" i="18"/>
  <c r="F76" i="14"/>
  <c r="F7" i="48"/>
  <c r="F25" i="48"/>
  <c r="D76" i="18"/>
  <c r="O9" i="18"/>
  <c r="M29" i="48"/>
  <c r="F12" i="17"/>
  <c r="G54" i="14"/>
  <c r="G56" i="14"/>
  <c r="C77" i="18"/>
  <c r="C76" i="18"/>
  <c r="B10" i="18"/>
  <c r="E77" i="18"/>
  <c r="E17" i="18"/>
  <c r="F87" i="14"/>
  <c r="G77" i="18"/>
  <c r="D7" i="48"/>
  <c r="D25" i="48"/>
  <c r="H76" i="18"/>
  <c r="G76" i="18"/>
  <c r="D77" i="18"/>
  <c r="L28" i="48"/>
  <c r="H77" i="18"/>
  <c r="I77" i="18"/>
  <c r="H17" i="18"/>
  <c r="F77" i="18"/>
  <c r="F76" i="18"/>
  <c r="H10" i="18"/>
  <c r="M78" i="14"/>
  <c r="B76"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<sst xmlns="http://schemas.openxmlformats.org/spreadsheetml/2006/main" count="2550" uniqueCount="890">
  <si>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</si>
  <si>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</si>
  <si>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</si>
  <si>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</si>
  <si>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</si>
  <si>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</si>
  <si>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</si>
  <si>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</si>
  <si>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</si>
  <si>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</si>
  <si>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</si>
  <si>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</si>
  <si>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</si>
  <si>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</si>
  <si>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</si>
  <si>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</si>
  <si>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</si>
  <si>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</si>
  <si>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</si>
  <si>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</si>
  <si>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</si>
  <si>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</si>
  <si>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</si>
  <si>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</si>
  <si>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</si>
  <si>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</si>
  <si>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</si>
  <si>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</si>
  <si>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</si>
  <si>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</si>
  <si>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</si>
  <si>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</si>
  <si>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</si>
  <si>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</si>
  <si>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</si>
  <si>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</si>
  <si>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</si>
  <si>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</si>
  <si>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</si>
  <si>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</si>
  <si>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</si>
  <si>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</si>
  <si>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</si>
  <si>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</si>
  <si>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</si>
  <si>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</si>
  <si>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</si>
  <si>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</si>
  <si>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</si>
  <si>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</si>
  <si>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</si>
  <si>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</si>
  <si>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</si>
  <si>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</si>
  <si>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</si>
  <si>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</si>
  <si>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</si>
  <si>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</si>
  <si>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</si>
  <si>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</si>
  <si>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</si>
  <si>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</si>
  <si>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</si>
  <si>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</si>
  <si>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</si>
  <si>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</si>
  <si>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</si>
  <si>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</si>
  <si>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</si>
  <si>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</si>
  <si>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</si>
  <si>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</si>
  <si>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</si>
  <si>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</si>
  <si>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</si>
  <si>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</si>
  <si>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</si>
  <si>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</si>
  <si>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</si>
  <si>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</si>
  <si>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</si>
  <si>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</si>
  <si>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</si>
  <si>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</si>
  <si>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</si>
  <si>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</si>
  <si>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</si>
  <si>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</si>
  <si>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</si>
  <si>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</si>
  <si>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</si>
  <si>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</si>
  <si>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</si>
  <si>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</si>
  <si>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</si>
  <si>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</si>
  <si>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</si>
  <si>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</si>
  <si>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</si>
  <si>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</si>
  <si>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</si>
  <si>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</si>
  <si>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</si>
  <si>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</si>
  <si>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</si>
  <si>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</si>
  <si>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</si>
  <si>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</si>
  <si>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</si>
  <si>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</si>
  <si>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</si>
  <si>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</si>
  <si>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</si>
  <si>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</si>
  <si>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</si>
  <si>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</si>
  <si>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</si>
  <si>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</si>
  <si>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</si>
  <si>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</si>
  <si>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</si>
  <si>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</si>
  <si>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</si>
  <si>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</si>
  <si>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</si>
  <si>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</si>
  <si>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</si>
  <si>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</si>
  <si>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</si>
  <si>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</si>
  <si>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</si>
  <si>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</si>
  <si>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</si>
  <si>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</si>
  <si>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</si>
  <si>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</si>
  <si>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</si>
  <si>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</si>
  <si>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</si>
  <si>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</si>
  <si>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</si>
  <si>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</si>
  <si>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</si>
  <si>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</si>
  <si>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</si>
  <si>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</si>
  <si>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</si>
  <si>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</si>
  <si>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</si>
  <si>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</si>
  <si>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</si>
  <si>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</si>
  <si>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</si>
  <si>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</si>
  <si>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</si>
  <si>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</si>
  <si>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</si>
  <si>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</si>
  <si>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</si>
  <si>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</si>
  <si>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</si>
  <si>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</si>
  <si>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</si>
  <si>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</si>
  <si>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</si>
  <si>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</si>
  <si>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</si>
  <si>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</si>
  <si>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</si>
  <si>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</si>
  <si>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</si>
  <si>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</si>
  <si>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</si>
  <si>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</si>
  <si>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</si>
  <si>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</si>
  <si>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</si>
  <si>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</si>
  <si>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</si>
  <si>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</si>
  <si>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</si>
  <si>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</si>
  <si>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</si>
  <si>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</si>
  <si>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</si>
  <si>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</si>
  <si>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</si>
  <si>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</si>
  <si>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</si>
  <si>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</si>
  <si>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</si>
  <si>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</si>
  <si>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</si>
  <si>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</si>
  <si>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</si>
  <si>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</si>
  <si>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</si>
  <si>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</si>
  <si>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</si>
  <si>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</si>
  <si>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</si>
  <si>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</si>
  <si>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</si>
  <si>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</si>
  <si>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</si>
  <si>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</si>
  <si>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</si>
  <si>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</si>
  <si>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</si>
  <si>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</si>
  <si>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</si>
  <si>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</si>
  <si>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</si>
  <si>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</si>
  <si>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</si>
  <si>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</si>
  <si>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</si>
  <si>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</si>
  <si>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</si>
  <si>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</si>
  <si>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</si>
  <si>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</si>
  <si>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</si>
  <si>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</si>
  <si>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</si>
  <si>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</si>
  <si>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</si>
  <si>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</si>
  <si>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</si>
  <si>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</si>
  <si>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</si>
  <si>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</si>
  <si>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</si>
  <si>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</si>
  <si>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</si>
  <si>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</si>
  <si>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</si>
  <si>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</si>
  <si>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</si>
  <si>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</si>
  <si>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</si>
  <si>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</si>
  <si>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</si>
  <si>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</si>
  <si>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</si>
  <si>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</si>
  <si>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</si>
  <si>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</si>
  <si>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</si>
  <si>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</si>
  <si>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</si>
  <si>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</si>
  <si>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</si>
  <si>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</si>
  <si>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</si>
  <si>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</si>
  <si>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</si>
  <si>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</si>
  <si>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</si>
  <si>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</si>
  <si>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</si>
  <si>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</si>
  <si>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</si>
  <si>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</si>
  <si>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</si>
  <si>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</si>
  <si>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</si>
  <si>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</si>
  <si>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</si>
  <si>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</si>
  <si>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</si>
  <si>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</si>
  <si>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</si>
  <si>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</si>
  <si>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</si>
  <si>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</si>
  <si>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</si>
  <si>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</si>
  <si>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</si>
  <si>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</si>
  <si>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</si>
  <si>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</si>
  <si>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</si>
  <si>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</si>
  <si>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</si>
  <si>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</si>
  <si>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</si>
  <si>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</si>
  <si>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</si>
  <si>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</si>
  <si>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</si>
  <si>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</si>
  <si>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</si>
  <si>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</si>
  <si>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</si>
  <si>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</si>
  <si>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</si>
  <si>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</si>
  <si>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</si>
  <si>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</si>
  <si>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</si>
  <si>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</si>
  <si>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</si>
  <si>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</si>
  <si>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</si>
  <si>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</si>
  <si>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</si>
  <si>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</si>
  <si>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</si>
  <si>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</si>
  <si>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</si>
  <si>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</si>
  <si>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</si>
  <si>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</si>
  <si>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</si>
  <si>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</si>
  <si>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</si>
  <si>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</si>
  <si>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</si>
  <si>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</si>
  <si>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</si>
  <si>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</si>
  <si>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</si>
  <si>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</si>
  <si>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</si>
  <si>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</si>
  <si>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</si>
  <si>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</si>
  <si>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</si>
  <si>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</si>
  <si>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</si>
  <si>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</si>
  <si>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</si>
  <si>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</si>
  <si>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</si>
  <si>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</si>
  <si>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</si>
  <si>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</si>
  <si>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</si>
  <si>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</si>
  <si>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</si>
  <si>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</si>
  <si>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</si>
  <si>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</si>
  <si>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</si>
  <si>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</si>
  <si>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</si>
  <si>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</si>
  <si>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</si>
  <si>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</si>
  <si>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</si>
  <si>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</si>
  <si>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</si>
  <si>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</si>
  <si>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</si>
  <si>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</si>
  <si>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</si>
  <si>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</si>
  <si>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</si>
  <si>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</si>
  <si>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</si>
  <si>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</si>
  <si>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</si>
  <si>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</si>
  <si>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</si>
  <si>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</si>
  <si>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</si>
  <si>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</si>
  <si>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</si>
  <si>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</si>
  <si>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</si>
  <si>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</si>
  <si>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</si>
  <si>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</si>
  <si>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</si>
  <si>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</si>
  <si>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</si>
  <si>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</si>
  <si>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</si>
  <si>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</si>
  <si>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</si>
  <si>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</si>
  <si>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</si>
  <si>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</si>
  <si>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</si>
  <si>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</si>
  <si>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</si>
  <si>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</si>
  <si>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</si>
  <si>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</si>
  <si>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</si>
  <si>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</si>
  <si>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</si>
  <si>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</si>
  <si>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</si>
  <si>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</si>
  <si>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</si>
  <si>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</si>
  <si>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</si>
  <si>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</si>
  <si>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</si>
  <si>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</si>
  <si>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</si>
  <si>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</si>
  <si>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</si>
  <si>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</si>
  <si>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</si>
  <si>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</si>
  <si>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</si>
  <si>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</si>
  <si>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</si>
  <si>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</si>
  <si>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</si>
  <si>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</si>
  <si>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</si>
  <si>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</si>
  <si>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</si>
  <si>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</si>
  <si>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</si>
  <si>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</si>
  <si>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</si>
  <si>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</si>
  <si>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</si>
  <si>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</si>
  <si>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</si>
  <si>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</si>
  <si>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</si>
  <si>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</si>
  <si>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</si>
  <si>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</si>
  <si>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</si>
  <si>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</si>
  <si>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</si>
  <si>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</si>
  <si>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</si>
  <si>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</si>
  <si>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</si>
  <si>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</si>
  <si>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</si>
  <si>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</si>
  <si>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</si>
  <si>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</si>
  <si>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</si>
  <si>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</si>
  <si>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</si>
  <si>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</si>
  <si>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</si>
  <si>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</si>
  <si>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</si>
  <si>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</si>
  <si>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</si>
  <si>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</si>
  <si>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</si>
  <si>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</si>
  <si>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</si>
  <si>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</si>
  <si>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</si>
  <si>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</si>
  <si>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</si>
  <si>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</si>
  <si>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</si>
  <si>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</si>
  <si>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</si>
  <si>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</si>
  <si>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</si>
  <si>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</si>
  <si>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</si>
  <si>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</si>
  <si>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</si>
  <si>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</si>
  <si>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</si>
  <si>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</si>
  <si>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</si>
  <si>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</si>
  <si>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</si>
  <si>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</si>
  <si>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</si>
  <si>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</si>
  <si>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</si>
  <si>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</si>
  <si>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</si>
  <si>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</si>
  <si>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</si>
  <si>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</si>
  <si>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</si>
  <si>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</si>
  <si>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</si>
  <si>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</si>
  <si>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</si>
  <si>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</si>
  <si>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</si>
  <si>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</si>
  <si>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</si>
  <si>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</si>
  <si>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</si>
  <si>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</si>
  <si>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</si>
  <si>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</si>
  <si>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</si>
  <si>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</si>
  <si>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</si>
  <si>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</si>
  <si>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</si>
  <si>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</si>
  <si>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</si>
  <si>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</si>
  <si>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</si>
  <si>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</si>
  <si>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</si>
  <si>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</si>
  <si>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</si>
  <si>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</si>
  <si>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</si>
  <si>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</si>
  <si>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</si>
  <si>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</si>
  <si>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</si>
  <si>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</si>
  <si>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</si>
  <si>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</si>
  <si>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</si>
  <si>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</si>
  <si>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</si>
  <si>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</si>
  <si>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</si>
  <si>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</si>
  <si>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</si>
  <si>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</si>
  <si>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</si>
  <si>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</si>
  <si>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</si>
  <si>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</si>
  <si>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</si>
  <si>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</si>
  <si>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</si>
  <si>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</si>
  <si>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</si>
  <si>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</si>
  <si>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</si>
  <si>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</si>
  <si>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</si>
  <si>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</si>
  <si>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</si>
  <si>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</si>
  <si>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</si>
  <si>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</si>
  <si>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</si>
  <si>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</si>
  <si>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</si>
  <si>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</si>
  <si>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</si>
  <si>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</si>
  <si>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</si>
  <si>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</si>
  <si>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</si>
  <si>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</si>
  <si>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</si>
  <si>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</si>
  <si>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</si>
  <si>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</si>
  <si>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</si>
  <si>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</si>
  <si>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</si>
  <si>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</si>
  <si>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</si>
  <si>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</si>
  <si>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</si>
  <si>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</si>
  <si>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</si>
  <si>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</si>
  <si>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</si>
  <si>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</si>
  <si>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</si>
  <si>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</si>
  <si>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</si>
  <si>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</si>
  <si>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</si>
  <si>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</si>
  <si>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</si>
  <si>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</si>
  <si>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</si>
  <si>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</si>
  <si>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</si>
  <si>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</si>
  <si>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</si>
  <si>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</si>
  <si>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</si>
  <si>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</si>
  <si>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</si>
  <si>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</si>
  <si>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</si>
  <si>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</si>
  <si>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</si>
  <si>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</si>
  <si>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</si>
  <si>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</si>
  <si>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</si>
  <si>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</si>
  <si>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</si>
  <si>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</si>
  <si>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</si>
  <si>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</si>
  <si>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</si>
  <si>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</si>
  <si>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</si>
  <si>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</si>
  <si>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</si>
  <si>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</si>
  <si>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</si>
  <si>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</si>
  <si>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</si>
  <si>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</si>
  <si>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</si>
  <si>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</si>
  <si>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</si>
  <si>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</si>
  <si>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</si>
  <si>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</si>
  <si>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</si>
  <si>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</si>
  <si>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</si>
  <si>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</si>
  <si>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</si>
  <si>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</si>
  <si>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</si>
  <si>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</si>
  <si>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</si>
  <si>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</si>
  <si>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</si>
  <si>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</si>
  <si>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</si>
  <si>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</si>
  <si>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</si>
  <si>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</si>
  <si>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</si>
  <si>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</si>
  <si>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</si>
  <si>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</si>
  <si>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</si>
  <si>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</si>
  <si>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</si>
  <si>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</si>
  <si>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</si>
  <si>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</si>
  <si>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</si>
  <si>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</si>
  <si>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</si>
  <si>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</si>
  <si>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</si>
  <si>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</si>
  <si>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</si>
  <si>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</si>
  <si>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</si>
  <si>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</si>
  <si>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</si>
  <si>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</si>
  <si>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</si>
  <si>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</si>
  <si>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</si>
  <si>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</si>
  <si>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</si>
  <si>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</si>
  <si>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</si>
  <si>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</si>
  <si>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</si>
  <si>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</si>
  <si>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</si>
  <si>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</si>
  <si>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</si>
  <si>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</si>
  <si>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</si>
  <si>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</si>
  <si>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</si>
  <si>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</si>
  <si>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</si>
  <si>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</si>
  <si>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</si>
  <si>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</si>
  <si>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</si>
  <si>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</si>
  <si>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</si>
  <si>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</si>
  <si>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</si>
  <si>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</si>
  <si>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</si>
  <si>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</si>
  <si>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</si>
  <si>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</si>
  <si>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</si>
  <si>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</si>
  <si>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</si>
  <si>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</si>
  <si>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</si>
  <si>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</si>
  <si>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</si>
  <si>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</si>
  <si>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</si>
  <si>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</si>
  <si>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</si>
  <si>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</si>
  <si>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</si>
  <si>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</si>
  <si>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</si>
  <si>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</si>
  <si>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</si>
  <si>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</si>
  <si>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</si>
  <si>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</si>
  <si>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</si>
  <si>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</si>
  <si>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</si>
  <si>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</si>
  <si>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</si>
  <si>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</si>
  <si>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</si>
  <si>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</si>
  <si>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</si>
  <si>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</si>
  <si>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</si>
  <si>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</si>
  <si>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</si>
  <si>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</si>
  <si>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</si>
  <si>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</si>
  <si>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</si>
  <si>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</si>
  <si>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</si>
  <si>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</si>
  <si>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</si>
  <si>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</si>
  <si>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</si>
  <si>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</si>
  <si>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</si>
  <si>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</si>
  <si>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</si>
  <si>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</si>
  <si>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</si>
  <si>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</si>
  <si>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</si>
  <si>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</si>
  <si>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</si>
  <si>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</si>
  <si>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</si>
  <si>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</si>
  <si>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</si>
  <si>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</si>
  <si>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</si>
  <si>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</si>
  <si>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</si>
  <si>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</si>
  <si>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</si>
  <si>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</si>
  <si>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</si>
  <si>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</si>
  <si>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</si>
  <si>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</si>
  <si>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</si>
  <si>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</si>
  <si>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</si>
  <si>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</si>
  <si>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</si>
  <si>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</si>
  <si>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</si>
  <si>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</si>
  <si>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</si>
  <si>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</si>
  <si>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</si>
  <si>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</si>
  <si>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</si>
  <si>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</si>
  <si>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</si>
  <si>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</si>
  <si>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</si>
  <si>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</si>
  <si>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</si>
  <si>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</si>
  <si>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</si>
  <si>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</si>
  <si>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</si>
  <si>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</si>
  <si>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</si>
  <si>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</si>
  <si>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</si>
  <si>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</si>
  <si>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</si>
  <si>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</si>
  <si>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</si>
  <si>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</si>
  <si>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</si>
  <si>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</si>
  <si>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</si>
  <si>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</si>
  <si>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</si>
  <si>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</si>
  <si>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</si>
  <si>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</si>
  <si>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</si>
  <si>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</si>
  <si>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</si>
  <si>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</si>
  <si>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</si>
  <si>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</si>
  <si>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</si>
  <si>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</si>
  <si>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</si>
  <si>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</si>
  <si>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</si>
  <si>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</si>
  <si>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</si>
  <si>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</si>
  <si>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</si>
  <si>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</si>
  <si>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</si>
  <si>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</si>
  <si>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</si>
  <si>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</si>
  <si>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</si>
  <si>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</si>
  <si>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</si>
  <si>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</si>
  <si>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</si>
  <si>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</si>
  <si>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</si>
  <si>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</si>
  <si>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</si>
  <si>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</si>
  <si>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</si>
  <si>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</si>
  <si>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</si>
  <si>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</si>
  <si>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</si>
  <si>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</si>
  <si>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</si>
  <si>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</si>
  <si>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</si>
  <si>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</si>
  <si>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</si>
  <si>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</si>
  <si>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</si>
  <si>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</si>
  <si>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</si>
  <si>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</si>
  <si>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</si>
  <si>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</si>
  <si>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</si>
  <si>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</si>
  <si>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</si>
  <si>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</si>
  <si>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</si>
  <si>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</si>
  <si>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</si>
  <si>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</si>
  <si>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</si>
  <si>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</si>
  <si>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</si>
  <si>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</si>
  <si>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</si>
  <si>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</si>
  <si>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</si>
  <si>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</si>
  <si>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</si>
  <si>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</si>
  <si>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</si>
  <si>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</si>
  <si>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</si>
  <si>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</si>
  <si>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</si>
  <si>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</si>
  <si>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</si>
  <si>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</si>
  <si>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</si>
  <si>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</si>
  <si>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</si>
  <si>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</si>
  <si>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</si>
  <si>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</si>
  <si>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</si>
  <si>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</si>
  <si>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</si>
  <si>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</si>
  <si>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12035</t>
  </si>
  <si>
    <t>SINT-KATELIJNE-WAVER</t>
  </si>
  <si>
    <t>vloeibaar gas (MWh)</t>
  </si>
  <si>
    <t>interne verbrandingsmotor</t>
  </si>
  <si>
    <t>WKK interne verbrandinsgmotor (vloeibaar)</t>
  </si>
  <si>
    <t>IVERLEK</t>
  </si>
  <si>
    <t>WKK interne verbrandinsgmotor (gas)</t>
  </si>
  <si>
    <t>eilandwerking</t>
  </si>
  <si>
    <t>Interne verbrandingsmotor</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</si>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</sst>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F89B5E6-D691-43D1-BFFC-16AF8A5F7F0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168298.99018698101</c:v>
                </c:pt>
                <c:pt idx="1">
                  <c:v>115623.31400891184</c:v>
                </c:pt>
                <c:pt idx="2">
                  <c:v>1351.8779999999999</c:v>
                </c:pt>
                <c:pt idx="3">
                  <c:v>317753.50286380941</c:v>
                </c:pt>
                <c:pt idx="4">
                  <c:v>16564.65060309926</c:v>
                </c:pt>
                <c:pt idx="5">
                  <c:v>79958.991245676298</c:v>
                </c:pt>
                <c:pt idx="6">
                  <c:v>2390.0089731248881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168298.99018698101</c:v>
                </c:pt>
                <c:pt idx="1">
                  <c:v>115623.31400891184</c:v>
                </c:pt>
                <c:pt idx="2">
                  <c:v>1351.8779999999999</c:v>
                </c:pt>
                <c:pt idx="3">
                  <c:v>317753.50286380941</c:v>
                </c:pt>
                <c:pt idx="4">
                  <c:v>16564.65060309926</c:v>
                </c:pt>
                <c:pt idx="5">
                  <c:v>79958.991245676298</c:v>
                </c:pt>
                <c:pt idx="6">
                  <c:v>2390.0089731248881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34431.632639320676</c:v>
                </c:pt>
                <c:pt idx="1">
                  <c:v>24273.189104385423</c:v>
                </c:pt>
                <c:pt idx="2">
                  <c:v>285.46574700961071</c:v>
                </c:pt>
                <c:pt idx="3">
                  <c:v>70763.089227140415</c:v>
                </c:pt>
                <c:pt idx="4">
                  <c:v>3462.3778100434056</c:v>
                </c:pt>
                <c:pt idx="5">
                  <c:v>19865.145857950469</c:v>
                </c:pt>
                <c:pt idx="6">
                  <c:v>602.68970735530581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34431.632639320676</c:v>
                </c:pt>
                <c:pt idx="1">
                  <c:v>24273.189104385423</c:v>
                </c:pt>
                <c:pt idx="2">
                  <c:v>285.46574700961071</c:v>
                </c:pt>
                <c:pt idx="3">
                  <c:v>70763.089227140415</c:v>
                </c:pt>
                <c:pt idx="4">
                  <c:v>3462.3778100434056</c:v>
                </c:pt>
                <c:pt idx="5">
                  <c:v>19865.145857950469</c:v>
                </c:pt>
                <c:pt idx="6">
                  <c:v>602.68970735530581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12035</v>
      </c>
      <c r="B6" s="382"/>
      <c r="C6" s="383"/>
    </row>
    <row r="7" spans="1:7" s="380" customFormat="1" ht="15.75" customHeight="1">
      <c r="A7" s="384" t="str">
        <f>txtMunicipality</f>
        <v>SINT-KATELIJNE-WAVER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0.2111623585927212</v>
      </c>
      <c r="C17" s="492">
        <f ca="1">'EF ele_warmte'!B22</f>
        <v>0.22319853493669176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0.2111623585927212</v>
      </c>
      <c r="C29" s="493">
        <f ca="1">'EF ele_warmte'!B22</f>
        <v>0.22319853493669176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8092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1240.1600000000001</v>
      </c>
      <c r="C14" s="324"/>
      <c r="D14" s="324"/>
      <c r="E14" s="324"/>
      <c r="F14" s="324"/>
    </row>
    <row r="15" spans="1:6">
      <c r="A15" s="1257" t="s">
        <v>177</v>
      </c>
      <c r="B15" s="1258">
        <v>4</v>
      </c>
      <c r="C15" s="324"/>
      <c r="D15" s="324"/>
      <c r="E15" s="324"/>
      <c r="F15" s="324"/>
    </row>
    <row r="16" spans="1:6">
      <c r="A16" s="1257" t="s">
        <v>6</v>
      </c>
      <c r="B16" s="1258">
        <v>426</v>
      </c>
      <c r="C16" s="324"/>
      <c r="D16" s="324"/>
      <c r="E16" s="324"/>
      <c r="F16" s="324"/>
    </row>
    <row r="17" spans="1:6">
      <c r="A17" s="1257" t="s">
        <v>7</v>
      </c>
      <c r="B17" s="1258">
        <v>195</v>
      </c>
      <c r="C17" s="324"/>
      <c r="D17" s="324"/>
      <c r="E17" s="324"/>
      <c r="F17" s="324"/>
    </row>
    <row r="18" spans="1:6">
      <c r="A18" s="1257" t="s">
        <v>8</v>
      </c>
      <c r="B18" s="1258">
        <v>365</v>
      </c>
      <c r="C18" s="324"/>
      <c r="D18" s="324"/>
      <c r="E18" s="324"/>
      <c r="F18" s="324"/>
    </row>
    <row r="19" spans="1:6">
      <c r="A19" s="1257" t="s">
        <v>9</v>
      </c>
      <c r="B19" s="1258">
        <v>305</v>
      </c>
      <c r="C19" s="324"/>
      <c r="D19" s="324"/>
      <c r="E19" s="324"/>
      <c r="F19" s="324"/>
    </row>
    <row r="20" spans="1:6">
      <c r="A20" s="1257" t="s">
        <v>10</v>
      </c>
      <c r="B20" s="1258">
        <v>287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109</v>
      </c>
      <c r="C26" s="324"/>
      <c r="D26" s="324"/>
      <c r="E26" s="324"/>
      <c r="F26" s="324"/>
    </row>
    <row r="27" spans="1:6">
      <c r="A27" s="1257" t="s">
        <v>17</v>
      </c>
      <c r="B27" s="1258">
        <v>0</v>
      </c>
      <c r="C27" s="324"/>
      <c r="D27" s="324"/>
      <c r="E27" s="324"/>
      <c r="F27" s="324"/>
    </row>
    <row r="28" spans="1:6">
      <c r="A28" s="1257" t="s">
        <v>18</v>
      </c>
      <c r="B28" s="1259">
        <v>10320</v>
      </c>
      <c r="C28" s="324"/>
      <c r="D28" s="324"/>
      <c r="E28" s="324"/>
      <c r="F28" s="324"/>
    </row>
    <row r="29" spans="1:6">
      <c r="A29" s="1257" t="s">
        <v>664</v>
      </c>
      <c r="B29" s="1259">
        <v>485</v>
      </c>
      <c r="C29" s="324"/>
      <c r="D29" s="324"/>
      <c r="E29" s="324"/>
      <c r="F29" s="324"/>
    </row>
    <row r="30" spans="1:6">
      <c r="A30" s="1252" t="s">
        <v>665</v>
      </c>
      <c r="B30" s="1260">
        <v>138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2</v>
      </c>
      <c r="D38" s="1258">
        <v>248029.48</v>
      </c>
      <c r="E38" s="1258">
        <v>5</v>
      </c>
      <c r="F38" s="1258">
        <v>448524.864</v>
      </c>
    </row>
    <row r="39" spans="1:6">
      <c r="A39" s="1257" t="s">
        <v>29</v>
      </c>
      <c r="B39" s="1257" t="s">
        <v>30</v>
      </c>
      <c r="C39" s="1258">
        <v>5368</v>
      </c>
      <c r="D39" s="1258">
        <v>89261518.859999999</v>
      </c>
      <c r="E39" s="1258">
        <v>7820</v>
      </c>
      <c r="F39" s="1258">
        <v>29190108.010000002</v>
      </c>
    </row>
    <row r="40" spans="1:6">
      <c r="A40" s="1257" t="s">
        <v>29</v>
      </c>
      <c r="B40" s="1257" t="s">
        <v>28</v>
      </c>
      <c r="C40" s="1258">
        <v>0</v>
      </c>
      <c r="D40" s="1258">
        <v>0</v>
      </c>
      <c r="E40" s="1258">
        <v>0</v>
      </c>
      <c r="F40" s="1258">
        <v>0</v>
      </c>
    </row>
    <row r="41" spans="1:6">
      <c r="A41" s="1257" t="s">
        <v>31</v>
      </c>
      <c r="B41" s="1257" t="s">
        <v>32</v>
      </c>
      <c r="C41" s="1258">
        <v>45</v>
      </c>
      <c r="D41" s="1258">
        <v>2318034.9569999999</v>
      </c>
      <c r="E41" s="1258">
        <v>134</v>
      </c>
      <c r="F41" s="1258">
        <v>1608348.78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321503.76199999999</v>
      </c>
      <c r="E44" s="1258">
        <v>7</v>
      </c>
      <c r="F44" s="1258">
        <v>395496.05800000002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43</v>
      </c>
      <c r="D48" s="1258">
        <v>6595154.449</v>
      </c>
      <c r="E48" s="1258">
        <v>62</v>
      </c>
      <c r="F48" s="1258">
        <v>3156523.0090000001</v>
      </c>
    </row>
    <row r="49" spans="1:6">
      <c r="A49" s="1257" t="s">
        <v>31</v>
      </c>
      <c r="B49" s="1257" t="s">
        <v>39</v>
      </c>
      <c r="C49" s="1258">
        <v>0</v>
      </c>
      <c r="D49" s="1258">
        <v>0</v>
      </c>
      <c r="E49" s="1258">
        <v>0</v>
      </c>
      <c r="F49" s="1258">
        <v>0</v>
      </c>
    </row>
    <row r="50" spans="1:6">
      <c r="A50" s="1257" t="s">
        <v>31</v>
      </c>
      <c r="B50" s="1257" t="s">
        <v>40</v>
      </c>
      <c r="C50" s="1258">
        <v>3</v>
      </c>
      <c r="D50" s="1258">
        <v>287264.18699999998</v>
      </c>
      <c r="E50" s="1258">
        <v>14</v>
      </c>
      <c r="F50" s="1258">
        <v>764326.55</v>
      </c>
    </row>
    <row r="51" spans="1:6">
      <c r="A51" s="1257" t="s">
        <v>41</v>
      </c>
      <c r="B51" s="1257" t="s">
        <v>42</v>
      </c>
      <c r="C51" s="1258">
        <v>50</v>
      </c>
      <c r="D51" s="1258">
        <v>544007143.39999998</v>
      </c>
      <c r="E51" s="1258">
        <v>155</v>
      </c>
      <c r="F51" s="1258">
        <v>6365465.9840000002</v>
      </c>
    </row>
    <row r="52" spans="1:6">
      <c r="A52" s="1257" t="s">
        <v>41</v>
      </c>
      <c r="B52" s="1257" t="s">
        <v>28</v>
      </c>
      <c r="C52" s="1258">
        <v>10</v>
      </c>
      <c r="D52" s="1258">
        <v>7400839.426</v>
      </c>
      <c r="E52" s="1258">
        <v>18</v>
      </c>
      <c r="F52" s="1258">
        <v>1092765.4240000001</v>
      </c>
    </row>
    <row r="53" spans="1:6">
      <c r="A53" s="1257" t="s">
        <v>43</v>
      </c>
      <c r="B53" s="1257" t="s">
        <v>44</v>
      </c>
      <c r="C53" s="1258">
        <v>111</v>
      </c>
      <c r="D53" s="1258">
        <v>3521222.449</v>
      </c>
      <c r="E53" s="1258">
        <v>257</v>
      </c>
      <c r="F53" s="1258">
        <v>1019223.554</v>
      </c>
    </row>
    <row r="54" spans="1:6">
      <c r="A54" s="1257" t="s">
        <v>45</v>
      </c>
      <c r="B54" s="1257" t="s">
        <v>46</v>
      </c>
      <c r="C54" s="1258">
        <v>0</v>
      </c>
      <c r="D54" s="1258">
        <v>0</v>
      </c>
      <c r="E54" s="1258">
        <v>1</v>
      </c>
      <c r="F54" s="1258">
        <v>1351878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25</v>
      </c>
      <c r="D57" s="1258">
        <v>784753.80799999996</v>
      </c>
      <c r="E57" s="1258">
        <v>64</v>
      </c>
      <c r="F57" s="1258">
        <v>506565.81900000002</v>
      </c>
    </row>
    <row r="58" spans="1:6">
      <c r="A58" s="1257" t="s">
        <v>48</v>
      </c>
      <c r="B58" s="1257" t="s">
        <v>50</v>
      </c>
      <c r="C58" s="1258">
        <v>37</v>
      </c>
      <c r="D58" s="1258">
        <v>7839015.8480000002</v>
      </c>
      <c r="E58" s="1258">
        <v>56</v>
      </c>
      <c r="F58" s="1258">
        <v>1874908.7009999999</v>
      </c>
    </row>
    <row r="59" spans="1:6">
      <c r="A59" s="1257" t="s">
        <v>48</v>
      </c>
      <c r="B59" s="1257" t="s">
        <v>51</v>
      </c>
      <c r="C59" s="1258">
        <v>86</v>
      </c>
      <c r="D59" s="1258">
        <v>5927539.79</v>
      </c>
      <c r="E59" s="1258">
        <v>203</v>
      </c>
      <c r="F59" s="1258">
        <v>31708906.800000001</v>
      </c>
    </row>
    <row r="60" spans="1:6">
      <c r="A60" s="1257" t="s">
        <v>48</v>
      </c>
      <c r="B60" s="1257" t="s">
        <v>52</v>
      </c>
      <c r="C60" s="1258">
        <v>76</v>
      </c>
      <c r="D60" s="1258">
        <v>7457078.6699999999</v>
      </c>
      <c r="E60" s="1258">
        <v>146</v>
      </c>
      <c r="F60" s="1258">
        <v>3455505.8689999999</v>
      </c>
    </row>
    <row r="61" spans="1:6">
      <c r="A61" s="1257" t="s">
        <v>48</v>
      </c>
      <c r="B61" s="1257" t="s">
        <v>53</v>
      </c>
      <c r="C61" s="1258">
        <v>114</v>
      </c>
      <c r="D61" s="1258">
        <v>14385528.26</v>
      </c>
      <c r="E61" s="1258">
        <v>245</v>
      </c>
      <c r="F61" s="1258">
        <v>2596731.486</v>
      </c>
    </row>
    <row r="62" spans="1:6">
      <c r="A62" s="1257" t="s">
        <v>48</v>
      </c>
      <c r="B62" s="1257" t="s">
        <v>54</v>
      </c>
      <c r="C62" s="1258">
        <v>10</v>
      </c>
      <c r="D62" s="1258">
        <v>2125287.5959999999</v>
      </c>
      <c r="E62" s="1258">
        <v>14</v>
      </c>
      <c r="F62" s="1258">
        <v>752691.05799999996</v>
      </c>
    </row>
    <row r="63" spans="1:6">
      <c r="A63" s="1257" t="s">
        <v>48</v>
      </c>
      <c r="B63" s="1257" t="s">
        <v>28</v>
      </c>
      <c r="C63" s="1258">
        <v>150</v>
      </c>
      <c r="D63" s="1258">
        <v>17159798.260000002</v>
      </c>
      <c r="E63" s="1258">
        <v>170</v>
      </c>
      <c r="F63" s="1258">
        <v>16818874.239999998</v>
      </c>
    </row>
    <row r="64" spans="1:6">
      <c r="A64" s="1257" t="s">
        <v>55</v>
      </c>
      <c r="B64" s="1257" t="s">
        <v>56</v>
      </c>
      <c r="C64" s="1258">
        <v>0</v>
      </c>
      <c r="D64" s="1258">
        <v>0</v>
      </c>
      <c r="E64" s="1258">
        <v>0</v>
      </c>
      <c r="F64" s="1258">
        <v>0</v>
      </c>
    </row>
    <row r="65" spans="1:6">
      <c r="A65" s="1257" t="s">
        <v>55</v>
      </c>
      <c r="B65" s="1257" t="s">
        <v>28</v>
      </c>
      <c r="C65" s="1258">
        <v>3</v>
      </c>
      <c r="D65" s="1258">
        <v>116255.985</v>
      </c>
      <c r="E65" s="1258">
        <v>9</v>
      </c>
      <c r="F65" s="1258">
        <v>80014.346999999994</v>
      </c>
    </row>
    <row r="66" spans="1:6">
      <c r="A66" s="1257" t="s">
        <v>55</v>
      </c>
      <c r="B66" s="1257" t="s">
        <v>57</v>
      </c>
      <c r="C66" s="1258">
        <v>0</v>
      </c>
      <c r="D66" s="1258">
        <v>0</v>
      </c>
      <c r="E66" s="1258">
        <v>11</v>
      </c>
      <c r="F66" s="1258">
        <v>240746.321</v>
      </c>
    </row>
    <row r="67" spans="1:6">
      <c r="A67" s="1257" t="s">
        <v>55</v>
      </c>
      <c r="B67" s="1257" t="s">
        <v>58</v>
      </c>
      <c r="C67" s="1258">
        <v>0</v>
      </c>
      <c r="D67" s="1258">
        <v>0</v>
      </c>
      <c r="E67" s="1258">
        <v>0</v>
      </c>
      <c r="F67" s="1258">
        <v>0</v>
      </c>
    </row>
    <row r="68" spans="1:6">
      <c r="A68" s="1252" t="s">
        <v>55</v>
      </c>
      <c r="B68" s="1252" t="s">
        <v>59</v>
      </c>
      <c r="C68" s="1260">
        <v>6</v>
      </c>
      <c r="D68" s="1260">
        <v>246219.856</v>
      </c>
      <c r="E68" s="1260">
        <v>11</v>
      </c>
      <c r="F68" s="1260">
        <v>214124.53899999999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73867462</v>
      </c>
      <c r="E73" s="442"/>
      <c r="F73" s="324"/>
    </row>
    <row r="74" spans="1:6">
      <c r="A74" s="1257" t="s">
        <v>63</v>
      </c>
      <c r="B74" s="1257" t="s">
        <v>608</v>
      </c>
      <c r="C74" s="1270" t="s">
        <v>610</v>
      </c>
      <c r="D74" s="1258">
        <v>5977882.5</v>
      </c>
      <c r="E74" s="442"/>
      <c r="F74" s="324"/>
    </row>
    <row r="75" spans="1:6">
      <c r="A75" s="1257" t="s">
        <v>64</v>
      </c>
      <c r="B75" s="1257" t="s">
        <v>607</v>
      </c>
      <c r="C75" s="1270" t="s">
        <v>611</v>
      </c>
      <c r="D75" s="1258">
        <v>17428757</v>
      </c>
      <c r="E75" s="442"/>
      <c r="F75" s="324"/>
    </row>
    <row r="76" spans="1:6">
      <c r="A76" s="1257" t="s">
        <v>64</v>
      </c>
      <c r="B76" s="1257" t="s">
        <v>608</v>
      </c>
      <c r="C76" s="1270" t="s">
        <v>612</v>
      </c>
      <c r="D76" s="1258">
        <v>560020.5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654911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5468.2850883796718</v>
      </c>
      <c r="C91" s="324"/>
      <c r="D91" s="324"/>
      <c r="E91" s="324"/>
      <c r="F91" s="324"/>
    </row>
    <row r="92" spans="1:6">
      <c r="A92" s="1252" t="s">
        <v>68</v>
      </c>
      <c r="B92" s="1253">
        <v>4905.0206052154927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3367</v>
      </c>
      <c r="C97" s="324"/>
      <c r="D97" s="324"/>
      <c r="E97" s="324"/>
      <c r="F97" s="324"/>
    </row>
    <row r="98" spans="1:6">
      <c r="A98" s="1257" t="s">
        <v>71</v>
      </c>
      <c r="B98" s="1258">
        <v>10</v>
      </c>
      <c r="C98" s="324"/>
      <c r="D98" s="324"/>
      <c r="E98" s="324"/>
      <c r="F98" s="324"/>
    </row>
    <row r="99" spans="1:6">
      <c r="A99" s="1257" t="s">
        <v>72</v>
      </c>
      <c r="B99" s="1258">
        <v>75</v>
      </c>
      <c r="C99" s="324"/>
      <c r="D99" s="324"/>
      <c r="E99" s="324"/>
      <c r="F99" s="324"/>
    </row>
    <row r="100" spans="1:6">
      <c r="A100" s="1257" t="s">
        <v>73</v>
      </c>
      <c r="B100" s="1258">
        <v>535</v>
      </c>
      <c r="C100" s="324"/>
      <c r="D100" s="324"/>
      <c r="E100" s="324"/>
      <c r="F100" s="324"/>
    </row>
    <row r="101" spans="1:6">
      <c r="A101" s="1257" t="s">
        <v>74</v>
      </c>
      <c r="B101" s="1258">
        <v>63</v>
      </c>
      <c r="C101" s="324"/>
      <c r="D101" s="324"/>
      <c r="E101" s="324"/>
      <c r="F101" s="324"/>
    </row>
    <row r="102" spans="1:6">
      <c r="A102" s="1257" t="s">
        <v>75</v>
      </c>
      <c r="B102" s="1258">
        <v>94</v>
      </c>
      <c r="C102" s="324"/>
      <c r="D102" s="324"/>
      <c r="E102" s="324"/>
      <c r="F102" s="324"/>
    </row>
    <row r="103" spans="1:6">
      <c r="A103" s="1257" t="s">
        <v>76</v>
      </c>
      <c r="B103" s="1258">
        <v>187</v>
      </c>
      <c r="C103" s="324"/>
      <c r="D103" s="324"/>
      <c r="E103" s="324"/>
      <c r="F103" s="324"/>
    </row>
    <row r="104" spans="1:6">
      <c r="A104" s="1257" t="s">
        <v>77</v>
      </c>
      <c r="B104" s="1258">
        <v>2851</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3</v>
      </c>
      <c r="C122" s="1258">
        <v>0</v>
      </c>
      <c r="D122" s="324"/>
      <c r="E122" s="324"/>
      <c r="F122" s="324"/>
    </row>
    <row r="123" spans="1:6">
      <c r="A123" s="1257" t="s">
        <v>87</v>
      </c>
      <c r="B123" s="1258">
        <v>53</v>
      </c>
      <c r="C123" s="1258">
        <v>33</v>
      </c>
      <c r="D123" s="324"/>
      <c r="E123" s="324"/>
      <c r="F123" s="324"/>
    </row>
    <row r="124" spans="1:6">
      <c r="A124" s="1257" t="s">
        <v>88</v>
      </c>
      <c r="B124" s="1258">
        <v>3</v>
      </c>
      <c r="C124" s="1258">
        <v>1</v>
      </c>
      <c r="D124" s="324"/>
      <c r="E124" s="324"/>
      <c r="F124" s="324"/>
    </row>
    <row r="125" spans="1:6">
      <c r="A125" s="1252" t="s">
        <v>824</v>
      </c>
      <c r="B125" s="1258">
        <v>1</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219</v>
      </c>
      <c r="C129" s="324"/>
      <c r="D129" s="324"/>
      <c r="E129" s="324"/>
      <c r="F129" s="324"/>
    </row>
    <row r="130" spans="1:6">
      <c r="A130" s="1257" t="s">
        <v>283</v>
      </c>
      <c r="B130" s="1258">
        <v>4</v>
      </c>
      <c r="C130" s="324"/>
      <c r="D130" s="324"/>
      <c r="E130" s="324"/>
      <c r="F130" s="324"/>
    </row>
    <row r="131" spans="1:6">
      <c r="A131" s="1257" t="s">
        <v>284</v>
      </c>
      <c r="B131" s="1258">
        <v>2</v>
      </c>
      <c r="C131" s="324"/>
      <c r="D131" s="324"/>
      <c r="E131" s="324"/>
      <c r="F131" s="324"/>
    </row>
    <row r="132" spans="1:6">
      <c r="A132" s="1252" t="s">
        <v>285</v>
      </c>
      <c r="B132" s="1253">
        <v>56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113960.35408999681</v>
      </c>
      <c r="C3" s="43" t="s">
        <v>163</v>
      </c>
      <c r="D3" s="43"/>
      <c r="E3" s="153"/>
      <c r="F3" s="43"/>
      <c r="G3" s="43"/>
      <c r="H3" s="43"/>
      <c r="I3" s="43"/>
      <c r="J3" s="43"/>
      <c r="K3" s="96"/>
    </row>
    <row r="4" spans="1:11">
      <c r="A4" s="350" t="s">
        <v>164</v>
      </c>
      <c r="B4" s="49">
        <f>IF(ISERROR('SEAP template'!B78+'SEAP template'!C78),0,'SEAP template'!B78+'SEAP template'!C78)</f>
        <v>192362.30569359515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40619.678174593595</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0.2111623585927212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56769.463253977839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254345.14285714278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0.22319853493669176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1351.8779999999999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1351.8779999999999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0.2111623585927212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285.46574700961071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29190.10801</v>
      </c>
      <c r="C5" s="17">
        <f>IF(ISERROR('Eigen informatie GS &amp; warmtenet'!B59),0,'Eigen informatie GS &amp; warmtenet'!B59)</f>
        <v>0</v>
      </c>
      <c r="D5" s="30">
        <f>(SUM(HH_hh_gas_kWh,HH_rest_gas_kWh)/1000)*0.902</f>
        <v>80513.890011719996</v>
      </c>
      <c r="E5" s="17">
        <f>B32*B41</f>
        <v>2009.0930447483397</v>
      </c>
      <c r="F5" s="17">
        <f>B36*B45</f>
        <v>38663.585515260274</v>
      </c>
      <c r="G5" s="18"/>
      <c r="H5" s="17"/>
      <c r="I5" s="17"/>
      <c r="J5" s="17">
        <f>B35*B44+C35*C44</f>
        <v>197.84568229752318</v>
      </c>
      <c r="K5" s="17"/>
      <c r="L5" s="17"/>
      <c r="M5" s="17"/>
      <c r="N5" s="17">
        <f>B34*B43+C34*C43</f>
        <v>10574.437962609589</v>
      </c>
      <c r="O5" s="17">
        <f>B52*B53*B54</f>
        <v>501.94142950491909</v>
      </c>
      <c r="P5" s="17">
        <f>B60*B61*B62/1000-B60*B61*B62/1000/B63</f>
        <v>1179.8034424607226</v>
      </c>
    </row>
    <row r="6" spans="1:16">
      <c r="A6" s="16" t="s">
        <v>573</v>
      </c>
      <c r="B6" s="738">
        <f>kWh_PV_kleiner_dan_10kW</f>
        <v>5468.2850883796718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34658.393098379674</v>
      </c>
      <c r="C8" s="21">
        <f>C5</f>
        <v>0</v>
      </c>
      <c r="D8" s="21">
        <f>D5</f>
        <v>80513.890011719996</v>
      </c>
      <c r="E8" s="21">
        <f>E5</f>
        <v>2009.0930447483397</v>
      </c>
      <c r="F8" s="21">
        <f>F5</f>
        <v>38663.585515260274</v>
      </c>
      <c r="G8" s="21"/>
      <c r="H8" s="21"/>
      <c r="I8" s="21"/>
      <c r="J8" s="21">
        <f>J5</f>
        <v>197.84568229752318</v>
      </c>
      <c r="K8" s="21"/>
      <c r="L8" s="21">
        <f>L5</f>
        <v>0</v>
      </c>
      <c r="M8" s="21">
        <f>M5</f>
        <v>0</v>
      </c>
      <c r="N8" s="21">
        <f>N5</f>
        <v>10574.437962609589</v>
      </c>
      <c r="O8" s="21">
        <f>O5</f>
        <v>501.94142950491909</v>
      </c>
      <c r="P8" s="21">
        <f>P5</f>
        <v>1179.8034424607226</v>
      </c>
    </row>
    <row r="9" spans="1:16">
      <c r="B9" s="19"/>
      <c r="C9" s="19"/>
      <c r="D9" s="255"/>
      <c r="E9" s="19"/>
      <c r="F9" s="19"/>
      <c r="G9" s="19"/>
      <c r="H9" s="19"/>
      <c r="I9" s="19"/>
      <c r="J9" s="19"/>
      <c r="K9" s="19"/>
      <c r="L9" s="19"/>
      <c r="M9" s="19"/>
      <c r="N9" s="19"/>
      <c r="O9" s="19"/>
      <c r="P9" s="19"/>
    </row>
    <row r="10" spans="1:16">
      <c r="A10" s="24" t="s">
        <v>207</v>
      </c>
      <c r="B10" s="25">
        <f ca="1">'EF ele_warmte'!B12</f>
        <v>0.2111623585927212</v>
      </c>
      <c r="C10" s="25">
        <f ca="1">'EF ele_warmte'!B22</f>
        <v>0.22319853493669176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7318.5480316875428</v>
      </c>
      <c r="C12" s="23">
        <f ca="1">C10*C8</f>
        <v>0</v>
      </c>
      <c r="D12" s="23">
        <f>D8*D10</f>
        <v>16263.805782367441</v>
      </c>
      <c r="E12" s="23">
        <f>E10*E8</f>
        <v>456.0641211578731</v>
      </c>
      <c r="F12" s="23">
        <f>F10*F8</f>
        <v>10323.177332574494</v>
      </c>
      <c r="G12" s="23"/>
      <c r="H12" s="23"/>
      <c r="I12" s="23"/>
      <c r="J12" s="23">
        <f>J10*J8</f>
        <v>70.03737153332321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8092</v>
      </c>
      <c r="C26" s="36"/>
      <c r="D26" s="225"/>
    </row>
    <row r="27" spans="1:7" s="15" customFormat="1">
      <c r="A27" s="227" t="s">
        <v>774</v>
      </c>
      <c r="B27" s="37">
        <f>SUM(HH_hh_gas_aantal,HH_rest_gas_aantal)</f>
        <v>5368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5099.6000000000004</v>
      </c>
      <c r="C31" s="165" t="s">
        <v>104</v>
      </c>
      <c r="D31" s="230"/>
      <c r="G31" s="15"/>
    </row>
    <row r="32" spans="1:7">
      <c r="A32" s="168" t="s">
        <v>72</v>
      </c>
      <c r="B32" s="165">
        <f>IF((B21*($B$26-($B$27-0.05*$B$27)-$B$60))&lt;0,0,B21*($B$26-($B$27-0.05*$B$27)-$B$60))</f>
        <v>32.471231177921759</v>
      </c>
      <c r="C32" s="165" t="s">
        <v>104</v>
      </c>
      <c r="D32" s="230"/>
      <c r="G32" s="15"/>
    </row>
    <row r="33" spans="1:7">
      <c r="A33" s="168" t="s">
        <v>73</v>
      </c>
      <c r="B33" s="165">
        <f>IF((B22*($B$26-($B$27-0.05*$B$27)-$B$60))&lt;0,0,B22*($B$26-($B$27-0.05*$B$27)-$B$60))</f>
        <v>675.10416453153107</v>
      </c>
      <c r="C33" s="165" t="s">
        <v>104</v>
      </c>
      <c r="D33" s="230"/>
      <c r="G33" s="15"/>
    </row>
    <row r="34" spans="1:7">
      <c r="A34" s="168" t="s">
        <v>74</v>
      </c>
      <c r="B34" s="165">
        <f>IF((B24*($B$26-($B$27-0.05*$B$27)-$B$60))&lt;0,0,B24*($B$26-($B$27-0.05*$B$27)-$B$60))</f>
        <v>285.05875796123223</v>
      </c>
      <c r="C34" s="165">
        <f>B26*C24</f>
        <v>1396.3754087816981</v>
      </c>
      <c r="D34" s="230"/>
      <c r="G34" s="15"/>
    </row>
    <row r="35" spans="1:7">
      <c r="A35" s="168" t="s">
        <v>76</v>
      </c>
      <c r="B35" s="165">
        <f>IF((B19*($B$26-($B$27-0.05*$B$27)-$B$60))&lt;0,0,B19*($B$26-($B$27-0.05*$B$27)-$B$60))</f>
        <v>24.577220606830064</v>
      </c>
      <c r="C35" s="165">
        <f>B35/2</f>
        <v>12.288610303415032</v>
      </c>
      <c r="D35" s="231"/>
      <c r="G35" s="15"/>
    </row>
    <row r="36" spans="1:7">
      <c r="A36" s="168" t="s">
        <v>77</v>
      </c>
      <c r="B36" s="165">
        <f>IF((B18*($B$26-($B$27-0.05*$B$27)-$B$60))&lt;0,0,B18*($B$26-($B$27-0.05*$B$27)-$B$60))</f>
        <v>1863.1886257224846</v>
      </c>
      <c r="C36" s="165" t="s">
        <v>104</v>
      </c>
      <c r="D36" s="231"/>
      <c r="G36" s="15"/>
    </row>
    <row r="37" spans="1:7">
      <c r="A37" s="168" t="s">
        <v>78</v>
      </c>
      <c r="B37" s="165">
        <f>B60</f>
        <v>112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253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112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57714.183972999999</v>
      </c>
      <c r="C5" s="17">
        <f>IF(ISERROR('Eigen informatie GS &amp; warmtenet'!B60),0,'Eigen informatie GS &amp; warmtenet'!B60)</f>
        <v>0</v>
      </c>
      <c r="D5" s="30">
        <f>SUM(D6:D12)</f>
        <v>50222.460013264004</v>
      </c>
      <c r="E5" s="17">
        <f>SUM(E6:E12)</f>
        <v>171.52152537610758</v>
      </c>
      <c r="F5" s="17">
        <f>SUM(F6:F12)</f>
        <v>8133.1902923741582</v>
      </c>
      <c r="G5" s="18"/>
      <c r="H5" s="17"/>
      <c r="I5" s="17"/>
      <c r="J5" s="17">
        <f>SUM(J6:J12)</f>
        <v>3.874115764026495E-2</v>
      </c>
      <c r="K5" s="17"/>
      <c r="L5" s="17"/>
      <c r="M5" s="17"/>
      <c r="N5" s="17">
        <f>SUM(N6:N12)</f>
        <v>1496.3813051233046</v>
      </c>
      <c r="O5" s="17">
        <f>B38*B39*B40</f>
        <v>19.589043063364617</v>
      </c>
      <c r="P5" s="17">
        <f>B46*B47*B48/1000-B46*B47*B48/1000/B49</f>
        <v>315.23482983897009</v>
      </c>
      <c r="R5" s="32"/>
    </row>
    <row r="6" spans="1:18">
      <c r="A6" s="32" t="s">
        <v>53</v>
      </c>
      <c r="B6" s="37">
        <f>B26</f>
        <v>2596.7314860000001</v>
      </c>
      <c r="C6" s="33"/>
      <c r="D6" s="37">
        <f>IF(ISERROR(TER_kantoor_gas_kWh/1000),0,TER_kantoor_gas_kWh/1000)*0.902</f>
        <v>12975.746490519999</v>
      </c>
      <c r="E6" s="33">
        <f>$C$26*'E Balans VL '!I12/100/3.6*1000000</f>
        <v>0.67808104903561239</v>
      </c>
      <c r="F6" s="33">
        <f>$C$26*('E Balans VL '!L12+'E Balans VL '!N12)/100/3.6*1000000</f>
        <v>259.45553995963201</v>
      </c>
      <c r="G6" s="34"/>
      <c r="H6" s="33"/>
      <c r="I6" s="33"/>
      <c r="J6" s="33">
        <f>$C$26*('E Balans VL '!D12+'E Balans VL '!E12)/100/3.6*1000000</f>
        <v>0</v>
      </c>
      <c r="K6" s="33"/>
      <c r="L6" s="33"/>
      <c r="M6" s="33"/>
      <c r="N6" s="33">
        <f>$C$26*'E Balans VL '!Y12/100/3.6*1000000</f>
        <v>1.841069080372729</v>
      </c>
      <c r="O6" s="33"/>
      <c r="P6" s="33"/>
      <c r="R6" s="32"/>
    </row>
    <row r="7" spans="1:18">
      <c r="A7" s="32" t="s">
        <v>52</v>
      </c>
      <c r="B7" s="37">
        <f t="shared" ref="B7:B12" si="0">B27</f>
        <v>3455.5058690000001</v>
      </c>
      <c r="C7" s="33"/>
      <c r="D7" s="37">
        <f>IF(ISERROR(TER_horeca_gas_kWh/1000),0,TER_horeca_gas_kWh/1000)*0.902</f>
        <v>6726.28496034</v>
      </c>
      <c r="E7" s="33">
        <f>$C$27*'E Balans VL '!I9/100/3.6*1000000</f>
        <v>0</v>
      </c>
      <c r="F7" s="33">
        <f>$C$27*('E Balans VL '!L9+'E Balans VL '!N9)/100/3.6*1000000</f>
        <v>283.78850592123769</v>
      </c>
      <c r="G7" s="34"/>
      <c r="H7" s="33"/>
      <c r="I7" s="33"/>
      <c r="J7" s="33">
        <f>$C$27*('E Balans VL '!D9+'E Balans VL '!E9)/100/3.6*1000000</f>
        <v>0</v>
      </c>
      <c r="K7" s="33"/>
      <c r="L7" s="33"/>
      <c r="M7" s="33"/>
      <c r="N7" s="33">
        <f>$C$27*'E Balans VL '!Y9/100/3.6*1000000</f>
        <v>43.66747780312626</v>
      </c>
      <c r="O7" s="33"/>
      <c r="P7" s="33"/>
      <c r="R7" s="32"/>
    </row>
    <row r="8" spans="1:18">
      <c r="A8" s="6" t="s">
        <v>51</v>
      </c>
      <c r="B8" s="37">
        <f t="shared" si="0"/>
        <v>31708.906800000001</v>
      </c>
      <c r="C8" s="33"/>
      <c r="D8" s="37">
        <f>IF(ISERROR(TER_handel_gas_kWh/1000),0,TER_handel_gas_kWh/1000)*0.902</f>
        <v>5346.6408905799999</v>
      </c>
      <c r="E8" s="33">
        <f>$C$28*'E Balans VL '!I13/100/3.6*1000000</f>
        <v>116.53855321084424</v>
      </c>
      <c r="F8" s="33">
        <f>$C$28*('E Balans VL '!L13+'E Balans VL '!N13)/100/3.6*1000000</f>
        <v>3028.7349098462273</v>
      </c>
      <c r="G8" s="34"/>
      <c r="H8" s="33"/>
      <c r="I8" s="33"/>
      <c r="J8" s="33">
        <f>$C$28*('E Balans VL '!D13+'E Balans VL '!E13)/100/3.6*1000000</f>
        <v>0</v>
      </c>
      <c r="K8" s="33"/>
      <c r="L8" s="33"/>
      <c r="M8" s="33"/>
      <c r="N8" s="33">
        <f>$C$28*'E Balans VL '!Y13/100/3.6*1000000</f>
        <v>12.546469340115639</v>
      </c>
      <c r="O8" s="33"/>
      <c r="P8" s="33"/>
      <c r="R8" s="32"/>
    </row>
    <row r="9" spans="1:18">
      <c r="A9" s="32" t="s">
        <v>50</v>
      </c>
      <c r="B9" s="37">
        <f t="shared" si="0"/>
        <v>1874.9087009999998</v>
      </c>
      <c r="C9" s="33"/>
      <c r="D9" s="37">
        <f>IF(ISERROR(TER_gezond_gas_kWh/1000),0,TER_gezond_gas_kWh/1000)*0.902</f>
        <v>7070.7922948960004</v>
      </c>
      <c r="E9" s="33">
        <f>$C$29*'E Balans VL '!I10/100/3.6*1000000</f>
        <v>0</v>
      </c>
      <c r="F9" s="33">
        <f>$C$29*('E Balans VL '!L10+'E Balans VL '!N10)/100/3.6*1000000</f>
        <v>126.65881416990291</v>
      </c>
      <c r="G9" s="34"/>
      <c r="H9" s="33"/>
      <c r="I9" s="33"/>
      <c r="J9" s="33">
        <f>$C$29*('E Balans VL '!D10+'E Balans VL '!E10)/100/3.6*1000000</f>
        <v>0</v>
      </c>
      <c r="K9" s="33"/>
      <c r="L9" s="33"/>
      <c r="M9" s="33"/>
      <c r="N9" s="33">
        <f>$C$29*'E Balans VL '!Y10/100/3.6*1000000</f>
        <v>14.588188576672167</v>
      </c>
      <c r="O9" s="33"/>
      <c r="P9" s="33"/>
      <c r="R9" s="32"/>
    </row>
    <row r="10" spans="1:18">
      <c r="A10" s="32" t="s">
        <v>49</v>
      </c>
      <c r="B10" s="37">
        <f t="shared" si="0"/>
        <v>506.56581900000003</v>
      </c>
      <c r="C10" s="33"/>
      <c r="D10" s="37">
        <f>IF(ISERROR(TER_ander_gas_kWh/1000),0,TER_ander_gas_kWh/1000)*0.902</f>
        <v>707.84793481599991</v>
      </c>
      <c r="E10" s="33">
        <f>$C$30*'E Balans VL '!I14/100/3.6*1000000</f>
        <v>4.5934402135474066</v>
      </c>
      <c r="F10" s="33">
        <f>$C$30*('E Balans VL '!L14+'E Balans VL '!N14)/100/3.6*1000000</f>
        <v>400.41346741698902</v>
      </c>
      <c r="G10" s="34"/>
      <c r="H10" s="33"/>
      <c r="I10" s="33"/>
      <c r="J10" s="33">
        <f>$C$30*('E Balans VL '!D14+'E Balans VL '!E14)/100/3.6*1000000</f>
        <v>5.0137470835440621E-3</v>
      </c>
      <c r="K10" s="33"/>
      <c r="L10" s="33"/>
      <c r="M10" s="33"/>
      <c r="N10" s="33">
        <f>$C$30*'E Balans VL '!Y14/100/3.6*1000000</f>
        <v>178.79191127764997</v>
      </c>
      <c r="O10" s="33"/>
      <c r="P10" s="33"/>
      <c r="R10" s="32"/>
    </row>
    <row r="11" spans="1:18">
      <c r="A11" s="32" t="s">
        <v>54</v>
      </c>
      <c r="B11" s="37">
        <f t="shared" si="0"/>
        <v>752.691058</v>
      </c>
      <c r="C11" s="33"/>
      <c r="D11" s="37">
        <f>IF(ISERROR(TER_onderwijs_gas_kWh/1000),0,TER_onderwijs_gas_kWh/1000)*0.902</f>
        <v>1917.0094115920001</v>
      </c>
      <c r="E11" s="33">
        <f>$C$31*'E Balans VL '!I11/100/3.6*1000000</f>
        <v>0</v>
      </c>
      <c r="F11" s="33">
        <f>$C$31*('E Balans VL '!L11+'E Balans VL '!N11)/100/3.6*1000000</f>
        <v>89.580356024583409</v>
      </c>
      <c r="G11" s="34"/>
      <c r="H11" s="33"/>
      <c r="I11" s="33"/>
      <c r="J11" s="33">
        <f>$C$31*('E Balans VL '!D11+'E Balans VL '!E11)/100/3.6*1000000</f>
        <v>0</v>
      </c>
      <c r="K11" s="33"/>
      <c r="L11" s="33"/>
      <c r="M11" s="33"/>
      <c r="N11" s="33">
        <f>$C$31*'E Balans VL '!Y11/100/3.6*1000000</f>
        <v>1.6739665471719321</v>
      </c>
      <c r="O11" s="33"/>
      <c r="P11" s="33"/>
      <c r="R11" s="32"/>
    </row>
    <row r="12" spans="1:18">
      <c r="A12" s="32" t="s">
        <v>248</v>
      </c>
      <c r="B12" s="37">
        <f t="shared" si="0"/>
        <v>16818.874239999997</v>
      </c>
      <c r="C12" s="33"/>
      <c r="D12" s="37">
        <f>IF(ISERROR(TER_rest_gas_kWh/1000),0,TER_rest_gas_kWh/1000)*0.902</f>
        <v>15478.138030520004</v>
      </c>
      <c r="E12" s="33">
        <f>$C$32*'E Balans VL '!I8/100/3.6*1000000</f>
        <v>49.711450902680312</v>
      </c>
      <c r="F12" s="33">
        <f>$C$32*('E Balans VL '!L8+'E Balans VL '!N8)/100/3.6*1000000</f>
        <v>3944.5586990355864</v>
      </c>
      <c r="G12" s="34"/>
      <c r="H12" s="33"/>
      <c r="I12" s="33"/>
      <c r="J12" s="33">
        <f>$C$32*('E Balans VL '!D8+'E Balans VL '!E8)/100/3.6*1000000</f>
        <v>3.3727410556720891E-2</v>
      </c>
      <c r="K12" s="33"/>
      <c r="L12" s="33"/>
      <c r="M12" s="33"/>
      <c r="N12" s="33">
        <f>$C$32*'E Balans VL '!Y8/100/3.6*1000000</f>
        <v>1243.272222498196</v>
      </c>
      <c r="O12" s="33"/>
      <c r="P12" s="33"/>
      <c r="R12" s="32"/>
    </row>
    <row r="13" spans="1:18">
      <c r="A13" s="16" t="s">
        <v>464</v>
      </c>
      <c r="B13" s="244">
        <f ca="1">'lokale energieproductie'!N66+'lokale energieproductie'!N59</f>
        <v>5715</v>
      </c>
      <c r="C13" s="244">
        <f ca="1">'lokale energieproductie'!O66+'lokale energieproductie'!O59</f>
        <v>8164.2857142857147</v>
      </c>
      <c r="D13" s="302">
        <f ca="1">('lokale energieproductie'!P59+'lokale energieproductie'!P66)*(-1)</f>
        <v>-16328.571428571429</v>
      </c>
      <c r="E13" s="245"/>
      <c r="F13" s="302">
        <f ca="1">('lokale energieproductie'!S59+'lokale energieproductie'!S66)*(-1)</f>
        <v>0</v>
      </c>
      <c r="G13" s="246"/>
      <c r="H13" s="245"/>
      <c r="I13" s="245"/>
      <c r="J13" s="245"/>
      <c r="K13" s="245"/>
      <c r="L13" s="302">
        <f ca="1">('lokale energieproductie'!U59+'lokale energieproductie'!T59+'lokale energieproductie'!U66+'lokale energieproductie'!T66)*(-1)</f>
        <v>0</v>
      </c>
      <c r="M13" s="245"/>
      <c r="N13" s="302">
        <f ca="1">('lokale energieproductie'!Q59+'lokale energieproductie'!R59+'lokale energieproductie'!V59+'lokale energieproductie'!Q66+'lokale energieproductie'!R66+'lokale energieproductie'!V66)*(-1)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63429.183972999999</v>
      </c>
      <c r="C16" s="21">
        <f t="shared" ca="1" si="1"/>
        <v>8164.2857142857147</v>
      </c>
      <c r="D16" s="21">
        <f t="shared" ca="1" si="1"/>
        <v>33893.888584692577</v>
      </c>
      <c r="E16" s="21">
        <f t="shared" si="1"/>
        <v>171.52152537610758</v>
      </c>
      <c r="F16" s="21">
        <f t="shared" ca="1" si="1"/>
        <v>8133.1902923741582</v>
      </c>
      <c r="G16" s="21">
        <f t="shared" si="1"/>
        <v>0</v>
      </c>
      <c r="H16" s="21">
        <f t="shared" si="1"/>
        <v>0</v>
      </c>
      <c r="I16" s="21">
        <f t="shared" si="1"/>
        <v>0</v>
      </c>
      <c r="J16" s="21">
        <f t="shared" si="1"/>
        <v>3.874115764026495E-2</v>
      </c>
      <c r="K16" s="21">
        <f t="shared" si="1"/>
        <v>0</v>
      </c>
      <c r="L16" s="21">
        <f t="shared" ca="1" si="1"/>
        <v>0</v>
      </c>
      <c r="M16" s="21">
        <f t="shared" si="1"/>
        <v>0</v>
      </c>
      <c r="N16" s="21">
        <f t="shared" ca="1" si="1"/>
        <v>1496.3813051233046</v>
      </c>
      <c r="O16" s="21">
        <f>O5</f>
        <v>19.589043063364617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0.2111623585927212</v>
      </c>
      <c r="C18" s="25">
        <f ca="1">'EF ele_warmte'!B22</f>
        <v>0.22319853493669176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13393.85609135031</v>
      </c>
      <c r="C20" s="23">
        <f t="shared" ref="C20:P20" ca="1" si="2">C16*C18</f>
        <v>1822.2566102331334</v>
      </c>
      <c r="D20" s="23">
        <f t="shared" ca="1" si="2"/>
        <v>6846.565494107901</v>
      </c>
      <c r="E20" s="23">
        <f t="shared" si="2"/>
        <v>38.935386260376418</v>
      </c>
      <c r="F20" s="23">
        <f t="shared" ca="1" si="2"/>
        <v>2171.5618080639006</v>
      </c>
      <c r="G20" s="23">
        <f t="shared" si="2"/>
        <v>0</v>
      </c>
      <c r="H20" s="23">
        <f t="shared" si="2"/>
        <v>0</v>
      </c>
      <c r="I20" s="23">
        <f t="shared" si="2"/>
        <v>0</v>
      </c>
      <c r="J20" s="23">
        <f t="shared" si="2"/>
        <v>1.3714369804653792E-2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2596.7314860000001</v>
      </c>
      <c r="C26" s="39">
        <f>IF(ISERROR(B26*3.6/1000000/'E Balans VL '!Z12*100),0,B26*3.6/1000000/'E Balans VL '!Z12*100)</f>
        <v>7.2670092595448835E-2</v>
      </c>
      <c r="D26" s="234" t="s">
        <v>667</v>
      </c>
      <c r="F26" s="6"/>
    </row>
    <row r="27" spans="1:18">
      <c r="A27" s="228" t="s">
        <v>52</v>
      </c>
      <c r="B27" s="33">
        <f>IF(ISERROR(TER_horeca_ele_kWh/1000),0,TER_horeca_ele_kWh/1000)</f>
        <v>3455.5058690000001</v>
      </c>
      <c r="C27" s="39">
        <f>IF(ISERROR(B27*3.6/1000000/'E Balans VL '!Z9*100),0,B27*3.6/1000000/'E Balans VL '!Z9*100)</f>
        <v>0.2575472793151185</v>
      </c>
      <c r="D27" s="234" t="s">
        <v>667</v>
      </c>
      <c r="F27" s="6"/>
    </row>
    <row r="28" spans="1:18">
      <c r="A28" s="168" t="s">
        <v>51</v>
      </c>
      <c r="B28" s="33">
        <f>IF(ISERROR(TER_handel_ele_kWh/1000),0,TER_handel_ele_kWh/1000)</f>
        <v>31708.906800000001</v>
      </c>
      <c r="C28" s="39">
        <f>IF(ISERROR(B28*3.6/1000000/'E Balans VL '!Z13*100),0,B28*3.6/1000000/'E Balans VL '!Z13*100)</f>
        <v>0.91869097745617267</v>
      </c>
      <c r="D28" s="234" t="s">
        <v>667</v>
      </c>
      <c r="F28" s="6"/>
    </row>
    <row r="29" spans="1:18">
      <c r="A29" s="228" t="s">
        <v>50</v>
      </c>
      <c r="B29" s="33">
        <f>IF(ISERROR(TER_gezond_ele_kWh/1000),0,TER_gezond_ele_kWh/1000)</f>
        <v>1874.9087009999998</v>
      </c>
      <c r="C29" s="39">
        <f>IF(ISERROR(B29*3.6/1000000/'E Balans VL '!Z10*100),0,B29*3.6/1000000/'E Balans VL '!Z10*100)</f>
        <v>0.18908677841554294</v>
      </c>
      <c r="D29" s="234" t="s">
        <v>667</v>
      </c>
      <c r="F29" s="6"/>
    </row>
    <row r="30" spans="1:18">
      <c r="A30" s="228" t="s">
        <v>49</v>
      </c>
      <c r="B30" s="33">
        <f>IF(ISERROR(TER_ander_ele_kWh/1000),0,TER_ander_ele_kWh/1000)</f>
        <v>506.56581900000003</v>
      </c>
      <c r="C30" s="39">
        <f>IF(ISERROR(B30*3.6/1000000/'E Balans VL '!Z14*100),0,B30*3.6/1000000/'E Balans VL '!Z14*100)</f>
        <v>2.0534117748303327E-2</v>
      </c>
      <c r="D30" s="234" t="s">
        <v>667</v>
      </c>
      <c r="F30" s="6"/>
    </row>
    <row r="31" spans="1:18">
      <c r="A31" s="228" t="s">
        <v>54</v>
      </c>
      <c r="B31" s="33">
        <f>IF(ISERROR(TER_onderwijs_ele_kWh/1000),0,TER_onderwijs_ele_kWh/1000)</f>
        <v>752.691058</v>
      </c>
      <c r="C31" s="39">
        <f>IF(ISERROR(B31*3.6/1000000/'E Balans VL '!Z11*100),0,B31*3.6/1000000/'E Balans VL '!Z11*100)</f>
        <v>0.21454760253710375</v>
      </c>
      <c r="D31" s="234" t="s">
        <v>667</v>
      </c>
    </row>
    <row r="32" spans="1:18">
      <c r="A32" s="228" t="s">
        <v>248</v>
      </c>
      <c r="B32" s="33">
        <f>IF(ISERROR(TER_rest_ele_kWh/1000),0,TER_rest_ele_kWh/1000)</f>
        <v>16818.874239999997</v>
      </c>
      <c r="C32" s="39">
        <f>IF(ISERROR(B32*3.6/1000000/'E Balans VL '!Z8*100),0,B32*3.6/1000000/'E Balans VL '!Z8*100)</f>
        <v>0.13813273948145072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6</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5924.6943969999993</v>
      </c>
      <c r="C5" s="17">
        <f>IF(ISERROR('Eigen informatie GS &amp; warmtenet'!B61),0,'Eigen informatie GS &amp; warmtenet'!B61)</f>
        <v>0</v>
      </c>
      <c r="D5" s="30">
        <f>SUM(D6:D15)</f>
        <v>8588.8055342099997</v>
      </c>
      <c r="E5" s="17">
        <f>SUM(E6:E15)</f>
        <v>158.93723927570377</v>
      </c>
      <c r="F5" s="17">
        <f>SUM(F6:F15)</f>
        <v>1632.4284781085255</v>
      </c>
      <c r="G5" s="18"/>
      <c r="H5" s="17"/>
      <c r="I5" s="17"/>
      <c r="J5" s="17">
        <f>SUM(J6:J15)</f>
        <v>12.512690256565172</v>
      </c>
      <c r="K5" s="17"/>
      <c r="L5" s="17"/>
      <c r="M5" s="17"/>
      <c r="N5" s="17">
        <f>SUM(N6:N15)</f>
        <v>247.2722642484664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395.496058</v>
      </c>
      <c r="C8" s="33"/>
      <c r="D8" s="37">
        <f>IF( ISERROR(IND_metaal_Gas_kWH/1000),0,IND_metaal_Gas_kWH/1000)*0.902</f>
        <v>289.996393324</v>
      </c>
      <c r="E8" s="33">
        <f>C30*'E Balans VL '!I18/100/3.6*1000000</f>
        <v>2.8381741486655936</v>
      </c>
      <c r="F8" s="33">
        <f>C30*'E Balans VL '!L18/100/3.6*1000000+C30*'E Balans VL '!N18/100/3.6*1000000</f>
        <v>26.323934482247427</v>
      </c>
      <c r="G8" s="34"/>
      <c r="H8" s="33"/>
      <c r="I8" s="33"/>
      <c r="J8" s="40">
        <f>C30*'E Balans VL '!D18/100/3.6*1000000+C30*'E Balans VL '!E18/100/3.6*1000000</f>
        <v>0.38127511177210938</v>
      </c>
      <c r="K8" s="33"/>
      <c r="L8" s="33"/>
      <c r="M8" s="33"/>
      <c r="N8" s="33">
        <f>C30*'E Balans VL '!Y18/100/3.6*1000000</f>
        <v>4.7925018064993035</v>
      </c>
      <c r="O8" s="33"/>
      <c r="P8" s="33"/>
      <c r="R8" s="32"/>
    </row>
    <row r="9" spans="1:18">
      <c r="A9" s="6" t="s">
        <v>32</v>
      </c>
      <c r="B9" s="37">
        <f t="shared" si="0"/>
        <v>1608.34878</v>
      </c>
      <c r="C9" s="33"/>
      <c r="D9" s="37">
        <f>IF( ISERROR(IND_andere_gas_kWh/1000),0,IND_andere_gas_kWh/1000)*0.902</f>
        <v>2090.8675312139999</v>
      </c>
      <c r="E9" s="33">
        <f>C31*'E Balans VL '!I19/100/3.6*1000000</f>
        <v>4.2286326846873079</v>
      </c>
      <c r="F9" s="33">
        <f>C31*'E Balans VL '!L19/100/3.6*1000000+C31*'E Balans VL '!N19/100/3.6*1000000</f>
        <v>1062.1610442334138</v>
      </c>
      <c r="G9" s="34"/>
      <c r="H9" s="33"/>
      <c r="I9" s="33"/>
      <c r="J9" s="40">
        <f>C31*'E Balans VL '!D19/100/3.6*1000000+C31*'E Balans VL '!E19/100/3.6*1000000</f>
        <v>0</v>
      </c>
      <c r="K9" s="33"/>
      <c r="L9" s="33"/>
      <c r="M9" s="33"/>
      <c r="N9" s="33">
        <f>C31*'E Balans VL '!Y19/100/3.6*1000000</f>
        <v>85.867182229998249</v>
      </c>
      <c r="O9" s="33"/>
      <c r="P9" s="33"/>
      <c r="R9" s="32"/>
    </row>
    <row r="10" spans="1:18">
      <c r="A10" s="6" t="s">
        <v>40</v>
      </c>
      <c r="B10" s="37">
        <f t="shared" si="0"/>
        <v>764.32655</v>
      </c>
      <c r="C10" s="33"/>
      <c r="D10" s="37">
        <f>IF( ISERROR(IND_voed_gas_kWh/1000),0,IND_voed_gas_kWh/1000)*0.902</f>
        <v>259.11229667399999</v>
      </c>
      <c r="E10" s="33">
        <f>C32*'E Balans VL '!I20/100/3.6*1000000</f>
        <v>1.2903579422434244</v>
      </c>
      <c r="F10" s="33">
        <f>C32*'E Balans VL '!L20/100/3.6*1000000+C32*'E Balans VL '!N20/100/3.6*1000000</f>
        <v>44.86263267832858</v>
      </c>
      <c r="G10" s="34"/>
      <c r="H10" s="33"/>
      <c r="I10" s="33"/>
      <c r="J10" s="40">
        <f>C32*'E Balans VL '!D20/100/3.6*1000000+C32*'E Balans VL '!E20/100/3.6*1000000</f>
        <v>0</v>
      </c>
      <c r="K10" s="33"/>
      <c r="L10" s="33"/>
      <c r="M10" s="33"/>
      <c r="N10" s="33">
        <f>C32*'E Balans VL '!Y20/100/3.6*1000000</f>
        <v>41.61375442820875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3156.523009</v>
      </c>
      <c r="C15" s="33"/>
      <c r="D15" s="37">
        <f>IF( ISERROR(IND_rest_gas_kWh/1000),0,IND_rest_gas_kWh/1000)*0.902</f>
        <v>5948.8293129980002</v>
      </c>
      <c r="E15" s="33">
        <f>C37*'E Balans VL '!I15/100/3.6*1000000</f>
        <v>150.58007450010746</v>
      </c>
      <c r="F15" s="33">
        <f>C37*'E Balans VL '!L15/100/3.6*1000000+C37*'E Balans VL '!N15/100/3.6*1000000</f>
        <v>499.08086671453572</v>
      </c>
      <c r="G15" s="34"/>
      <c r="H15" s="33"/>
      <c r="I15" s="33"/>
      <c r="J15" s="40">
        <f>C37*'E Balans VL '!D15/100/3.6*1000000+C37*'E Balans VL '!E15/100/3.6*1000000</f>
        <v>12.131415144793062</v>
      </c>
      <c r="K15" s="33"/>
      <c r="L15" s="33"/>
      <c r="M15" s="33"/>
      <c r="N15" s="33">
        <f>C37*'E Balans VL '!Y15/100/3.6*1000000</f>
        <v>114.99882578376007</v>
      </c>
      <c r="O15" s="33"/>
      <c r="P15" s="33"/>
      <c r="R15" s="32"/>
    </row>
    <row r="16" spans="1:18">
      <c r="A16" s="16" t="s">
        <v>464</v>
      </c>
      <c r="B16" s="244">
        <f>'lokale energieproductie'!N65+'lokale energieproductie'!N58</f>
        <v>0</v>
      </c>
      <c r="C16" s="244">
        <f>'lokale energieproductie'!O65+'lokale energieproductie'!O58</f>
        <v>0</v>
      </c>
      <c r="D16" s="302">
        <f>('lokale energieproductie'!P58+'lokale energieproductie'!P65)*(-1)</f>
        <v>0</v>
      </c>
      <c r="E16" s="245"/>
      <c r="F16" s="302">
        <f>('lokale energieproductie'!S58+'lokale energieproductie'!S65)*(-1)</f>
        <v>0</v>
      </c>
      <c r="G16" s="246"/>
      <c r="H16" s="245"/>
      <c r="I16" s="245"/>
      <c r="J16" s="245"/>
      <c r="K16" s="245"/>
      <c r="L16" s="302">
        <f>('lokale energieproductie'!T58+'lokale energieproductie'!U58+'lokale energieproductie'!T65+'lokale energieproductie'!U65)*(-1)</f>
        <v>0</v>
      </c>
      <c r="M16" s="245"/>
      <c r="N16" s="302">
        <f>('lokale energieproductie'!Q58+'lokale energieproductie'!R58+'lokale energieproductie'!V58+'lokale energieproductie'!Q65+'lokale energieproductie'!R65+'lokale energieproductie'!V65)*(-1)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5924.6943969999993</v>
      </c>
      <c r="C18" s="21">
        <f>C5+C16</f>
        <v>0</v>
      </c>
      <c r="D18" s="21">
        <f>MAX((D5+D16),0)</f>
        <v>8588.8055342099997</v>
      </c>
      <c r="E18" s="21">
        <f>MAX((E5+E16),0)</f>
        <v>158.93723927570377</v>
      </c>
      <c r="F18" s="21">
        <f>MAX((F5+F16),0)</f>
        <v>1632.4284781085255</v>
      </c>
      <c r="G18" s="21"/>
      <c r="H18" s="21"/>
      <c r="I18" s="21"/>
      <c r="J18" s="21">
        <f>MAX((J5+J16),0)</f>
        <v>12.512690256565172</v>
      </c>
      <c r="K18" s="21"/>
      <c r="L18" s="21">
        <f>MAX((L5+L16),0)</f>
        <v>0</v>
      </c>
      <c r="M18" s="21"/>
      <c r="N18" s="21">
        <f>MAX((N5+N16),0)</f>
        <v>247.2722642484664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0.2111623585927212</v>
      </c>
      <c r="C20" s="25">
        <f ca="1">'EF ele_warmte'!B22</f>
        <v>0.22319853493669176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1251.0724428116</v>
      </c>
      <c r="C22" s="23">
        <f ca="1">C18*C20</f>
        <v>0</v>
      </c>
      <c r="D22" s="23">
        <f>D18*D20</f>
        <v>1734.9387179104201</v>
      </c>
      <c r="E22" s="23">
        <f>E18*E20</f>
        <v>36.078753315584756</v>
      </c>
      <c r="F22" s="23">
        <f>F18*F20</f>
        <v>435.85840365497631</v>
      </c>
      <c r="G22" s="23"/>
      <c r="H22" s="23"/>
      <c r="I22" s="23"/>
      <c r="J22" s="23">
        <f>J18*J20</f>
        <v>4.4294923508240709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395.496058</v>
      </c>
      <c r="C30" s="39">
        <f>IF(ISERROR(B30*3.6/1000000/'E Balans VL '!Z18*100),0,B30*3.6/1000000/'E Balans VL '!Z18*100)</f>
        <v>2.1883366586094383E-2</v>
      </c>
      <c r="D30" s="234" t="s">
        <v>667</v>
      </c>
    </row>
    <row r="31" spans="1:18">
      <c r="A31" s="6" t="s">
        <v>32</v>
      </c>
      <c r="B31" s="37">
        <f>IF( ISERROR(IND_ander_ele_kWh/1000),0,IND_ander_ele_kWh/1000)</f>
        <v>1608.34878</v>
      </c>
      <c r="C31" s="39">
        <f>IF(ISERROR(B31*3.6/1000000/'E Balans VL '!Z19*100),0,B31*3.6/1000000/'E Balans VL '!Z19*100)</f>
        <v>7.0161199190789572E-2</v>
      </c>
      <c r="D31" s="234" t="s">
        <v>667</v>
      </c>
    </row>
    <row r="32" spans="1:18">
      <c r="A32" s="168" t="s">
        <v>40</v>
      </c>
      <c r="B32" s="37">
        <f>IF( ISERROR(IND_voed_ele_kWh/1000),0,IND_voed_ele_kWh/1000)</f>
        <v>764.32655</v>
      </c>
      <c r="C32" s="39">
        <f>IF(ISERROR(B32*3.6/1000000/'E Balans VL '!Z20*100),0,B32*3.6/1000000/'E Balans VL '!Z20*100)</f>
        <v>2.3991668174155354E-2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3156.523009</v>
      </c>
      <c r="C37" s="39">
        <f>IF(ISERROR(B37*3.6/1000000/'E Balans VL '!Z15*100),0,B37*3.6/1000000/'E Balans VL '!Z15*100)</f>
        <v>2.5689103592781561E-2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7458.2314079999996</v>
      </c>
      <c r="C5" s="17">
        <f>'Eigen informatie GS &amp; warmtenet'!B62</f>
        <v>0</v>
      </c>
      <c r="D5" s="30">
        <f>IF(ISERROR(SUM(LB_lb_gas_kWh,LB_rest_gas_kWh)/1000),0,SUM(LB_lb_gas_kWh,LB_rest_gas_kWh)/1000)*0.902</f>
        <v>497370.00050905196</v>
      </c>
      <c r="E5" s="17">
        <f>B17*'E Balans VL '!I25/3.6*1000000/100</f>
        <v>303.00146469490278</v>
      </c>
      <c r="F5" s="17">
        <f>B17*('E Balans VL '!L25/3.6*1000000+'E Balans VL '!N25/3.6*1000000)/100</f>
        <v>26382.374195871944</v>
      </c>
      <c r="G5" s="18"/>
      <c r="H5" s="17"/>
      <c r="I5" s="17"/>
      <c r="J5" s="17">
        <f>('E Balans VL '!D25+'E Balans VL '!E25)/3.6*1000000*landbouw!B17/100</f>
        <v>2119.038143333551</v>
      </c>
      <c r="K5" s="17"/>
      <c r="L5" s="17">
        <f>L6*(-1)</f>
        <v>34830</v>
      </c>
      <c r="M5" s="17"/>
      <c r="N5" s="17">
        <f>N6*(-1)</f>
        <v>115.71428571428572</v>
      </c>
      <c r="O5" s="17"/>
      <c r="P5" s="17"/>
      <c r="R5" s="32"/>
    </row>
    <row r="6" spans="1:18">
      <c r="A6" s="16" t="s">
        <v>464</v>
      </c>
      <c r="B6" s="17" t="s">
        <v>204</v>
      </c>
      <c r="C6" s="17">
        <f>'lokale energieproductie'!O67+'lokale energieproductie'!O60</f>
        <v>246180.85714285707</v>
      </c>
      <c r="D6" s="302">
        <f>('lokale energieproductie'!P60+'lokale energieproductie'!P67)*(-1)</f>
        <v>-450450</v>
      </c>
      <c r="E6" s="245"/>
      <c r="F6" s="302">
        <f>('lokale energieproductie'!S60+'lokale energieproductie'!S67)*(-1)</f>
        <v>-11610</v>
      </c>
      <c r="G6" s="246"/>
      <c r="H6" s="245"/>
      <c r="I6" s="245"/>
      <c r="J6" s="245"/>
      <c r="K6" s="245"/>
      <c r="L6" s="302">
        <f>('lokale energieproductie'!T60+'lokale energieproductie'!U60+'lokale energieproductie'!T67+'lokale energieproductie'!U67)*(-1)</f>
        <v>-34830</v>
      </c>
      <c r="M6" s="245"/>
      <c r="N6" s="302">
        <f>('lokale energieproductie'!V60+'lokale energieproductie'!R60+'lokale energieproductie'!Q60+'lokale energieproductie'!Q67+'lokale energieproductie'!R67+'lokale energieproductie'!V67)*(-1)</f>
        <v>-115.71428571428572</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7458.2314079999996</v>
      </c>
      <c r="C8" s="21">
        <f>C5+C6</f>
        <v>246180.85714285707</v>
      </c>
      <c r="D8" s="21">
        <f>MAX((D5+D6),0)</f>
        <v>46920.000509051955</v>
      </c>
      <c r="E8" s="21">
        <f>MAX((E5+E6),0)</f>
        <v>303.00146469490278</v>
      </c>
      <c r="F8" s="21">
        <f>MAX((F5+F6),0)</f>
        <v>14772.374195871944</v>
      </c>
      <c r="G8" s="21"/>
      <c r="H8" s="21"/>
      <c r="I8" s="21"/>
      <c r="J8" s="21">
        <f>MAX((J5+J6),0)</f>
        <v>2119.038143333551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0.2111623585927212</v>
      </c>
      <c r="C10" s="31">
        <f ca="1">'EF ele_warmte'!B22</f>
        <v>0.22319853493669176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1574.8977350435919</v>
      </c>
      <c r="C12" s="23">
        <f ca="1">C8*C10</f>
        <v>54947.206643744707</v>
      </c>
      <c r="D12" s="23">
        <f>D8*D10</f>
        <v>9477.8401028284952</v>
      </c>
      <c r="E12" s="23">
        <f>E8*E10</f>
        <v>68.781332485742936</v>
      </c>
      <c r="F12" s="23">
        <f>F8*F10</f>
        <v>3944.2239102978092</v>
      </c>
      <c r="G12" s="23"/>
      <c r="H12" s="23"/>
      <c r="I12" s="23"/>
      <c r="J12" s="23">
        <f>J8*J10</f>
        <v>750.13950274007698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1.1087195644663168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118.1971184361564</v>
      </c>
      <c r="C26" s="244">
        <f>B26*'GWP N2O_CH4'!B5</f>
        <v>2482.1394871592843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18.281422195296038</v>
      </c>
      <c r="C27" s="244">
        <f>B27*'GWP N2O_CH4'!B5</f>
        <v>383.90986610121678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1.5018933414660687</v>
      </c>
      <c r="C28" s="244">
        <f>B28*'GWP N2O_CH4'!B4</f>
        <v>465.58693585448128</v>
      </c>
      <c r="D28" s="50"/>
    </row>
    <row r="29" spans="1:4">
      <c r="A29" s="41" t="s">
        <v>265</v>
      </c>
      <c r="B29" s="244">
        <f>B34*'ha_N2O bodem landbouw'!B4</f>
        <v>8.3733849989209013</v>
      </c>
      <c r="C29" s="244">
        <f>B29*'GWP N2O_CH4'!B4</f>
        <v>2595.7493496654793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1.8361325708562456E-3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3.1654998185370219E-4</v>
      </c>
      <c r="C5" s="429" t="s">
        <v>204</v>
      </c>
      <c r="D5" s="414">
        <f>SUM(D6:D11)</f>
        <v>5.693932359156264E-4</v>
      </c>
      <c r="E5" s="414">
        <f>SUM(E6:E11)</f>
        <v>4.8665719145821152E-4</v>
      </c>
      <c r="F5" s="427" t="s">
        <v>204</v>
      </c>
      <c r="G5" s="414">
        <f>SUM(G6:G11)</f>
        <v>0.21591095439204197</v>
      </c>
      <c r="H5" s="414">
        <f>SUM(H6:H11)</f>
        <v>5.4513928550400756E-2</v>
      </c>
      <c r="I5" s="429" t="s">
        <v>204</v>
      </c>
      <c r="J5" s="429" t="s">
        <v>204</v>
      </c>
      <c r="K5" s="429" t="s">
        <v>204</v>
      </c>
      <c r="L5" s="429" t="s">
        <v>204</v>
      </c>
      <c r="M5" s="414">
        <f>SUM(M6:M11)</f>
        <v>1.6054885132764363E-2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2.3965044414008137E-4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4.0657965035037898E-4</v>
      </c>
      <c r="E6" s="843">
        <f>vkm_GW_PW*SUMIFS(TableVerdeelsleutelVkm[LPG],TableVerdeelsleutelVkm[Voertuigtype],"Lichte voertuigen")*SUMIFS(TableECFTransport[EnergieConsumptieFactor (PJ per km)],TableECFTransport[Index],CONCATENATE($A6,"_LPG_LPG"))</f>
        <v>3.5202047485514087E-4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0.11245009934072983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3.9119983171322488E-2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9.0719903841919945E-3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1.4862014081745787E-6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5.6723967583630151E-2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9.0403724738055756E-7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3.2697121406037584E-3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7.5274105857924624E-5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1.6281358556524746E-4</v>
      </c>
      <c r="E8" s="417">
        <f>vkm_NGW_PW*SUMIFS(TableVerdeelsleutelVkm[LPG],TableVerdeelsleutelVkm[Voertuigtype],"Lichte voertuigen")*SUMIFS(TableECFTransport[EnergieConsumptieFactor (PJ per km)],TableECFTransport[Index],CONCATENATE($A8,"_LPG_LPG"))</f>
        <v>1.3463671660307068E-4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3.9905304528097867E-2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1.5392939116312598E-2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3.3193934277963725E-3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1.3923044752161516E-7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6.8315829395841068E-3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1.0222551828776795E-7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3.9378918017223766E-4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87.930550514917272</v>
      </c>
      <c r="C14" s="21"/>
      <c r="D14" s="21">
        <f t="shared" ref="D14:M14" si="0">((D5)*10^9/3600)+D12</f>
        <v>158.16478775434067</v>
      </c>
      <c r="E14" s="21">
        <f t="shared" si="0"/>
        <v>135.18255318283653</v>
      </c>
      <c r="F14" s="21"/>
      <c r="G14" s="21">
        <f t="shared" si="0"/>
        <v>59975.265108900552</v>
      </c>
      <c r="H14" s="21">
        <f t="shared" si="0"/>
        <v>15142.757930666878</v>
      </c>
      <c r="I14" s="21"/>
      <c r="J14" s="21"/>
      <c r="K14" s="21"/>
      <c r="L14" s="21"/>
      <c r="M14" s="21">
        <f t="shared" si="0"/>
        <v>4459.6903146567674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0.2111623585927212</v>
      </c>
      <c r="C16" s="56">
        <f ca="1">'EF ele_warmte'!B22</f>
        <v>0.22319853493669176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18.567622439086346</v>
      </c>
      <c r="C18" s="23"/>
      <c r="D18" s="23">
        <f t="shared" ref="D18:M18" si="1">D14*D16</f>
        <v>31.949287126376817</v>
      </c>
      <c r="E18" s="23">
        <f t="shared" si="1"/>
        <v>30.686439572503893</v>
      </c>
      <c r="F18" s="23"/>
      <c r="G18" s="23">
        <f t="shared" si="1"/>
        <v>16013.395784076449</v>
      </c>
      <c r="H18" s="23">
        <f t="shared" si="1"/>
        <v>3770.5467247360525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1.1094879276802809E-4</v>
      </c>
      <c r="C50" s="313">
        <f t="shared" ref="C50:P50" si="2">SUM(C51:C52)</f>
        <v>0</v>
      </c>
      <c r="D50" s="313">
        <f t="shared" si="2"/>
        <v>0</v>
      </c>
      <c r="E50" s="313">
        <f t="shared" si="2"/>
        <v>0</v>
      </c>
      <c r="F50" s="313">
        <f t="shared" si="2"/>
        <v>0</v>
      </c>
      <c r="G50" s="313">
        <f t="shared" si="2"/>
        <v>8.038407257360259E-3</v>
      </c>
      <c r="H50" s="313">
        <f t="shared" si="2"/>
        <v>0</v>
      </c>
      <c r="I50" s="313">
        <f t="shared" si="2"/>
        <v>0</v>
      </c>
      <c r="J50" s="313">
        <f t="shared" si="2"/>
        <v>0</v>
      </c>
      <c r="K50" s="313">
        <f t="shared" si="2"/>
        <v>0</v>
      </c>
      <c r="L50" s="313">
        <f t="shared" si="2"/>
        <v>0</v>
      </c>
      <c r="M50" s="313">
        <f t="shared" si="2"/>
        <v>4.5467625312131085E-4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1.1094879276802809E-4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8.038407257360259E-3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4.5467625312131085E-4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30.819109102230023</v>
      </c>
      <c r="C54" s="21">
        <f t="shared" ref="C54:P54" si="3">(C50)*10^9/3600</f>
        <v>0</v>
      </c>
      <c r="D54" s="21">
        <f t="shared" si="3"/>
        <v>0</v>
      </c>
      <c r="E54" s="21">
        <f t="shared" si="3"/>
        <v>0</v>
      </c>
      <c r="F54" s="21">
        <f t="shared" si="3"/>
        <v>0</v>
      </c>
      <c r="G54" s="21">
        <f t="shared" si="3"/>
        <v>2232.890904822294</v>
      </c>
      <c r="H54" s="21">
        <f t="shared" si="3"/>
        <v>0</v>
      </c>
      <c r="I54" s="21">
        <f t="shared" si="3"/>
        <v>0</v>
      </c>
      <c r="J54" s="21">
        <f t="shared" si="3"/>
        <v>0</v>
      </c>
      <c r="K54" s="21">
        <f t="shared" si="3"/>
        <v>0</v>
      </c>
      <c r="L54" s="21">
        <f t="shared" si="3"/>
        <v>0</v>
      </c>
      <c r="M54" s="21">
        <f t="shared" si="3"/>
        <v>126.29895920036412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0.2111623585927212</v>
      </c>
      <c r="C56" s="56">
        <f ca="1">'EF ele_warmte'!B22</f>
        <v>0.22319853493669176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6.5078357677532939</v>
      </c>
      <c r="C58" s="23">
        <f t="shared" ref="C58:P58" ca="1" si="4">C54*C56</f>
        <v>0</v>
      </c>
      <c r="D58" s="23">
        <f t="shared" si="4"/>
        <v>0</v>
      </c>
      <c r="E58" s="23">
        <f t="shared" si="4"/>
        <v>0</v>
      </c>
      <c r="F58" s="23">
        <f t="shared" si="4"/>
        <v>0</v>
      </c>
      <c r="G58" s="23">
        <f t="shared" si="4"/>
        <v>596.18187158755256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79"/>
  <sheetViews>
    <sheetView showGridLines="0" zoomScale="65" zoomScaleNormal="65" workbookViewId="0">
      <selection activeCell="A28" sqref="A28:XFD57"/>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10373.305693595164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N57</f>
        <v>181989</v>
      </c>
      <c r="C8" s="539">
        <f>B76</f>
        <v>194686.95454237401</v>
      </c>
      <c r="D8" s="540"/>
      <c r="E8" s="540">
        <f>E76</f>
        <v>4842.3721237230056</v>
      </c>
      <c r="F8" s="541"/>
      <c r="G8" s="542"/>
      <c r="H8" s="540">
        <f>I76</f>
        <v>0</v>
      </c>
      <c r="I8" s="540">
        <f>G76+F76</f>
        <v>14527.116371169019</v>
      </c>
      <c r="J8" s="540">
        <f>H76+D76+C76</f>
        <v>48.26284508694026</v>
      </c>
      <c r="K8" s="540"/>
      <c r="L8" s="540"/>
      <c r="M8" s="540"/>
      <c r="N8" s="543"/>
      <c r="O8" s="544">
        <f>C8*$C$12+D8*$D$12+E8*$E$12+F8*$F$12+G8*$G$12+H8*$H$12+I8*$I$12+J8*$J$12</f>
        <v>40619.678174593595</v>
      </c>
      <c r="P8" s="1230"/>
      <c r="Q8" s="1231"/>
      <c r="S8" s="534"/>
      <c r="T8" s="1227"/>
      <c r="U8" s="1227"/>
    </row>
    <row r="9" spans="1:21" s="525" customFormat="1" ht="17.45" customHeight="1" thickBot="1">
      <c r="A9" s="545" t="s">
        <v>236</v>
      </c>
      <c r="B9" s="546">
        <f>N64+'Eigen informatie GS &amp; warmtenet'!B12</f>
        <v>0</v>
      </c>
      <c r="C9" s="547">
        <f>P64+IF(ISERROR(('Eigen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S64+IF(ISERROR('Eigen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W64+IF(ISERROR('Eigen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(T64+U64)+IF(ISERROR('Eigen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V64+Q64+R64+IF(ISERROR('Eigen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192362.30569359518</v>
      </c>
      <c r="C10" s="554">
        <f t="shared" ref="C10:L10" si="0">SUM(C8:C9)</f>
        <v>194686.95454237401</v>
      </c>
      <c r="D10" s="554">
        <f t="shared" si="0"/>
        <v>0</v>
      </c>
      <c r="E10" s="554">
        <f t="shared" si="0"/>
        <v>4842.3721237230056</v>
      </c>
      <c r="F10" s="554">
        <f t="shared" si="0"/>
        <v>0</v>
      </c>
      <c r="G10" s="554">
        <f t="shared" si="0"/>
        <v>0</v>
      </c>
      <c r="H10" s="554">
        <f t="shared" si="0"/>
        <v>0</v>
      </c>
      <c r="I10" s="554">
        <f t="shared" si="0"/>
        <v>14527.116371169019</v>
      </c>
      <c r="J10" s="554">
        <f t="shared" si="0"/>
        <v>48.26284508694026</v>
      </c>
      <c r="K10" s="554">
        <f t="shared" si="0"/>
        <v>0</v>
      </c>
      <c r="L10" s="554">
        <f t="shared" si="0"/>
        <v>0</v>
      </c>
      <c r="M10" s="923"/>
      <c r="N10" s="923"/>
      <c r="O10" s="555">
        <f>SUM(O4:O9)</f>
        <v>40619.678174593595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O57</f>
        <v>254345.14285714278</v>
      </c>
      <c r="C17" s="570">
        <f>B77</f>
        <v>272091.61688619741</v>
      </c>
      <c r="D17" s="571"/>
      <c r="E17" s="571">
        <f>E77</f>
        <v>6767.6278762769944</v>
      </c>
      <c r="F17" s="572"/>
      <c r="G17" s="573"/>
      <c r="H17" s="570">
        <f>I77</f>
        <v>0</v>
      </c>
      <c r="I17" s="571">
        <f>G77+F77</f>
        <v>20302.883628830983</v>
      </c>
      <c r="J17" s="571">
        <f>H77+D77+C77</f>
        <v>67.451440627345463</v>
      </c>
      <c r="K17" s="571"/>
      <c r="L17" s="571"/>
      <c r="M17" s="571"/>
      <c r="N17" s="924"/>
      <c r="O17" s="574">
        <f>C17*$C$22+E17*$E$22+H17*$H$22+I17*$I$22+J17*$J$22+D17*$D$22+F17*$F$22+G17*$G$22+K17*$K$22+L17*$L$22</f>
        <v>56769.463253977839</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254345.14285714278</v>
      </c>
      <c r="C20" s="553">
        <f>SUM(C17:C19)</f>
        <v>272091.61688619741</v>
      </c>
      <c r="D20" s="553">
        <f t="shared" ref="D20:L20" si="1">SUM(D17:D19)</f>
        <v>0</v>
      </c>
      <c r="E20" s="553">
        <f t="shared" si="1"/>
        <v>6767.6278762769944</v>
      </c>
      <c r="F20" s="553">
        <f t="shared" si="1"/>
        <v>0</v>
      </c>
      <c r="G20" s="553">
        <f t="shared" si="1"/>
        <v>0</v>
      </c>
      <c r="H20" s="553">
        <f t="shared" si="1"/>
        <v>0</v>
      </c>
      <c r="I20" s="553">
        <f t="shared" si="1"/>
        <v>20302.883628830983</v>
      </c>
      <c r="J20" s="553">
        <f t="shared" si="1"/>
        <v>67.451440627345463</v>
      </c>
      <c r="K20" s="553">
        <f t="shared" si="1"/>
        <v>0</v>
      </c>
      <c r="L20" s="553">
        <f t="shared" si="1"/>
        <v>0</v>
      </c>
      <c r="M20" s="553"/>
      <c r="N20" s="553"/>
      <c r="O20" s="579">
        <f>SUM(O17:O19)</f>
        <v>56769.463253977839</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38.25" hidden="1">
      <c r="A28" s="583"/>
      <c r="B28" s="745">
        <v>12035</v>
      </c>
      <c r="C28" s="745">
        <v>2860</v>
      </c>
      <c r="D28" s="631"/>
      <c r="E28" s="630"/>
      <c r="F28" s="630"/>
      <c r="G28" s="630" t="s">
        <v>883</v>
      </c>
      <c r="H28" s="630" t="s">
        <v>884</v>
      </c>
      <c r="I28" s="630"/>
      <c r="J28" s="744"/>
      <c r="K28" s="744"/>
      <c r="L28" s="630" t="s">
        <v>885</v>
      </c>
      <c r="M28" s="630">
        <v>1129</v>
      </c>
      <c r="N28" s="630">
        <v>5080.5</v>
      </c>
      <c r="O28" s="630">
        <v>5715.5625</v>
      </c>
      <c r="P28" s="630">
        <v>0</v>
      </c>
      <c r="Q28" s="630">
        <v>0</v>
      </c>
      <c r="R28" s="630">
        <v>0</v>
      </c>
      <c r="S28" s="630">
        <v>3175.3125</v>
      </c>
      <c r="T28" s="630">
        <v>9525.9375</v>
      </c>
      <c r="U28" s="630">
        <v>0</v>
      </c>
      <c r="V28" s="630">
        <v>0</v>
      </c>
      <c r="W28" s="630">
        <v>0</v>
      </c>
      <c r="X28" s="630"/>
      <c r="Y28" s="630">
        <v>10</v>
      </c>
      <c r="Z28" s="630" t="s">
        <v>105</v>
      </c>
      <c r="AA28" s="632" t="s">
        <v>105</v>
      </c>
    </row>
    <row r="29" spans="1:27" s="584" customFormat="1" ht="25.5" hidden="1">
      <c r="A29" s="583"/>
      <c r="B29" s="745">
        <v>12035</v>
      </c>
      <c r="C29" s="745">
        <v>2861</v>
      </c>
      <c r="D29" s="631"/>
      <c r="E29" s="630"/>
      <c r="F29" s="630"/>
      <c r="G29" s="630" t="s">
        <v>883</v>
      </c>
      <c r="H29" s="630" t="s">
        <v>886</v>
      </c>
      <c r="I29" s="630"/>
      <c r="J29" s="744"/>
      <c r="K29" s="744"/>
      <c r="L29" s="630" t="s">
        <v>885</v>
      </c>
      <c r="M29" s="630">
        <v>1752</v>
      </c>
      <c r="N29" s="630">
        <v>7884</v>
      </c>
      <c r="O29" s="630">
        <v>11262.857142857143</v>
      </c>
      <c r="P29" s="630">
        <v>22525.714285714286</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12035</v>
      </c>
      <c r="C30" s="745">
        <v>2861</v>
      </c>
      <c r="D30" s="631"/>
      <c r="E30" s="630"/>
      <c r="F30" s="630"/>
      <c r="G30" s="630" t="s">
        <v>883</v>
      </c>
      <c r="H30" s="630" t="s">
        <v>886</v>
      </c>
      <c r="I30" s="630"/>
      <c r="J30" s="744"/>
      <c r="K30" s="744"/>
      <c r="L30" s="630" t="s">
        <v>885</v>
      </c>
      <c r="M30" s="630">
        <v>1984</v>
      </c>
      <c r="N30" s="630">
        <v>8928</v>
      </c>
      <c r="O30" s="630">
        <v>12754.285714285714</v>
      </c>
      <c r="P30" s="630">
        <v>25508.571428571431</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12035</v>
      </c>
      <c r="C31" s="745">
        <v>2861</v>
      </c>
      <c r="D31" s="631"/>
      <c r="E31" s="630"/>
      <c r="F31" s="630"/>
      <c r="G31" s="630" t="s">
        <v>883</v>
      </c>
      <c r="H31" s="630" t="s">
        <v>886</v>
      </c>
      <c r="I31" s="630"/>
      <c r="J31" s="744"/>
      <c r="K31" s="744"/>
      <c r="L31" s="630" t="s">
        <v>885</v>
      </c>
      <c r="M31" s="630">
        <v>1564</v>
      </c>
      <c r="N31" s="630">
        <v>7038</v>
      </c>
      <c r="O31" s="630">
        <v>10054.285714285714</v>
      </c>
      <c r="P31" s="630">
        <v>20108.571428571431</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12035</v>
      </c>
      <c r="C32" s="745">
        <v>2861</v>
      </c>
      <c r="D32" s="631"/>
      <c r="E32" s="630"/>
      <c r="F32" s="630"/>
      <c r="G32" s="630" t="s">
        <v>883</v>
      </c>
      <c r="H32" s="630" t="s">
        <v>886</v>
      </c>
      <c r="I32" s="630"/>
      <c r="J32" s="744"/>
      <c r="K32" s="744"/>
      <c r="L32" s="630" t="s">
        <v>885</v>
      </c>
      <c r="M32" s="630">
        <v>2566</v>
      </c>
      <c r="N32" s="630">
        <v>11547</v>
      </c>
      <c r="O32" s="630">
        <v>16495.714285714286</v>
      </c>
      <c r="P32" s="630">
        <v>32991.428571428572</v>
      </c>
      <c r="Q32" s="630">
        <v>0</v>
      </c>
      <c r="R32" s="630">
        <v>0</v>
      </c>
      <c r="S32" s="630">
        <v>0</v>
      </c>
      <c r="T32" s="630">
        <v>0</v>
      </c>
      <c r="U32" s="630">
        <v>0</v>
      </c>
      <c r="V32" s="630">
        <v>0</v>
      </c>
      <c r="W32" s="630">
        <v>0</v>
      </c>
      <c r="X32" s="630"/>
      <c r="Y32" s="630">
        <v>10</v>
      </c>
      <c r="Z32" s="630" t="s">
        <v>105</v>
      </c>
      <c r="AA32" s="632" t="s">
        <v>105</v>
      </c>
    </row>
    <row r="33" spans="1:27" s="584" customFormat="1" ht="25.5" hidden="1">
      <c r="A33" s="583"/>
      <c r="B33" s="745">
        <v>12035</v>
      </c>
      <c r="C33" s="745">
        <v>2861</v>
      </c>
      <c r="D33" s="631"/>
      <c r="E33" s="630"/>
      <c r="F33" s="630"/>
      <c r="G33" s="630" t="s">
        <v>883</v>
      </c>
      <c r="H33" s="630" t="s">
        <v>886</v>
      </c>
      <c r="I33" s="630"/>
      <c r="J33" s="744"/>
      <c r="K33" s="744"/>
      <c r="L33" s="630" t="s">
        <v>885</v>
      </c>
      <c r="M33" s="630">
        <v>1006</v>
      </c>
      <c r="N33" s="630">
        <v>4527</v>
      </c>
      <c r="O33" s="630">
        <v>6467.1428571428569</v>
      </c>
      <c r="P33" s="630">
        <v>12934.285714285716</v>
      </c>
      <c r="Q33" s="630">
        <v>0</v>
      </c>
      <c r="R33" s="630">
        <v>0</v>
      </c>
      <c r="S33" s="630">
        <v>0</v>
      </c>
      <c r="T33" s="630">
        <v>0</v>
      </c>
      <c r="U33" s="630">
        <v>0</v>
      </c>
      <c r="V33" s="630">
        <v>0</v>
      </c>
      <c r="W33" s="630">
        <v>0</v>
      </c>
      <c r="X33" s="630"/>
      <c r="Y33" s="630">
        <v>10</v>
      </c>
      <c r="Z33" s="630" t="s">
        <v>105</v>
      </c>
      <c r="AA33" s="632" t="s">
        <v>105</v>
      </c>
    </row>
    <row r="34" spans="1:27" s="584" customFormat="1" ht="25.5" hidden="1">
      <c r="A34" s="583"/>
      <c r="B34" s="745">
        <v>12035</v>
      </c>
      <c r="C34" s="745">
        <v>2860</v>
      </c>
      <c r="D34" s="631"/>
      <c r="E34" s="630"/>
      <c r="F34" s="630"/>
      <c r="G34" s="630" t="s">
        <v>883</v>
      </c>
      <c r="H34" s="630" t="s">
        <v>886</v>
      </c>
      <c r="I34" s="630"/>
      <c r="J34" s="744"/>
      <c r="K34" s="744"/>
      <c r="L34" s="630" t="s">
        <v>885</v>
      </c>
      <c r="M34" s="630">
        <v>1158</v>
      </c>
      <c r="N34" s="630">
        <v>5211</v>
      </c>
      <c r="O34" s="630">
        <v>7444.2857142857147</v>
      </c>
      <c r="P34" s="630">
        <v>14888.571428571429</v>
      </c>
      <c r="Q34" s="630">
        <v>0</v>
      </c>
      <c r="R34" s="630">
        <v>0</v>
      </c>
      <c r="S34" s="630">
        <v>0</v>
      </c>
      <c r="T34" s="630">
        <v>0</v>
      </c>
      <c r="U34" s="630">
        <v>0</v>
      </c>
      <c r="V34" s="630">
        <v>0</v>
      </c>
      <c r="W34" s="630">
        <v>0</v>
      </c>
      <c r="X34" s="630"/>
      <c r="Y34" s="630">
        <v>10</v>
      </c>
      <c r="Z34" s="630" t="s">
        <v>105</v>
      </c>
      <c r="AA34" s="632" t="s">
        <v>105</v>
      </c>
    </row>
    <row r="35" spans="1:27" s="584" customFormat="1" ht="25.5" hidden="1">
      <c r="A35" s="583"/>
      <c r="B35" s="745">
        <v>12035</v>
      </c>
      <c r="C35" s="745">
        <v>2861</v>
      </c>
      <c r="D35" s="631"/>
      <c r="E35" s="630"/>
      <c r="F35" s="630"/>
      <c r="G35" s="630" t="s">
        <v>883</v>
      </c>
      <c r="H35" s="630" t="s">
        <v>886</v>
      </c>
      <c r="I35" s="630"/>
      <c r="J35" s="744"/>
      <c r="K35" s="744"/>
      <c r="L35" s="630" t="s">
        <v>885</v>
      </c>
      <c r="M35" s="630">
        <v>2014</v>
      </c>
      <c r="N35" s="630">
        <v>9062.9999999999982</v>
      </c>
      <c r="O35" s="630">
        <v>12947.142857142855</v>
      </c>
      <c r="P35" s="630">
        <v>25894.28571428571</v>
      </c>
      <c r="Q35" s="630">
        <v>0</v>
      </c>
      <c r="R35" s="630">
        <v>0</v>
      </c>
      <c r="S35" s="630">
        <v>0</v>
      </c>
      <c r="T35" s="630">
        <v>0</v>
      </c>
      <c r="U35" s="630">
        <v>0</v>
      </c>
      <c r="V35" s="630">
        <v>0</v>
      </c>
      <c r="W35" s="630">
        <v>0</v>
      </c>
      <c r="X35" s="630"/>
      <c r="Y35" s="630">
        <v>10</v>
      </c>
      <c r="Z35" s="630" t="s">
        <v>105</v>
      </c>
      <c r="AA35" s="632" t="s">
        <v>105</v>
      </c>
    </row>
    <row r="36" spans="1:27" s="584" customFormat="1" ht="38.25" hidden="1">
      <c r="A36" s="583"/>
      <c r="B36" s="745">
        <v>12035</v>
      </c>
      <c r="C36" s="745">
        <v>2860</v>
      </c>
      <c r="D36" s="631"/>
      <c r="E36" s="630"/>
      <c r="F36" s="630"/>
      <c r="G36" s="630" t="s">
        <v>883</v>
      </c>
      <c r="H36" s="630" t="s">
        <v>884</v>
      </c>
      <c r="I36" s="630"/>
      <c r="J36" s="744"/>
      <c r="K36" s="744"/>
      <c r="L36" s="630" t="s">
        <v>887</v>
      </c>
      <c r="M36" s="630">
        <v>773</v>
      </c>
      <c r="N36" s="630">
        <v>3478.5</v>
      </c>
      <c r="O36" s="630">
        <v>3913.3125</v>
      </c>
      <c r="P36" s="630">
        <v>0</v>
      </c>
      <c r="Q36" s="630">
        <v>0</v>
      </c>
      <c r="R36" s="630">
        <v>0</v>
      </c>
      <c r="S36" s="630">
        <v>2174.0625</v>
      </c>
      <c r="T36" s="630">
        <v>6522.1875</v>
      </c>
      <c r="U36" s="630">
        <v>0</v>
      </c>
      <c r="V36" s="630">
        <v>0</v>
      </c>
      <c r="W36" s="630">
        <v>0</v>
      </c>
      <c r="X36" s="630"/>
      <c r="Y36" s="630">
        <v>10</v>
      </c>
      <c r="Z36" s="630" t="s">
        <v>105</v>
      </c>
      <c r="AA36" s="632" t="s">
        <v>105</v>
      </c>
    </row>
    <row r="37" spans="1:27" s="584" customFormat="1" ht="25.5" hidden="1">
      <c r="A37" s="583"/>
      <c r="B37" s="745">
        <v>12035</v>
      </c>
      <c r="C37" s="745">
        <v>2861</v>
      </c>
      <c r="D37" s="631"/>
      <c r="E37" s="630"/>
      <c r="F37" s="630"/>
      <c r="G37" s="630" t="s">
        <v>883</v>
      </c>
      <c r="H37" s="630" t="s">
        <v>886</v>
      </c>
      <c r="I37" s="630"/>
      <c r="J37" s="744"/>
      <c r="K37" s="744"/>
      <c r="L37" s="630" t="s">
        <v>885</v>
      </c>
      <c r="M37" s="630">
        <v>1400</v>
      </c>
      <c r="N37" s="630">
        <v>6300</v>
      </c>
      <c r="O37" s="630">
        <v>9000</v>
      </c>
      <c r="P37" s="630">
        <v>18000</v>
      </c>
      <c r="Q37" s="630">
        <v>0</v>
      </c>
      <c r="R37" s="630">
        <v>0</v>
      </c>
      <c r="S37" s="630">
        <v>0</v>
      </c>
      <c r="T37" s="630">
        <v>0</v>
      </c>
      <c r="U37" s="630">
        <v>0</v>
      </c>
      <c r="V37" s="630">
        <v>0</v>
      </c>
      <c r="W37" s="630">
        <v>0</v>
      </c>
      <c r="X37" s="630"/>
      <c r="Y37" s="630">
        <v>10</v>
      </c>
      <c r="Z37" s="630" t="s">
        <v>105</v>
      </c>
      <c r="AA37" s="632" t="s">
        <v>105</v>
      </c>
    </row>
    <row r="38" spans="1:27" s="584" customFormat="1" ht="25.5" hidden="1">
      <c r="A38" s="583"/>
      <c r="B38" s="745">
        <v>12035</v>
      </c>
      <c r="C38" s="745">
        <v>2861</v>
      </c>
      <c r="D38" s="631"/>
      <c r="E38" s="630"/>
      <c r="F38" s="630"/>
      <c r="G38" s="630" t="s">
        <v>883</v>
      </c>
      <c r="H38" s="630" t="s">
        <v>886</v>
      </c>
      <c r="I38" s="630"/>
      <c r="J38" s="744"/>
      <c r="K38" s="744"/>
      <c r="L38" s="630" t="s">
        <v>885</v>
      </c>
      <c r="M38" s="630">
        <v>1562</v>
      </c>
      <c r="N38" s="630">
        <v>7029</v>
      </c>
      <c r="O38" s="630">
        <v>10041.428571428572</v>
      </c>
      <c r="P38" s="630">
        <v>20082.857142857145</v>
      </c>
      <c r="Q38" s="630">
        <v>0</v>
      </c>
      <c r="R38" s="630">
        <v>0</v>
      </c>
      <c r="S38" s="630">
        <v>0</v>
      </c>
      <c r="T38" s="630">
        <v>0</v>
      </c>
      <c r="U38" s="630">
        <v>0</v>
      </c>
      <c r="V38" s="630">
        <v>0</v>
      </c>
      <c r="W38" s="630">
        <v>0</v>
      </c>
      <c r="X38" s="630"/>
      <c r="Y38" s="630">
        <v>10</v>
      </c>
      <c r="Z38" s="630" t="s">
        <v>105</v>
      </c>
      <c r="AA38" s="632" t="s">
        <v>105</v>
      </c>
    </row>
    <row r="39" spans="1:27" s="584" customFormat="1" ht="25.5" hidden="1">
      <c r="A39" s="583"/>
      <c r="B39" s="745">
        <v>12035</v>
      </c>
      <c r="C39" s="745">
        <v>2860</v>
      </c>
      <c r="D39" s="631"/>
      <c r="E39" s="630"/>
      <c r="F39" s="630"/>
      <c r="G39" s="630" t="s">
        <v>883</v>
      </c>
      <c r="H39" s="630" t="s">
        <v>886</v>
      </c>
      <c r="I39" s="630"/>
      <c r="J39" s="744"/>
      <c r="K39" s="744"/>
      <c r="L39" s="630" t="s">
        <v>885</v>
      </c>
      <c r="M39" s="630">
        <v>2014</v>
      </c>
      <c r="N39" s="630">
        <v>9062.9999999999982</v>
      </c>
      <c r="O39" s="630">
        <v>12947.142857142855</v>
      </c>
      <c r="P39" s="630">
        <v>25894.28571428571</v>
      </c>
      <c r="Q39" s="630">
        <v>0</v>
      </c>
      <c r="R39" s="630">
        <v>0</v>
      </c>
      <c r="S39" s="630">
        <v>0</v>
      </c>
      <c r="T39" s="630">
        <v>0</v>
      </c>
      <c r="U39" s="630">
        <v>0</v>
      </c>
      <c r="V39" s="630">
        <v>0</v>
      </c>
      <c r="W39" s="630">
        <v>0</v>
      </c>
      <c r="X39" s="630"/>
      <c r="Y39" s="630">
        <v>10</v>
      </c>
      <c r="Z39" s="630" t="s">
        <v>105</v>
      </c>
      <c r="AA39" s="632" t="s">
        <v>105</v>
      </c>
    </row>
    <row r="40" spans="1:27" s="584" customFormat="1" ht="25.5" hidden="1">
      <c r="A40" s="583"/>
      <c r="B40" s="745">
        <v>12035</v>
      </c>
      <c r="C40" s="745">
        <v>2861</v>
      </c>
      <c r="D40" s="631"/>
      <c r="E40" s="630"/>
      <c r="F40" s="630"/>
      <c r="G40" s="630" t="s">
        <v>883</v>
      </c>
      <c r="H40" s="630" t="s">
        <v>886</v>
      </c>
      <c r="I40" s="630"/>
      <c r="J40" s="744"/>
      <c r="K40" s="744"/>
      <c r="L40" s="630" t="s">
        <v>885</v>
      </c>
      <c r="M40" s="630">
        <v>2014</v>
      </c>
      <c r="N40" s="630">
        <v>9062.9999999999982</v>
      </c>
      <c r="O40" s="630">
        <v>12947.142857142855</v>
      </c>
      <c r="P40" s="630">
        <v>25894.28571428571</v>
      </c>
      <c r="Q40" s="630">
        <v>0</v>
      </c>
      <c r="R40" s="630">
        <v>0</v>
      </c>
      <c r="S40" s="630">
        <v>0</v>
      </c>
      <c r="T40" s="630">
        <v>0</v>
      </c>
      <c r="U40" s="630">
        <v>0</v>
      </c>
      <c r="V40" s="630">
        <v>0</v>
      </c>
      <c r="W40" s="630">
        <v>0</v>
      </c>
      <c r="X40" s="630"/>
      <c r="Y40" s="630">
        <v>10</v>
      </c>
      <c r="Z40" s="630" t="s">
        <v>105</v>
      </c>
      <c r="AA40" s="632" t="s">
        <v>105</v>
      </c>
    </row>
    <row r="41" spans="1:27" s="584" customFormat="1" ht="25.5" hidden="1">
      <c r="A41" s="583"/>
      <c r="B41" s="745">
        <v>12035</v>
      </c>
      <c r="C41" s="745">
        <v>2860</v>
      </c>
      <c r="D41" s="631"/>
      <c r="E41" s="630"/>
      <c r="F41" s="630"/>
      <c r="G41" s="630" t="s">
        <v>883</v>
      </c>
      <c r="H41" s="630" t="s">
        <v>886</v>
      </c>
      <c r="I41" s="630"/>
      <c r="J41" s="744"/>
      <c r="K41" s="744"/>
      <c r="L41" s="630" t="s">
        <v>885</v>
      </c>
      <c r="M41" s="630">
        <v>2789</v>
      </c>
      <c r="N41" s="630">
        <v>12550.5</v>
      </c>
      <c r="O41" s="630">
        <v>17929.285714285714</v>
      </c>
      <c r="P41" s="630">
        <v>35858.571428571428</v>
      </c>
      <c r="Q41" s="630">
        <v>0</v>
      </c>
      <c r="R41" s="630">
        <v>0</v>
      </c>
      <c r="S41" s="630">
        <v>0</v>
      </c>
      <c r="T41" s="630">
        <v>0</v>
      </c>
      <c r="U41" s="630">
        <v>0</v>
      </c>
      <c r="V41" s="630">
        <v>0</v>
      </c>
      <c r="W41" s="630">
        <v>0</v>
      </c>
      <c r="X41" s="630"/>
      <c r="Y41" s="630">
        <v>10</v>
      </c>
      <c r="Z41" s="630" t="s">
        <v>105</v>
      </c>
      <c r="AA41" s="632" t="s">
        <v>105</v>
      </c>
    </row>
    <row r="42" spans="1:27" s="584" customFormat="1" ht="38.25" hidden="1">
      <c r="A42" s="583"/>
      <c r="B42" s="745">
        <v>12035</v>
      </c>
      <c r="C42" s="745">
        <v>2861</v>
      </c>
      <c r="D42" s="631"/>
      <c r="E42" s="630"/>
      <c r="F42" s="630"/>
      <c r="G42" s="630" t="s">
        <v>883</v>
      </c>
      <c r="H42" s="630" t="s">
        <v>884</v>
      </c>
      <c r="I42" s="630"/>
      <c r="J42" s="744"/>
      <c r="K42" s="744"/>
      <c r="L42" s="630" t="s">
        <v>885</v>
      </c>
      <c r="M42" s="630">
        <v>640</v>
      </c>
      <c r="N42" s="630">
        <v>2880</v>
      </c>
      <c r="O42" s="630">
        <v>3240</v>
      </c>
      <c r="P42" s="630">
        <v>0</v>
      </c>
      <c r="Q42" s="630">
        <v>0</v>
      </c>
      <c r="R42" s="630">
        <v>0</v>
      </c>
      <c r="S42" s="630">
        <v>1800</v>
      </c>
      <c r="T42" s="630">
        <v>5400</v>
      </c>
      <c r="U42" s="630">
        <v>0</v>
      </c>
      <c r="V42" s="630">
        <v>0</v>
      </c>
      <c r="W42" s="630">
        <v>0</v>
      </c>
      <c r="X42" s="630"/>
      <c r="Y42" s="630">
        <v>10</v>
      </c>
      <c r="Z42" s="630" t="s">
        <v>105</v>
      </c>
      <c r="AA42" s="632" t="s">
        <v>105</v>
      </c>
    </row>
    <row r="43" spans="1:27" s="584" customFormat="1" ht="38.25" hidden="1">
      <c r="A43" s="583"/>
      <c r="B43" s="745">
        <v>12035</v>
      </c>
      <c r="C43" s="745">
        <v>2860</v>
      </c>
      <c r="D43" s="631"/>
      <c r="E43" s="630"/>
      <c r="F43" s="630"/>
      <c r="G43" s="630" t="s">
        <v>883</v>
      </c>
      <c r="H43" s="630" t="s">
        <v>884</v>
      </c>
      <c r="I43" s="630"/>
      <c r="J43" s="744"/>
      <c r="K43" s="744"/>
      <c r="L43" s="630" t="s">
        <v>885</v>
      </c>
      <c r="M43" s="630">
        <v>1058</v>
      </c>
      <c r="N43" s="630">
        <v>4761</v>
      </c>
      <c r="O43" s="630">
        <v>5356.125</v>
      </c>
      <c r="P43" s="630">
        <v>0</v>
      </c>
      <c r="Q43" s="630">
        <v>0</v>
      </c>
      <c r="R43" s="630">
        <v>0</v>
      </c>
      <c r="S43" s="630">
        <v>2975.625</v>
      </c>
      <c r="T43" s="630">
        <v>8926.875</v>
      </c>
      <c r="U43" s="630">
        <v>0</v>
      </c>
      <c r="V43" s="630">
        <v>0</v>
      </c>
      <c r="W43" s="630">
        <v>0</v>
      </c>
      <c r="X43" s="630"/>
      <c r="Y43" s="630">
        <v>10</v>
      </c>
      <c r="Z43" s="630" t="s">
        <v>105</v>
      </c>
      <c r="AA43" s="632" t="s">
        <v>105</v>
      </c>
    </row>
    <row r="44" spans="1:27" s="584" customFormat="1" ht="25.5" hidden="1">
      <c r="A44" s="583"/>
      <c r="B44" s="745">
        <v>12035</v>
      </c>
      <c r="C44" s="745">
        <v>2860</v>
      </c>
      <c r="D44" s="631"/>
      <c r="E44" s="630"/>
      <c r="F44" s="630"/>
      <c r="G44" s="630" t="s">
        <v>883</v>
      </c>
      <c r="H44" s="630" t="s">
        <v>886</v>
      </c>
      <c r="I44" s="630"/>
      <c r="J44" s="744"/>
      <c r="K44" s="744"/>
      <c r="L44" s="630" t="s">
        <v>885</v>
      </c>
      <c r="M44" s="630">
        <v>1008</v>
      </c>
      <c r="N44" s="630">
        <v>4536</v>
      </c>
      <c r="O44" s="630">
        <v>6480</v>
      </c>
      <c r="P44" s="630">
        <v>12960</v>
      </c>
      <c r="Q44" s="630">
        <v>0</v>
      </c>
      <c r="R44" s="630">
        <v>0</v>
      </c>
      <c r="S44" s="630">
        <v>0</v>
      </c>
      <c r="T44" s="630">
        <v>0</v>
      </c>
      <c r="U44" s="630">
        <v>0</v>
      </c>
      <c r="V44" s="630">
        <v>0</v>
      </c>
      <c r="W44" s="630">
        <v>0</v>
      </c>
      <c r="X44" s="630"/>
      <c r="Y44" s="630">
        <v>10</v>
      </c>
      <c r="Z44" s="630" t="s">
        <v>105</v>
      </c>
      <c r="AA44" s="632" t="s">
        <v>105</v>
      </c>
    </row>
    <row r="45" spans="1:27" s="584" customFormat="1" ht="25.5" hidden="1">
      <c r="A45" s="583"/>
      <c r="B45" s="745">
        <v>12035</v>
      </c>
      <c r="C45" s="745">
        <v>2861</v>
      </c>
      <c r="D45" s="631"/>
      <c r="E45" s="630"/>
      <c r="F45" s="630"/>
      <c r="G45" s="630" t="s">
        <v>883</v>
      </c>
      <c r="H45" s="630" t="s">
        <v>886</v>
      </c>
      <c r="I45" s="630"/>
      <c r="J45" s="744"/>
      <c r="K45" s="744"/>
      <c r="L45" s="630" t="s">
        <v>885</v>
      </c>
      <c r="M45" s="630">
        <v>800</v>
      </c>
      <c r="N45" s="630">
        <v>3600</v>
      </c>
      <c r="O45" s="630">
        <v>5142.8571428571431</v>
      </c>
      <c r="P45" s="630">
        <v>10285.714285714286</v>
      </c>
      <c r="Q45" s="630">
        <v>0</v>
      </c>
      <c r="R45" s="630">
        <v>0</v>
      </c>
      <c r="S45" s="630">
        <v>0</v>
      </c>
      <c r="T45" s="630">
        <v>0</v>
      </c>
      <c r="U45" s="630">
        <v>0</v>
      </c>
      <c r="V45" s="630">
        <v>0</v>
      </c>
      <c r="W45" s="630">
        <v>0</v>
      </c>
      <c r="X45" s="630"/>
      <c r="Y45" s="630">
        <v>10</v>
      </c>
      <c r="Z45" s="630" t="s">
        <v>105</v>
      </c>
      <c r="AA45" s="632" t="s">
        <v>105</v>
      </c>
    </row>
    <row r="46" spans="1:27" s="584" customFormat="1" ht="38.25" hidden="1">
      <c r="A46" s="583"/>
      <c r="B46" s="745">
        <v>12035</v>
      </c>
      <c r="C46" s="745">
        <v>2861</v>
      </c>
      <c r="D46" s="631"/>
      <c r="E46" s="630"/>
      <c r="F46" s="630"/>
      <c r="G46" s="630" t="s">
        <v>883</v>
      </c>
      <c r="H46" s="630" t="s">
        <v>884</v>
      </c>
      <c r="I46" s="630"/>
      <c r="J46" s="744"/>
      <c r="K46" s="744"/>
      <c r="L46" s="630" t="s">
        <v>887</v>
      </c>
      <c r="M46" s="630">
        <v>528</v>
      </c>
      <c r="N46" s="630">
        <v>2376</v>
      </c>
      <c r="O46" s="630">
        <v>2673</v>
      </c>
      <c r="P46" s="630">
        <v>0</v>
      </c>
      <c r="Q46" s="630">
        <v>0</v>
      </c>
      <c r="R46" s="630">
        <v>0</v>
      </c>
      <c r="S46" s="630">
        <v>1485</v>
      </c>
      <c r="T46" s="630">
        <v>4455</v>
      </c>
      <c r="U46" s="630">
        <v>0</v>
      </c>
      <c r="V46" s="630">
        <v>0</v>
      </c>
      <c r="W46" s="630">
        <v>0</v>
      </c>
      <c r="X46" s="630"/>
      <c r="Y46" s="630">
        <v>10</v>
      </c>
      <c r="Z46" s="630" t="s">
        <v>105</v>
      </c>
      <c r="AA46" s="632" t="s">
        <v>105</v>
      </c>
    </row>
    <row r="47" spans="1:27" s="584" customFormat="1" ht="25.5" hidden="1">
      <c r="A47" s="583"/>
      <c r="B47" s="745">
        <v>12035</v>
      </c>
      <c r="C47" s="745">
        <v>2861</v>
      </c>
      <c r="D47" s="631"/>
      <c r="E47" s="630"/>
      <c r="F47" s="630"/>
      <c r="G47" s="630" t="s">
        <v>883</v>
      </c>
      <c r="H47" s="630" t="s">
        <v>886</v>
      </c>
      <c r="I47" s="630"/>
      <c r="J47" s="744"/>
      <c r="K47" s="744"/>
      <c r="L47" s="630" t="s">
        <v>885</v>
      </c>
      <c r="M47" s="630">
        <v>2040</v>
      </c>
      <c r="N47" s="630">
        <v>9180</v>
      </c>
      <c r="O47" s="630">
        <v>13114.285714285714</v>
      </c>
      <c r="P47" s="630">
        <v>26228.571428571431</v>
      </c>
      <c r="Q47" s="630">
        <v>0</v>
      </c>
      <c r="R47" s="630">
        <v>0</v>
      </c>
      <c r="S47" s="630">
        <v>0</v>
      </c>
      <c r="T47" s="630">
        <v>0</v>
      </c>
      <c r="U47" s="630">
        <v>0</v>
      </c>
      <c r="V47" s="630">
        <v>0</v>
      </c>
      <c r="W47" s="630">
        <v>0</v>
      </c>
      <c r="X47" s="630"/>
      <c r="Y47" s="630">
        <v>10</v>
      </c>
      <c r="Z47" s="630" t="s">
        <v>105</v>
      </c>
      <c r="AA47" s="632" t="s">
        <v>105</v>
      </c>
    </row>
    <row r="48" spans="1:27" s="584" customFormat="1" ht="25.5" hidden="1">
      <c r="A48" s="583"/>
      <c r="B48" s="745">
        <v>12035</v>
      </c>
      <c r="C48" s="745">
        <v>2860</v>
      </c>
      <c r="D48" s="631"/>
      <c r="E48" s="630"/>
      <c r="F48" s="630"/>
      <c r="G48" s="630" t="s">
        <v>883</v>
      </c>
      <c r="H48" s="630" t="s">
        <v>886</v>
      </c>
      <c r="I48" s="630"/>
      <c r="J48" s="744"/>
      <c r="K48" s="744"/>
      <c r="L48" s="630" t="s">
        <v>885</v>
      </c>
      <c r="M48" s="630">
        <v>2014</v>
      </c>
      <c r="N48" s="630">
        <v>9062.9999999999982</v>
      </c>
      <c r="O48" s="630">
        <v>12947.142857142855</v>
      </c>
      <c r="P48" s="630">
        <v>25894.28571428571</v>
      </c>
      <c r="Q48" s="630">
        <v>0</v>
      </c>
      <c r="R48" s="630">
        <v>0</v>
      </c>
      <c r="S48" s="630">
        <v>0</v>
      </c>
      <c r="T48" s="630">
        <v>0</v>
      </c>
      <c r="U48" s="630">
        <v>0</v>
      </c>
      <c r="V48" s="630">
        <v>0</v>
      </c>
      <c r="W48" s="630">
        <v>0</v>
      </c>
      <c r="X48" s="630"/>
      <c r="Y48" s="630">
        <v>10</v>
      </c>
      <c r="Z48" s="630" t="s">
        <v>105</v>
      </c>
      <c r="AA48" s="632" t="s">
        <v>105</v>
      </c>
    </row>
    <row r="49" spans="1:27" s="584" customFormat="1" ht="25.5" hidden="1">
      <c r="A49" s="583"/>
      <c r="B49" s="745">
        <v>12035</v>
      </c>
      <c r="C49" s="745">
        <v>2860</v>
      </c>
      <c r="D49" s="631"/>
      <c r="E49" s="630"/>
      <c r="F49" s="630"/>
      <c r="G49" s="630" t="s">
        <v>883</v>
      </c>
      <c r="H49" s="630" t="s">
        <v>886</v>
      </c>
      <c r="I49" s="630"/>
      <c r="J49" s="744"/>
      <c r="K49" s="744"/>
      <c r="L49" s="630" t="s">
        <v>885</v>
      </c>
      <c r="M49" s="630">
        <v>265</v>
      </c>
      <c r="N49" s="630">
        <v>1192.5</v>
      </c>
      <c r="O49" s="630">
        <v>1703.5714285714287</v>
      </c>
      <c r="P49" s="630">
        <v>3407.1428571428573</v>
      </c>
      <c r="Q49" s="630">
        <v>0</v>
      </c>
      <c r="R49" s="630">
        <v>0</v>
      </c>
      <c r="S49" s="630">
        <v>0</v>
      </c>
      <c r="T49" s="630">
        <v>0</v>
      </c>
      <c r="U49" s="630">
        <v>0</v>
      </c>
      <c r="V49" s="630">
        <v>0</v>
      </c>
      <c r="W49" s="630">
        <v>0</v>
      </c>
      <c r="X49" s="630"/>
      <c r="Y49" s="630">
        <v>10</v>
      </c>
      <c r="Z49" s="630" t="s">
        <v>105</v>
      </c>
      <c r="AA49" s="632" t="s">
        <v>105</v>
      </c>
    </row>
    <row r="50" spans="1:27" s="584" customFormat="1" ht="25.5" hidden="1">
      <c r="A50" s="583"/>
      <c r="B50" s="745">
        <v>12035</v>
      </c>
      <c r="C50" s="745">
        <v>2860</v>
      </c>
      <c r="D50" s="631"/>
      <c r="E50" s="630"/>
      <c r="F50" s="630"/>
      <c r="G50" s="630" t="s">
        <v>883</v>
      </c>
      <c r="H50" s="630" t="s">
        <v>886</v>
      </c>
      <c r="I50" s="630"/>
      <c r="J50" s="744"/>
      <c r="K50" s="744"/>
      <c r="L50" s="630" t="s">
        <v>885</v>
      </c>
      <c r="M50" s="630">
        <v>1160</v>
      </c>
      <c r="N50" s="630">
        <v>5220</v>
      </c>
      <c r="O50" s="630">
        <v>7457.1428571428569</v>
      </c>
      <c r="P50" s="630">
        <v>14914.285714285716</v>
      </c>
      <c r="Q50" s="630">
        <v>0</v>
      </c>
      <c r="R50" s="630">
        <v>0</v>
      </c>
      <c r="S50" s="630">
        <v>0</v>
      </c>
      <c r="T50" s="630">
        <v>0</v>
      </c>
      <c r="U50" s="630">
        <v>0</v>
      </c>
      <c r="V50" s="630">
        <v>0</v>
      </c>
      <c r="W50" s="630">
        <v>0</v>
      </c>
      <c r="X50" s="630"/>
      <c r="Y50" s="630">
        <v>10</v>
      </c>
      <c r="Z50" s="630" t="s">
        <v>105</v>
      </c>
      <c r="AA50" s="632" t="s">
        <v>105</v>
      </c>
    </row>
    <row r="51" spans="1:27" s="584" customFormat="1" ht="25.5" hidden="1">
      <c r="A51" s="583"/>
      <c r="B51" s="745">
        <v>12035</v>
      </c>
      <c r="C51" s="745">
        <v>2861</v>
      </c>
      <c r="D51" s="631"/>
      <c r="E51" s="630"/>
      <c r="F51" s="630"/>
      <c r="G51" s="630" t="s">
        <v>883</v>
      </c>
      <c r="H51" s="630" t="s">
        <v>886</v>
      </c>
      <c r="I51" s="630"/>
      <c r="J51" s="744"/>
      <c r="K51" s="744"/>
      <c r="L51" s="630" t="s">
        <v>885</v>
      </c>
      <c r="M51" s="630">
        <v>9</v>
      </c>
      <c r="N51" s="630">
        <v>40.5</v>
      </c>
      <c r="O51" s="630">
        <v>57.857142857142861</v>
      </c>
      <c r="P51" s="630">
        <v>0</v>
      </c>
      <c r="Q51" s="630">
        <v>0</v>
      </c>
      <c r="R51" s="630">
        <v>0</v>
      </c>
      <c r="S51" s="630">
        <v>0</v>
      </c>
      <c r="T51" s="630">
        <v>0</v>
      </c>
      <c r="U51" s="630">
        <v>0</v>
      </c>
      <c r="V51" s="630">
        <v>115.71428571428572</v>
      </c>
      <c r="W51" s="630">
        <v>0</v>
      </c>
      <c r="X51" s="630"/>
      <c r="Y51" s="630">
        <v>10</v>
      </c>
      <c r="Z51" s="630" t="s">
        <v>105</v>
      </c>
      <c r="AA51" s="632" t="s">
        <v>105</v>
      </c>
    </row>
    <row r="52" spans="1:27" s="584" customFormat="1" ht="25.5" hidden="1">
      <c r="A52" s="583"/>
      <c r="B52" s="745">
        <v>12035</v>
      </c>
      <c r="C52" s="745">
        <v>2861</v>
      </c>
      <c r="D52" s="631"/>
      <c r="E52" s="630"/>
      <c r="F52" s="630"/>
      <c r="G52" s="630" t="s">
        <v>883</v>
      </c>
      <c r="H52" s="630" t="s">
        <v>886</v>
      </c>
      <c r="I52" s="630"/>
      <c r="J52" s="744"/>
      <c r="K52" s="744"/>
      <c r="L52" s="630" t="s">
        <v>885</v>
      </c>
      <c r="M52" s="630">
        <v>1200</v>
      </c>
      <c r="N52" s="630">
        <v>5400</v>
      </c>
      <c r="O52" s="630">
        <v>7714.2857142857147</v>
      </c>
      <c r="P52" s="630">
        <v>15428.571428571429</v>
      </c>
      <c r="Q52" s="630">
        <v>0</v>
      </c>
      <c r="R52" s="630">
        <v>0</v>
      </c>
      <c r="S52" s="630">
        <v>0</v>
      </c>
      <c r="T52" s="630">
        <v>0</v>
      </c>
      <c r="U52" s="630">
        <v>0</v>
      </c>
      <c r="V52" s="630">
        <v>0</v>
      </c>
      <c r="W52" s="630">
        <v>0</v>
      </c>
      <c r="X52" s="630"/>
      <c r="Y52" s="630">
        <v>1300</v>
      </c>
      <c r="Z52" s="630" t="s">
        <v>53</v>
      </c>
      <c r="AA52" s="632" t="s">
        <v>149</v>
      </c>
    </row>
    <row r="53" spans="1:27" s="584" customFormat="1" ht="25.5" hidden="1">
      <c r="A53" s="583"/>
      <c r="B53" s="745">
        <v>12035</v>
      </c>
      <c r="C53" s="745">
        <v>2861</v>
      </c>
      <c r="D53" s="631"/>
      <c r="E53" s="630"/>
      <c r="F53" s="630"/>
      <c r="G53" s="630" t="s">
        <v>883</v>
      </c>
      <c r="H53" s="630" t="s">
        <v>886</v>
      </c>
      <c r="I53" s="630"/>
      <c r="J53" s="744"/>
      <c r="K53" s="744"/>
      <c r="L53" s="630" t="s">
        <v>885</v>
      </c>
      <c r="M53" s="630">
        <v>800</v>
      </c>
      <c r="N53" s="630">
        <v>3600</v>
      </c>
      <c r="O53" s="630">
        <v>5142.8571428571431</v>
      </c>
      <c r="P53" s="630">
        <v>10285.714285714286</v>
      </c>
      <c r="Q53" s="630">
        <v>0</v>
      </c>
      <c r="R53" s="630">
        <v>0</v>
      </c>
      <c r="S53" s="630">
        <v>0</v>
      </c>
      <c r="T53" s="630">
        <v>0</v>
      </c>
      <c r="U53" s="630">
        <v>0</v>
      </c>
      <c r="V53" s="630">
        <v>0</v>
      </c>
      <c r="W53" s="630">
        <v>0</v>
      </c>
      <c r="X53" s="630"/>
      <c r="Y53" s="630">
        <v>10</v>
      </c>
      <c r="Z53" s="630" t="s">
        <v>105</v>
      </c>
      <c r="AA53" s="632" t="s">
        <v>105</v>
      </c>
    </row>
    <row r="54" spans="1:27" s="584" customFormat="1" ht="25.5" hidden="1">
      <c r="A54" s="583"/>
      <c r="B54" s="745">
        <v>12035</v>
      </c>
      <c r="C54" s="745">
        <v>2860</v>
      </c>
      <c r="D54" s="631"/>
      <c r="E54" s="630"/>
      <c r="F54" s="630"/>
      <c r="G54" s="630" t="s">
        <v>883</v>
      </c>
      <c r="H54" s="630" t="s">
        <v>886</v>
      </c>
      <c r="I54" s="630"/>
      <c r="J54" s="744"/>
      <c r="K54" s="744"/>
      <c r="L54" s="630" t="s">
        <v>885</v>
      </c>
      <c r="M54" s="630">
        <v>4000</v>
      </c>
      <c r="N54" s="630">
        <v>18000</v>
      </c>
      <c r="O54" s="630">
        <v>25714.285714285714</v>
      </c>
      <c r="P54" s="630">
        <v>51428.571428571435</v>
      </c>
      <c r="Q54" s="630">
        <v>0</v>
      </c>
      <c r="R54" s="630">
        <v>0</v>
      </c>
      <c r="S54" s="630">
        <v>0</v>
      </c>
      <c r="T54" s="630">
        <v>0</v>
      </c>
      <c r="U54" s="630">
        <v>0</v>
      </c>
      <c r="V54" s="630">
        <v>0</v>
      </c>
      <c r="W54" s="630">
        <v>0</v>
      </c>
      <c r="X54" s="630"/>
      <c r="Y54" s="630">
        <v>10</v>
      </c>
      <c r="Z54" s="630" t="s">
        <v>105</v>
      </c>
      <c r="AA54" s="632" t="s">
        <v>105</v>
      </c>
    </row>
    <row r="55" spans="1:27" s="584" customFormat="1" ht="51" hidden="1">
      <c r="A55" s="583"/>
      <c r="B55" s="745">
        <v>12035</v>
      </c>
      <c r="C55" s="745">
        <v>2860</v>
      </c>
      <c r="D55" s="631"/>
      <c r="E55" s="630"/>
      <c r="F55" s="630"/>
      <c r="G55" s="630" t="s">
        <v>883</v>
      </c>
      <c r="H55" s="630" t="s">
        <v>886</v>
      </c>
      <c r="I55" s="630"/>
      <c r="J55" s="744"/>
      <c r="K55" s="744"/>
      <c r="L55" s="630" t="s">
        <v>885</v>
      </c>
      <c r="M55" s="630">
        <v>70</v>
      </c>
      <c r="N55" s="630">
        <v>315.00000000000006</v>
      </c>
      <c r="O55" s="630">
        <v>450.00000000000011</v>
      </c>
      <c r="P55" s="630">
        <v>900.00000000000023</v>
      </c>
      <c r="Q55" s="630">
        <v>0</v>
      </c>
      <c r="R55" s="630">
        <v>0</v>
      </c>
      <c r="S55" s="630">
        <v>0</v>
      </c>
      <c r="T55" s="630">
        <v>0</v>
      </c>
      <c r="U55" s="630">
        <v>0</v>
      </c>
      <c r="V55" s="630">
        <v>0</v>
      </c>
      <c r="W55" s="630">
        <v>0</v>
      </c>
      <c r="X55" s="630"/>
      <c r="Y55" s="630">
        <v>1500</v>
      </c>
      <c r="Z55" s="630" t="s">
        <v>50</v>
      </c>
      <c r="AA55" s="632" t="s">
        <v>149</v>
      </c>
    </row>
    <row r="56" spans="1:27" s="584" customFormat="1" ht="25.5" hidden="1">
      <c r="A56" s="583"/>
      <c r="B56" s="745">
        <v>12035</v>
      </c>
      <c r="C56" s="745">
        <v>2860</v>
      </c>
      <c r="D56" s="631"/>
      <c r="E56" s="630"/>
      <c r="F56" s="630"/>
      <c r="G56" s="630" t="s">
        <v>888</v>
      </c>
      <c r="H56" s="630" t="s">
        <v>886</v>
      </c>
      <c r="I56" s="630"/>
      <c r="J56" s="744"/>
      <c r="K56" s="744"/>
      <c r="L56" s="630" t="s">
        <v>889</v>
      </c>
      <c r="M56" s="630">
        <v>1500</v>
      </c>
      <c r="N56" s="630">
        <v>5062.5</v>
      </c>
      <c r="O56" s="630">
        <v>7232.1428571428569</v>
      </c>
      <c r="P56" s="630">
        <v>14464.285714285716</v>
      </c>
      <c r="Q56" s="630">
        <v>0</v>
      </c>
      <c r="R56" s="630">
        <v>0</v>
      </c>
      <c r="S56" s="630">
        <v>0</v>
      </c>
      <c r="T56" s="630">
        <v>0</v>
      </c>
      <c r="U56" s="630">
        <v>0</v>
      </c>
      <c r="V56" s="630">
        <v>0</v>
      </c>
      <c r="W56" s="630">
        <v>0</v>
      </c>
      <c r="X56" s="630"/>
      <c r="Y56" s="630">
        <v>10</v>
      </c>
      <c r="Z56" s="630" t="s">
        <v>105</v>
      </c>
      <c r="AA56" s="632" t="s">
        <v>105</v>
      </c>
    </row>
    <row r="57" spans="1:27" s="564" customFormat="1" hidden="1">
      <c r="A57" s="586" t="s">
        <v>268</v>
      </c>
      <c r="B57" s="587"/>
      <c r="C57" s="587"/>
      <c r="D57" s="587"/>
      <c r="E57" s="587"/>
      <c r="F57" s="587"/>
      <c r="G57" s="587"/>
      <c r="H57" s="587"/>
      <c r="I57" s="587"/>
      <c r="J57" s="587"/>
      <c r="K57" s="587"/>
      <c r="L57" s="588"/>
      <c r="M57" s="588">
        <f>SUM(M28:M56)</f>
        <v>40817</v>
      </c>
      <c r="N57" s="588">
        <f>SUM(N28:N56)</f>
        <v>181989</v>
      </c>
      <c r="O57" s="588">
        <f>SUM(O28:O56)</f>
        <v>254345.14285714278</v>
      </c>
      <c r="P57" s="588">
        <f>SUM(P28:P56)</f>
        <v>466778.57142857142</v>
      </c>
      <c r="Q57" s="588">
        <f>SUM(Q28:Q56)</f>
        <v>0</v>
      </c>
      <c r="R57" s="588">
        <f>SUM(R28:R56)</f>
        <v>0</v>
      </c>
      <c r="S57" s="588">
        <f>SUM(S28:S56)</f>
        <v>11610</v>
      </c>
      <c r="T57" s="588">
        <f>SUM(T28:T56)</f>
        <v>34830</v>
      </c>
      <c r="U57" s="588">
        <f>SUM(U28:U56)</f>
        <v>0</v>
      </c>
      <c r="V57" s="588">
        <f>SUM(V28:V56)</f>
        <v>115.71428571428572</v>
      </c>
      <c r="W57" s="588">
        <f>SUM(W28:W56)</f>
        <v>0</v>
      </c>
      <c r="X57" s="588"/>
      <c r="Y57" s="589"/>
      <c r="Z57" s="589"/>
      <c r="AA57" s="590"/>
    </row>
    <row r="58" spans="1:27" s="564" customFormat="1">
      <c r="A58" s="586" t="s">
        <v>275</v>
      </c>
      <c r="B58" s="587"/>
      <c r="C58" s="587"/>
      <c r="D58" s="587"/>
      <c r="E58" s="587"/>
      <c r="F58" s="587"/>
      <c r="G58" s="587"/>
      <c r="H58" s="587"/>
      <c r="I58" s="587"/>
      <c r="J58" s="587"/>
      <c r="K58" s="587"/>
      <c r="L58" s="588"/>
      <c r="M58" s="588">
        <f>SUMIF($AA$28:$AA$56,"industrie",M28:M56)</f>
        <v>0</v>
      </c>
      <c r="N58" s="588">
        <f>SUMIF($AA$28:$AA$56,"industrie",N28:N56)</f>
        <v>0</v>
      </c>
      <c r="O58" s="588">
        <f>SUMIF($AA$28:$AA$56,"industrie",O28:O56)</f>
        <v>0</v>
      </c>
      <c r="P58" s="588">
        <f>SUMIF($AA$28:$AA$56,"industrie",P28:P56)</f>
        <v>0</v>
      </c>
      <c r="Q58" s="588">
        <f>SUMIF($AA$28:$AA$56,"industrie",Q28:Q56)</f>
        <v>0</v>
      </c>
      <c r="R58" s="588">
        <f>SUMIF($AA$28:$AA$56,"industrie",R28:R56)</f>
        <v>0</v>
      </c>
      <c r="S58" s="588">
        <f>SUMIF($AA$28:$AA$56,"industrie",S28:S56)</f>
        <v>0</v>
      </c>
      <c r="T58" s="588">
        <f>SUMIF($AA$28:$AA$56,"industrie",T28:T56)</f>
        <v>0</v>
      </c>
      <c r="U58" s="588">
        <f>SUMIF($AA$28:$AA$56,"industrie",U28:U56)</f>
        <v>0</v>
      </c>
      <c r="V58" s="588">
        <f>SUMIF($AA$28:$AA$56,"industrie",V28:V56)</f>
        <v>0</v>
      </c>
      <c r="W58" s="588">
        <f>SUMIF($AA$28:$AA$56,"industrie",W28:W56)</f>
        <v>0</v>
      </c>
      <c r="X58" s="588"/>
      <c r="Y58" s="589"/>
      <c r="Z58" s="589"/>
      <c r="AA58" s="590"/>
    </row>
    <row r="59" spans="1:27" s="564" customFormat="1">
      <c r="A59" s="586" t="s">
        <v>276</v>
      </c>
      <c r="B59" s="587"/>
      <c r="C59" s="587"/>
      <c r="D59" s="587"/>
      <c r="E59" s="587"/>
      <c r="F59" s="587"/>
      <c r="G59" s="587"/>
      <c r="H59" s="587"/>
      <c r="I59" s="587"/>
      <c r="J59" s="587"/>
      <c r="K59" s="587"/>
      <c r="L59" s="588"/>
      <c r="M59" s="588">
        <f ca="1">SUMIF($AA$28:AD56,"tertiair",M28:M56)</f>
        <v>1270</v>
      </c>
      <c r="N59" s="588">
        <f ca="1">SUMIF($AA$28:AE56,"tertiair",N28:N56)</f>
        <v>5715</v>
      </c>
      <c r="O59" s="588">
        <f ca="1">SUMIF($AA$28:AF56,"tertiair",O28:O56)</f>
        <v>8164.2857142857147</v>
      </c>
      <c r="P59" s="588">
        <f ca="1">SUMIF($AA$28:AG56,"tertiair",P28:P56)</f>
        <v>16328.571428571429</v>
      </c>
      <c r="Q59" s="588">
        <f ca="1">SUMIF($AA$28:AH56,"tertiair",Q28:Q56)</f>
        <v>0</v>
      </c>
      <c r="R59" s="588">
        <f ca="1">SUMIF($AA$28:AI56,"tertiair",R28:R56)</f>
        <v>0</v>
      </c>
      <c r="S59" s="588">
        <f ca="1">SUMIF($AA$28:AJ56,"tertiair",S28:S56)</f>
        <v>0</v>
      </c>
      <c r="T59" s="588">
        <f ca="1">SUMIF($AA$28:AK56,"tertiair",T28:T56)</f>
        <v>0</v>
      </c>
      <c r="U59" s="588">
        <f ca="1">SUMIF($AA$28:AL56,"tertiair",U28:U56)</f>
        <v>0</v>
      </c>
      <c r="V59" s="588">
        <f ca="1">SUMIF($AA$28:AM56,"tertiair",V28:V56)</f>
        <v>0</v>
      </c>
      <c r="W59" s="588">
        <f ca="1">SUMIF($AA$28:AN56,"tertiair",W28:W56)</f>
        <v>0</v>
      </c>
      <c r="X59" s="588"/>
      <c r="Y59" s="589"/>
      <c r="Z59" s="589"/>
      <c r="AA59" s="590"/>
    </row>
    <row r="60" spans="1:27" s="564" customFormat="1" ht="15.75" thickBot="1">
      <c r="A60" s="591" t="s">
        <v>277</v>
      </c>
      <c r="B60" s="592"/>
      <c r="C60" s="592"/>
      <c r="D60" s="592"/>
      <c r="E60" s="592"/>
      <c r="F60" s="592"/>
      <c r="G60" s="592"/>
      <c r="H60" s="592"/>
      <c r="I60" s="592"/>
      <c r="J60" s="592"/>
      <c r="K60" s="592"/>
      <c r="L60" s="593"/>
      <c r="M60" s="593">
        <f>SUMIF($AA$28:$AA$56,"landbouw",M28:M56)</f>
        <v>39547</v>
      </c>
      <c r="N60" s="593">
        <f>SUMIF($AA$28:$AA$56,"landbouw",N28:N56)</f>
        <v>176274</v>
      </c>
      <c r="O60" s="593">
        <f>SUMIF($AA$28:$AA$56,"landbouw",O28:O56)</f>
        <v>246180.85714285707</v>
      </c>
      <c r="P60" s="593">
        <f>SUMIF($AA$28:$AA$56,"landbouw",P28:P56)</f>
        <v>450450</v>
      </c>
      <c r="Q60" s="593">
        <f>SUMIF($AA$28:$AA$56,"landbouw",Q28:Q56)</f>
        <v>0</v>
      </c>
      <c r="R60" s="593">
        <f>SUMIF($AA$28:$AA$56,"landbouw",R28:R56)</f>
        <v>0</v>
      </c>
      <c r="S60" s="593">
        <f>SUMIF($AA$28:$AA$56,"landbouw",S28:S56)</f>
        <v>11610</v>
      </c>
      <c r="T60" s="593">
        <f>SUMIF($AA$28:$AA$56,"landbouw",T28:T56)</f>
        <v>34830</v>
      </c>
      <c r="U60" s="593">
        <f>SUMIF($AA$28:$AA$56,"landbouw",U28:U56)</f>
        <v>0</v>
      </c>
      <c r="V60" s="593">
        <f>SUMIF($AA$28:$AA$56,"landbouw",V28:V56)</f>
        <v>115.71428571428572</v>
      </c>
      <c r="W60" s="593">
        <f>SUMIF($AA$28:$AA$56,"landbouw",W28:W56)</f>
        <v>0</v>
      </c>
      <c r="X60" s="593"/>
      <c r="Y60" s="594"/>
      <c r="Z60" s="594"/>
      <c r="AA60" s="595"/>
    </row>
    <row r="61" spans="1:27" s="525" customFormat="1" ht="15.75" thickBot="1">
      <c r="A61" s="596"/>
      <c r="B61" s="597"/>
      <c r="C61" s="597"/>
      <c r="D61" s="597"/>
      <c r="E61" s="597"/>
      <c r="F61" s="597"/>
      <c r="G61" s="597"/>
      <c r="H61" s="597"/>
      <c r="I61" s="597"/>
      <c r="J61" s="597"/>
      <c r="K61" s="597"/>
      <c r="L61" s="580"/>
      <c r="M61" s="580"/>
      <c r="N61" s="580"/>
      <c r="O61" s="581"/>
      <c r="P61" s="581"/>
    </row>
    <row r="62" spans="1:27" s="525" customFormat="1" ht="45">
      <c r="A62" s="598" t="s">
        <v>269</v>
      </c>
      <c r="B62" s="627" t="s">
        <v>89</v>
      </c>
      <c r="C62" s="627" t="s">
        <v>90</v>
      </c>
      <c r="D62" s="627"/>
      <c r="E62" s="627"/>
      <c r="F62" s="627"/>
      <c r="G62" s="627" t="s">
        <v>91</v>
      </c>
      <c r="H62" s="627" t="s">
        <v>92</v>
      </c>
      <c r="I62" s="627"/>
      <c r="J62" s="627"/>
      <c r="K62" s="627"/>
      <c r="L62" s="627" t="s">
        <v>93</v>
      </c>
      <c r="M62" s="628" t="s">
        <v>286</v>
      </c>
      <c r="N62" s="628" t="s">
        <v>94</v>
      </c>
      <c r="O62" s="628" t="s">
        <v>95</v>
      </c>
      <c r="P62" s="628" t="s">
        <v>509</v>
      </c>
      <c r="Q62" s="628" t="s">
        <v>96</v>
      </c>
      <c r="R62" s="628" t="s">
        <v>97</v>
      </c>
      <c r="S62" s="628" t="s">
        <v>98</v>
      </c>
      <c r="T62" s="628" t="s">
        <v>99</v>
      </c>
      <c r="U62" s="628" t="s">
        <v>100</v>
      </c>
      <c r="V62" s="628" t="s">
        <v>101</v>
      </c>
      <c r="W62" s="627" t="s">
        <v>102</v>
      </c>
      <c r="X62" s="627" t="s">
        <v>882</v>
      </c>
      <c r="Y62" s="627" t="s">
        <v>287</v>
      </c>
      <c r="Z62" s="627" t="s">
        <v>103</v>
      </c>
      <c r="AA62" s="629" t="s">
        <v>288</v>
      </c>
    </row>
    <row r="63" spans="1:27" s="599" customFormat="1" ht="12.75" hidden="1">
      <c r="A63" s="585"/>
      <c r="B63" s="745"/>
      <c r="C63" s="745"/>
      <c r="D63" s="633"/>
      <c r="E63" s="633"/>
      <c r="F63" s="633"/>
      <c r="G63" s="633"/>
      <c r="H63" s="633"/>
      <c r="I63" s="633"/>
      <c r="J63" s="744"/>
      <c r="K63" s="744"/>
      <c r="L63" s="633"/>
      <c r="M63" s="633"/>
      <c r="N63" s="633"/>
      <c r="O63" s="633"/>
      <c r="P63" s="633"/>
      <c r="Q63" s="633"/>
      <c r="R63" s="633"/>
      <c r="S63" s="633"/>
      <c r="T63" s="633"/>
      <c r="U63" s="633"/>
      <c r="V63" s="633"/>
      <c r="W63" s="633"/>
      <c r="X63" s="633"/>
      <c r="Y63" s="633"/>
      <c r="Z63" s="633"/>
      <c r="AA63" s="634"/>
    </row>
    <row r="64" spans="1:27" s="564" customFormat="1" hidden="1">
      <c r="A64" s="586" t="s">
        <v>268</v>
      </c>
      <c r="B64" s="587"/>
      <c r="C64" s="587"/>
      <c r="D64" s="587"/>
      <c r="E64" s="587"/>
      <c r="F64" s="587"/>
      <c r="G64" s="587"/>
      <c r="H64" s="587"/>
      <c r="I64" s="587"/>
      <c r="J64" s="587"/>
      <c r="K64" s="587"/>
      <c r="L64" s="588"/>
      <c r="M64" s="588">
        <f>SUM(M63:M63)</f>
        <v>0</v>
      </c>
      <c r="N64" s="588">
        <f>SUM(N63:N63)</f>
        <v>0</v>
      </c>
      <c r="O64" s="588">
        <f>SUM(O63:O63)</f>
        <v>0</v>
      </c>
      <c r="P64" s="588">
        <f>SUM(P63:P63)</f>
        <v>0</v>
      </c>
      <c r="Q64" s="588">
        <f>SUM(Q63:Q63)</f>
        <v>0</v>
      </c>
      <c r="R64" s="588">
        <f>SUM(R63:R63)</f>
        <v>0</v>
      </c>
      <c r="S64" s="588">
        <f>SUM(S63:S63)</f>
        <v>0</v>
      </c>
      <c r="T64" s="588">
        <f>SUM(T63:T63)</f>
        <v>0</v>
      </c>
      <c r="U64" s="588">
        <f>SUM(U63:U63)</f>
        <v>0</v>
      </c>
      <c r="V64" s="588">
        <f>SUM(V63:V63)</f>
        <v>0</v>
      </c>
      <c r="W64" s="588">
        <f>SUM(W63:W63)</f>
        <v>0</v>
      </c>
      <c r="X64" s="588"/>
      <c r="Y64" s="589"/>
      <c r="Z64" s="589"/>
      <c r="AA64" s="590"/>
    </row>
    <row r="65" spans="1:28" s="564" customFormat="1">
      <c r="A65" s="586" t="s">
        <v>275</v>
      </c>
      <c r="B65" s="587"/>
      <c r="C65" s="587"/>
      <c r="D65" s="587"/>
      <c r="E65" s="587"/>
      <c r="F65" s="587"/>
      <c r="G65" s="587"/>
      <c r="H65" s="587"/>
      <c r="I65" s="587"/>
      <c r="J65" s="587"/>
      <c r="K65" s="587"/>
      <c r="L65" s="588"/>
      <c r="M65" s="588">
        <f>SUMIF($AA$63:$AA$63,"industrie",M63:M63)</f>
        <v>0</v>
      </c>
      <c r="N65" s="588">
        <f>SUMIF($AA$63:$AA$63,"industrie",N63:N63)</f>
        <v>0</v>
      </c>
      <c r="O65" s="588">
        <f>SUMIF($AA$63:$AA$63,"industrie",O63:O63)</f>
        <v>0</v>
      </c>
      <c r="P65" s="588">
        <f>SUMIF($AA$63:$AA$63,"industrie",P63:P63)</f>
        <v>0</v>
      </c>
      <c r="Q65" s="588">
        <f>SUMIF($AA$63:$AA$63,"industrie",Q63:Q63)</f>
        <v>0</v>
      </c>
      <c r="R65" s="588">
        <f>SUMIF($AA$63:$AA$63,"industrie",R63:R63)</f>
        <v>0</v>
      </c>
      <c r="S65" s="588">
        <f>SUMIF($AA$63:$AA$63,"industrie",S63:S63)</f>
        <v>0</v>
      </c>
      <c r="T65" s="588">
        <f>SUMIF($AA$63:$AA$63,"industrie",T63:T63)</f>
        <v>0</v>
      </c>
      <c r="U65" s="588">
        <f>SUMIF($AA$63:$AA$63,"industrie",U63:U63)</f>
        <v>0</v>
      </c>
      <c r="V65" s="588">
        <f>SUMIF($AA$63:$AA$63,"industrie",V63:V63)</f>
        <v>0</v>
      </c>
      <c r="W65" s="588">
        <f>SUMIF($AA$63:$AA$63,"industrie",W63:W63)</f>
        <v>0</v>
      </c>
      <c r="X65" s="588"/>
      <c r="Y65" s="589"/>
      <c r="Z65" s="589"/>
      <c r="AA65" s="590"/>
    </row>
    <row r="66" spans="1:28" s="564" customFormat="1">
      <c r="A66" s="586" t="s">
        <v>276</v>
      </c>
      <c r="B66" s="587"/>
      <c r="C66" s="587"/>
      <c r="D66" s="587"/>
      <c r="E66" s="587"/>
      <c r="F66" s="587"/>
      <c r="G66" s="587"/>
      <c r="H66" s="587"/>
      <c r="I66" s="587"/>
      <c r="J66" s="587"/>
      <c r="K66" s="587"/>
      <c r="L66" s="588"/>
      <c r="M66" s="588">
        <f>SUMIF($AA$63:$AA$64,"tertiair",M63:M64)</f>
        <v>0</v>
      </c>
      <c r="N66" s="588">
        <f>SUMIF($AA$63:$AA$64,"tertiair",N63:N64)</f>
        <v>0</v>
      </c>
      <c r="O66" s="588">
        <f>SUMIF($AA$63:$AA$64,"tertiair",O63:O64)</f>
        <v>0</v>
      </c>
      <c r="P66" s="588">
        <f>SUMIF($AA$63:$AA$64,"tertiair",P63:P64)</f>
        <v>0</v>
      </c>
      <c r="Q66" s="588">
        <f>SUMIF($AA$63:$AA$64,"tertiair",Q63:Q64)</f>
        <v>0</v>
      </c>
      <c r="R66" s="588">
        <f>SUMIF($AA$63:$AA$64,"tertiair",R63:R64)</f>
        <v>0</v>
      </c>
      <c r="S66" s="588">
        <f>SUMIF($AA$63:$AA$64,"tertiair",S63:S64)</f>
        <v>0</v>
      </c>
      <c r="T66" s="588">
        <f>SUMIF($AA$63:$AA$64,"tertiair",T63:T64)</f>
        <v>0</v>
      </c>
      <c r="U66" s="588">
        <f>SUMIF($AA$63:$AA$64,"tertiair",U63:U64)</f>
        <v>0</v>
      </c>
      <c r="V66" s="588">
        <f>SUMIF($AA$63:$AA$64,"tertiair",V63:V64)</f>
        <v>0</v>
      </c>
      <c r="W66" s="588">
        <f>SUMIF($AA$63:$AA$64,"tertiair",W63:W64)</f>
        <v>0</v>
      </c>
      <c r="X66" s="588"/>
      <c r="Y66" s="589"/>
      <c r="Z66" s="589"/>
      <c r="AA66" s="590"/>
    </row>
    <row r="67" spans="1:28" s="564" customFormat="1" ht="15.75" thickBot="1">
      <c r="A67" s="591" t="s">
        <v>277</v>
      </c>
      <c r="B67" s="592"/>
      <c r="C67" s="592"/>
      <c r="D67" s="592"/>
      <c r="E67" s="592"/>
      <c r="F67" s="592"/>
      <c r="G67" s="592"/>
      <c r="H67" s="592"/>
      <c r="I67" s="592"/>
      <c r="J67" s="592"/>
      <c r="K67" s="592"/>
      <c r="L67" s="593"/>
      <c r="M67" s="593">
        <f>SUMIF($AA$63:$AA$65,"landbouw",M63:M65)</f>
        <v>0</v>
      </c>
      <c r="N67" s="593">
        <f>SUMIF($AA$63:$AA$65,"landbouw",N63:N65)</f>
        <v>0</v>
      </c>
      <c r="O67" s="593">
        <f>SUMIF($AA$63:$AA$65,"landbouw",O63:O65)</f>
        <v>0</v>
      </c>
      <c r="P67" s="593">
        <f>SUMIF($AA$63:$AA$65,"landbouw",P63:P65)</f>
        <v>0</v>
      </c>
      <c r="Q67" s="593">
        <f>SUMIF($AA$63:$AA$65,"landbouw",Q63:Q65)</f>
        <v>0</v>
      </c>
      <c r="R67" s="593">
        <f>SUMIF($AA$63:$AA$65,"landbouw",R63:R65)</f>
        <v>0</v>
      </c>
      <c r="S67" s="593">
        <f>SUMIF($AA$63:$AA$65,"landbouw",S63:S65)</f>
        <v>0</v>
      </c>
      <c r="T67" s="593">
        <f>SUMIF($AA$63:$AA$65,"landbouw",T63:T65)</f>
        <v>0</v>
      </c>
      <c r="U67" s="593">
        <f>SUMIF($AA$63:$AA$65,"landbouw",U63:U65)</f>
        <v>0</v>
      </c>
      <c r="V67" s="593">
        <f>SUMIF($AA$63:$AA$65,"landbouw",V63:V65)</f>
        <v>0</v>
      </c>
      <c r="W67" s="593">
        <f>SUMIF($AA$63:$AA$65,"landbouw",W63:W65)</f>
        <v>0</v>
      </c>
      <c r="X67" s="593"/>
      <c r="Y67" s="594"/>
      <c r="Z67" s="594"/>
      <c r="AA67" s="595"/>
    </row>
    <row r="68" spans="1:28" s="600" customFormat="1">
      <c r="A68" s="596"/>
      <c r="B68" s="580"/>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row>
    <row r="69" spans="1:28" s="600" customFormat="1" ht="15.75" thickBot="1">
      <c r="A69" s="596"/>
      <c r="B69" s="580"/>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row>
    <row r="70" spans="1:28">
      <c r="A70" s="601" t="s">
        <v>270</v>
      </c>
      <c r="B70" s="602"/>
      <c r="C70" s="602"/>
      <c r="D70" s="602"/>
      <c r="E70" s="602"/>
      <c r="F70" s="602"/>
      <c r="G70" s="602"/>
      <c r="H70" s="602"/>
      <c r="I70" s="603"/>
      <c r="J70" s="604"/>
      <c r="K70" s="604"/>
      <c r="L70" s="605"/>
      <c r="M70" s="605"/>
      <c r="N70" s="605"/>
      <c r="O70" s="605"/>
      <c r="P70" s="605"/>
    </row>
    <row r="71" spans="1:28">
      <c r="A71" s="607"/>
      <c r="B71" s="597"/>
      <c r="C71" s="597"/>
      <c r="D71" s="597"/>
      <c r="E71" s="597"/>
      <c r="F71" s="597"/>
      <c r="G71" s="597"/>
      <c r="H71" s="597"/>
      <c r="I71" s="608"/>
      <c r="J71" s="597"/>
      <c r="K71" s="597"/>
      <c r="L71" s="605"/>
      <c r="M71" s="605"/>
      <c r="N71" s="605"/>
      <c r="O71" s="605"/>
      <c r="P71" s="605"/>
    </row>
    <row r="72" spans="1:28">
      <c r="A72" s="609"/>
      <c r="B72" s="610" t="s">
        <v>271</v>
      </c>
      <c r="C72" s="610" t="s">
        <v>272</v>
      </c>
      <c r="D72" s="610"/>
      <c r="E72" s="610"/>
      <c r="F72" s="610"/>
      <c r="G72" s="610"/>
      <c r="H72" s="610"/>
      <c r="I72" s="611"/>
      <c r="J72" s="610"/>
      <c r="K72" s="610"/>
      <c r="L72" s="610"/>
      <c r="M72" s="610"/>
      <c r="N72" s="610"/>
      <c r="O72" s="610"/>
      <c r="P72" s="605"/>
    </row>
    <row r="73" spans="1:28">
      <c r="A73" s="607" t="s">
        <v>268</v>
      </c>
      <c r="B73" s="612">
        <f>IF(ISERROR(O57/(O57+N57)),0,O57/(O57+N57))</f>
        <v>0.58291368443384961</v>
      </c>
      <c r="C73" s="613">
        <f>IF(ISERROR(N57/(O57+N57)),0,N57/(N57+O57))</f>
        <v>0.41708631556615039</v>
      </c>
      <c r="D73" s="580"/>
      <c r="E73" s="580"/>
      <c r="F73" s="580"/>
      <c r="G73" s="580"/>
      <c r="H73" s="580"/>
      <c r="I73" s="614"/>
      <c r="J73" s="580"/>
      <c r="K73" s="580"/>
      <c r="L73" s="615"/>
      <c r="M73" s="615"/>
      <c r="N73" s="615"/>
      <c r="O73" s="615"/>
      <c r="P73" s="605"/>
    </row>
    <row r="74" spans="1:28">
      <c r="A74" s="607"/>
      <c r="B74" s="616"/>
      <c r="C74" s="616"/>
      <c r="D74" s="616"/>
      <c r="E74" s="616"/>
      <c r="F74" s="616"/>
      <c r="G74" s="616"/>
      <c r="H74" s="616"/>
      <c r="I74" s="617"/>
      <c r="J74" s="616"/>
      <c r="K74" s="616"/>
      <c r="L74" s="618"/>
      <c r="M74" s="618"/>
      <c r="N74" s="618"/>
      <c r="O74" s="618"/>
      <c r="P74" s="605"/>
    </row>
    <row r="75" spans="1:28" ht="30">
      <c r="A75" s="619"/>
      <c r="B75" s="620" t="s">
        <v>509</v>
      </c>
      <c r="C75" s="620" t="s">
        <v>96</v>
      </c>
      <c r="D75" s="620" t="s">
        <v>97</v>
      </c>
      <c r="E75" s="620" t="s">
        <v>98</v>
      </c>
      <c r="F75" s="620" t="s">
        <v>99</v>
      </c>
      <c r="G75" s="620" t="s">
        <v>100</v>
      </c>
      <c r="H75" s="620" t="s">
        <v>101</v>
      </c>
      <c r="I75" s="621" t="s">
        <v>102</v>
      </c>
      <c r="J75" s="610"/>
      <c r="K75" s="610"/>
      <c r="L75" s="618"/>
      <c r="M75" s="618"/>
      <c r="N75" s="618"/>
      <c r="O75" s="605"/>
      <c r="P75" s="605"/>
    </row>
    <row r="76" spans="1:28">
      <c r="A76" s="609" t="s">
        <v>273</v>
      </c>
      <c r="B76" s="622">
        <f t="shared" ref="B76:I76" si="2">$C$73*P57</f>
        <v>194686.95454237401</v>
      </c>
      <c r="C76" s="622">
        <f t="shared" si="2"/>
        <v>0</v>
      </c>
      <c r="D76" s="622">
        <f t="shared" si="2"/>
        <v>0</v>
      </c>
      <c r="E76" s="622">
        <f t="shared" si="2"/>
        <v>4842.3721237230056</v>
      </c>
      <c r="F76" s="622">
        <f t="shared" si="2"/>
        <v>14527.116371169019</v>
      </c>
      <c r="G76" s="622">
        <f t="shared" si="2"/>
        <v>0</v>
      </c>
      <c r="H76" s="622">
        <f t="shared" si="2"/>
        <v>48.26284508694026</v>
      </c>
      <c r="I76" s="623">
        <f t="shared" si="2"/>
        <v>0</v>
      </c>
      <c r="J76" s="580"/>
      <c r="K76" s="580"/>
      <c r="L76" s="618"/>
      <c r="M76" s="618"/>
      <c r="N76" s="618"/>
      <c r="O76" s="605"/>
      <c r="P76" s="605"/>
    </row>
    <row r="77" spans="1:28" ht="15.75" thickBot="1">
      <c r="A77" s="624" t="s">
        <v>274</v>
      </c>
      <c r="B77" s="625">
        <f t="shared" ref="B77:I77" si="3">$B$73*P57</f>
        <v>272091.61688619741</v>
      </c>
      <c r="C77" s="625">
        <f t="shared" si="3"/>
        <v>0</v>
      </c>
      <c r="D77" s="625">
        <f t="shared" si="3"/>
        <v>0</v>
      </c>
      <c r="E77" s="625">
        <f t="shared" si="3"/>
        <v>6767.6278762769944</v>
      </c>
      <c r="F77" s="625">
        <f t="shared" si="3"/>
        <v>20302.883628830983</v>
      </c>
      <c r="G77" s="625">
        <f t="shared" si="3"/>
        <v>0</v>
      </c>
      <c r="H77" s="625">
        <f t="shared" si="3"/>
        <v>67.451440627345463</v>
      </c>
      <c r="I77" s="626">
        <f t="shared" si="3"/>
        <v>0</v>
      </c>
      <c r="J77" s="580"/>
      <c r="K77" s="580"/>
      <c r="L77" s="618"/>
      <c r="M77" s="618"/>
      <c r="N77" s="618"/>
      <c r="O77" s="605"/>
      <c r="P77" s="605"/>
    </row>
    <row r="78" spans="1:28">
      <c r="J78" s="560"/>
      <c r="K78" s="560"/>
      <c r="L78" s="560"/>
      <c r="M78" s="560"/>
      <c r="N78" s="560"/>
    </row>
    <row r="79" spans="1:28">
      <c r="J79" s="560"/>
      <c r="K79" s="560"/>
      <c r="L79" s="560"/>
      <c r="M79" s="560"/>
      <c r="N79"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64781.061972999996</v>
      </c>
      <c r="D10" s="641">
        <f ca="1">tertiair!C16</f>
        <v>8164.2857142857147</v>
      </c>
      <c r="E10" s="641">
        <f ca="1">tertiair!D16</f>
        <v>33893.888584692577</v>
      </c>
      <c r="F10" s="641">
        <f>tertiair!E16</f>
        <v>171.52152537610758</v>
      </c>
      <c r="G10" s="641">
        <f ca="1">tertiair!F16</f>
        <v>8133.1902923741582</v>
      </c>
      <c r="H10" s="641">
        <f>tertiair!G16</f>
        <v>0</v>
      </c>
      <c r="I10" s="641">
        <f>tertiair!H16</f>
        <v>0</v>
      </c>
      <c r="J10" s="641">
        <f>tertiair!I16</f>
        <v>0</v>
      </c>
      <c r="K10" s="641">
        <f>tertiair!J16</f>
        <v>3.874115764026495E-2</v>
      </c>
      <c r="L10" s="641">
        <f>tertiair!K16</f>
        <v>0</v>
      </c>
      <c r="M10" s="641">
        <f ca="1">tertiair!L16</f>
        <v>0</v>
      </c>
      <c r="N10" s="641">
        <f>tertiair!M16</f>
        <v>0</v>
      </c>
      <c r="O10" s="641">
        <f ca="1">tertiair!N16</f>
        <v>1496.3813051233046</v>
      </c>
      <c r="P10" s="641">
        <f>tertiair!O16</f>
        <v>19.589043063364617</v>
      </c>
      <c r="Q10" s="642">
        <f>tertiair!P16</f>
        <v>315.23482983897009</v>
      </c>
      <c r="R10" s="644">
        <f ca="1">SUM(C10:Q10)</f>
        <v>116975.19200891184</v>
      </c>
      <c r="S10" s="67"/>
    </row>
    <row r="11" spans="1:19" s="440" customFormat="1">
      <c r="A11" s="761" t="s">
        <v>213</v>
      </c>
      <c r="B11" s="766"/>
      <c r="C11" s="641">
        <f>huishoudens!B8</f>
        <v>34658.393098379674</v>
      </c>
      <c r="D11" s="641">
        <f>huishoudens!C8</f>
        <v>0</v>
      </c>
      <c r="E11" s="641">
        <f>huishoudens!D8</f>
        <v>80513.890011719996</v>
      </c>
      <c r="F11" s="641">
        <f>huishoudens!E8</f>
        <v>2009.0930447483397</v>
      </c>
      <c r="G11" s="641">
        <f>huishoudens!F8</f>
        <v>38663.585515260274</v>
      </c>
      <c r="H11" s="641">
        <f>huishoudens!G8</f>
        <v>0</v>
      </c>
      <c r="I11" s="641">
        <f>huishoudens!H8</f>
        <v>0</v>
      </c>
      <c r="J11" s="641">
        <f>huishoudens!I8</f>
        <v>0</v>
      </c>
      <c r="K11" s="641">
        <f>huishoudens!J8</f>
        <v>197.84568229752318</v>
      </c>
      <c r="L11" s="641">
        <f>huishoudens!K8</f>
        <v>0</v>
      </c>
      <c r="M11" s="641">
        <f>huishoudens!L8</f>
        <v>0</v>
      </c>
      <c r="N11" s="641">
        <f>huishoudens!M8</f>
        <v>0</v>
      </c>
      <c r="O11" s="641">
        <f>huishoudens!N8</f>
        <v>10574.437962609589</v>
      </c>
      <c r="P11" s="641">
        <f>huishoudens!O8</f>
        <v>501.94142950491909</v>
      </c>
      <c r="Q11" s="642">
        <f>huishoudens!P8</f>
        <v>1179.8034424607226</v>
      </c>
      <c r="R11" s="644">
        <f>SUM(C11:Q11)</f>
        <v>168298.99018698101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5924.6943969999993</v>
      </c>
      <c r="D13" s="641">
        <f>industrie!C18</f>
        <v>0</v>
      </c>
      <c r="E13" s="641">
        <f>industrie!D18</f>
        <v>8588.8055342099997</v>
      </c>
      <c r="F13" s="641">
        <f>industrie!E18</f>
        <v>158.93723927570377</v>
      </c>
      <c r="G13" s="641">
        <f>industrie!F18</f>
        <v>1632.4284781085255</v>
      </c>
      <c r="H13" s="641">
        <f>industrie!G18</f>
        <v>0</v>
      </c>
      <c r="I13" s="641">
        <f>industrie!H18</f>
        <v>0</v>
      </c>
      <c r="J13" s="641">
        <f>industrie!I18</f>
        <v>0</v>
      </c>
      <c r="K13" s="641">
        <f>industrie!J18</f>
        <v>12.512690256565172</v>
      </c>
      <c r="L13" s="641">
        <f>industrie!K18</f>
        <v>0</v>
      </c>
      <c r="M13" s="641">
        <f>industrie!L18</f>
        <v>0</v>
      </c>
      <c r="N13" s="641">
        <f>industrie!M18</f>
        <v>0</v>
      </c>
      <c r="O13" s="641">
        <f>industrie!N18</f>
        <v>247.2722642484664</v>
      </c>
      <c r="P13" s="641">
        <f>industrie!O18</f>
        <v>0</v>
      </c>
      <c r="Q13" s="642">
        <f>industrie!P18</f>
        <v>0</v>
      </c>
      <c r="R13" s="644">
        <f>SUM(C13:Q13)</f>
        <v>16564.65060309926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105364.14946837966</v>
      </c>
      <c r="D16" s="677">
        <f t="shared" ref="D16:R16" ca="1" si="0">SUM(D9:D15)</f>
        <v>8164.2857142857147</v>
      </c>
      <c r="E16" s="677">
        <f t="shared" ca="1" si="0"/>
        <v>122996.58413062256</v>
      </c>
      <c r="F16" s="677">
        <f t="shared" si="0"/>
        <v>2339.5518094001509</v>
      </c>
      <c r="G16" s="677">
        <f t="shared" ca="1" si="0"/>
        <v>48429.204285742955</v>
      </c>
      <c r="H16" s="677">
        <f t="shared" si="0"/>
        <v>0</v>
      </c>
      <c r="I16" s="677">
        <f t="shared" si="0"/>
        <v>0</v>
      </c>
      <c r="J16" s="677">
        <f t="shared" si="0"/>
        <v>0</v>
      </c>
      <c r="K16" s="677">
        <f t="shared" si="0"/>
        <v>210.39711371172862</v>
      </c>
      <c r="L16" s="677">
        <f t="shared" si="0"/>
        <v>0</v>
      </c>
      <c r="M16" s="677">
        <f t="shared" ca="1" si="0"/>
        <v>0</v>
      </c>
      <c r="N16" s="677">
        <f t="shared" si="0"/>
        <v>0</v>
      </c>
      <c r="O16" s="677">
        <f t="shared" ca="1" si="0"/>
        <v>12318.091531981359</v>
      </c>
      <c r="P16" s="677">
        <f t="shared" si="0"/>
        <v>521.5304725682837</v>
      </c>
      <c r="Q16" s="677">
        <f t="shared" si="0"/>
        <v>1495.0382722996928</v>
      </c>
      <c r="R16" s="677">
        <f t="shared" ca="1" si="0"/>
        <v>301838.83279899211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30.819109102230023</v>
      </c>
      <c r="D19" s="641">
        <f>transport!C54</f>
        <v>0</v>
      </c>
      <c r="E19" s="641">
        <f>transport!D54</f>
        <v>0</v>
      </c>
      <c r="F19" s="641">
        <f>transport!E54</f>
        <v>0</v>
      </c>
      <c r="G19" s="641">
        <f>transport!F54</f>
        <v>0</v>
      </c>
      <c r="H19" s="641">
        <f>transport!G54</f>
        <v>2232.890904822294</v>
      </c>
      <c r="I19" s="641">
        <f>transport!H54</f>
        <v>0</v>
      </c>
      <c r="J19" s="641">
        <f>transport!I54</f>
        <v>0</v>
      </c>
      <c r="K19" s="641">
        <f>transport!J54</f>
        <v>0</v>
      </c>
      <c r="L19" s="641">
        <f>transport!K54</f>
        <v>0</v>
      </c>
      <c r="M19" s="641">
        <f>transport!L54</f>
        <v>0</v>
      </c>
      <c r="N19" s="641">
        <f>transport!M54</f>
        <v>126.29895920036412</v>
      </c>
      <c r="O19" s="641">
        <f>transport!N54</f>
        <v>0</v>
      </c>
      <c r="P19" s="641">
        <f>transport!O54</f>
        <v>0</v>
      </c>
      <c r="Q19" s="642">
        <f>transport!P54</f>
        <v>0</v>
      </c>
      <c r="R19" s="644">
        <f>SUM(C19:Q19)</f>
        <v>2390.0089731248881</v>
      </c>
      <c r="S19" s="67"/>
    </row>
    <row r="20" spans="1:19" s="440" customFormat="1">
      <c r="A20" s="761" t="s">
        <v>295</v>
      </c>
      <c r="B20" s="766"/>
      <c r="C20" s="641">
        <f>transport!B14</f>
        <v>87.930550514917272</v>
      </c>
      <c r="D20" s="641">
        <f>transport!C14</f>
        <v>0</v>
      </c>
      <c r="E20" s="641">
        <f>transport!D14</f>
        <v>158.16478775434067</v>
      </c>
      <c r="F20" s="641">
        <f>transport!E14</f>
        <v>135.18255318283653</v>
      </c>
      <c r="G20" s="641">
        <f>transport!F14</f>
        <v>0</v>
      </c>
      <c r="H20" s="641">
        <f>transport!G14</f>
        <v>59975.265108900552</v>
      </c>
      <c r="I20" s="641">
        <f>transport!H14</f>
        <v>15142.757930666878</v>
      </c>
      <c r="J20" s="641">
        <f>transport!I14</f>
        <v>0</v>
      </c>
      <c r="K20" s="641">
        <f>transport!J14</f>
        <v>0</v>
      </c>
      <c r="L20" s="641">
        <f>transport!K14</f>
        <v>0</v>
      </c>
      <c r="M20" s="641">
        <f>transport!L14</f>
        <v>0</v>
      </c>
      <c r="N20" s="641">
        <f>transport!M14</f>
        <v>4459.6903146567674</v>
      </c>
      <c r="O20" s="641">
        <f>transport!N14</f>
        <v>0</v>
      </c>
      <c r="P20" s="641">
        <f>transport!O14</f>
        <v>0</v>
      </c>
      <c r="Q20" s="642">
        <f>transport!P14</f>
        <v>0</v>
      </c>
      <c r="R20" s="644">
        <f>SUM(C20:Q20)</f>
        <v>79958.991245676298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118.7496596171473</v>
      </c>
      <c r="D22" s="764">
        <f t="shared" ref="D22:R22" si="1">SUM(D18:D21)</f>
        <v>0</v>
      </c>
      <c r="E22" s="764">
        <f t="shared" si="1"/>
        <v>158.16478775434067</v>
      </c>
      <c r="F22" s="764">
        <f t="shared" si="1"/>
        <v>135.18255318283653</v>
      </c>
      <c r="G22" s="764">
        <f t="shared" si="1"/>
        <v>0</v>
      </c>
      <c r="H22" s="764">
        <f t="shared" si="1"/>
        <v>62208.156013722844</v>
      </c>
      <c r="I22" s="764">
        <f t="shared" si="1"/>
        <v>15142.757930666878</v>
      </c>
      <c r="J22" s="764">
        <f t="shared" si="1"/>
        <v>0</v>
      </c>
      <c r="K22" s="764">
        <f t="shared" si="1"/>
        <v>0</v>
      </c>
      <c r="L22" s="764">
        <f t="shared" si="1"/>
        <v>0</v>
      </c>
      <c r="M22" s="764">
        <f t="shared" si="1"/>
        <v>0</v>
      </c>
      <c r="N22" s="764">
        <f t="shared" si="1"/>
        <v>4585.9892738571316</v>
      </c>
      <c r="O22" s="764">
        <f t="shared" si="1"/>
        <v>0</v>
      </c>
      <c r="P22" s="764">
        <f t="shared" si="1"/>
        <v>0</v>
      </c>
      <c r="Q22" s="764">
        <f t="shared" si="1"/>
        <v>0</v>
      </c>
      <c r="R22" s="764">
        <f t="shared" si="1"/>
        <v>82349.000218801186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7458.2314079999996</v>
      </c>
      <c r="D24" s="641">
        <f>+landbouw!C8</f>
        <v>246180.85714285707</v>
      </c>
      <c r="E24" s="641">
        <f>+landbouw!D8</f>
        <v>46920.000509051955</v>
      </c>
      <c r="F24" s="641">
        <f>+landbouw!E8</f>
        <v>303.00146469490278</v>
      </c>
      <c r="G24" s="641">
        <f>+landbouw!F8</f>
        <v>14772.374195871944</v>
      </c>
      <c r="H24" s="641">
        <f>+landbouw!G8</f>
        <v>0</v>
      </c>
      <c r="I24" s="641">
        <f>+landbouw!H8</f>
        <v>0</v>
      </c>
      <c r="J24" s="641">
        <f>+landbouw!I8</f>
        <v>0</v>
      </c>
      <c r="K24" s="641">
        <f>+landbouw!J8</f>
        <v>2119.038143333551</v>
      </c>
      <c r="L24" s="641">
        <f>+landbouw!K8</f>
        <v>0</v>
      </c>
      <c r="M24" s="641">
        <f>+landbouw!L8</f>
        <v>0</v>
      </c>
      <c r="N24" s="641">
        <f>+landbouw!M8</f>
        <v>0</v>
      </c>
      <c r="O24" s="641">
        <f>+landbouw!N8</f>
        <v>0</v>
      </c>
      <c r="P24" s="641">
        <f>+landbouw!O8</f>
        <v>0</v>
      </c>
      <c r="Q24" s="642">
        <f>+landbouw!P8</f>
        <v>0</v>
      </c>
      <c r="R24" s="644">
        <f>SUM(C24:Q24)</f>
        <v>317753.50286380941</v>
      </c>
      <c r="S24" s="67"/>
    </row>
    <row r="25" spans="1:19" s="440" customFormat="1" ht="15" thickBot="1">
      <c r="A25" s="783" t="s">
        <v>683</v>
      </c>
      <c r="B25" s="901"/>
      <c r="C25" s="902">
        <f>IF(Onbekend_ele_kWh="---",0,Onbekend_ele_kWh)/1000+IF(REST_rest_ele_kWh="---",0,REST_rest_ele_kWh)/1000</f>
        <v>1019.223554</v>
      </c>
      <c r="D25" s="902"/>
      <c r="E25" s="902">
        <f>IF(onbekend_gas_kWh="---",0,onbekend_gas_kWh)/1000+IF(REST_rest_gas_kWh="---",0,REST_rest_gas_kWh)/1000</f>
        <v>3521.2224489999999</v>
      </c>
      <c r="F25" s="902"/>
      <c r="G25" s="902"/>
      <c r="H25" s="902"/>
      <c r="I25" s="902"/>
      <c r="J25" s="902"/>
      <c r="K25" s="902"/>
      <c r="L25" s="902"/>
      <c r="M25" s="902"/>
      <c r="N25" s="902"/>
      <c r="O25" s="902"/>
      <c r="P25" s="902"/>
      <c r="Q25" s="903"/>
      <c r="R25" s="644">
        <f>SUM(C25:Q25)</f>
        <v>4540.446003</v>
      </c>
      <c r="S25" s="67"/>
    </row>
    <row r="26" spans="1:19" s="440" customFormat="1" ht="15.75" thickBot="1">
      <c r="A26" s="649" t="s">
        <v>684</v>
      </c>
      <c r="B26" s="769"/>
      <c r="C26" s="764">
        <f>SUM(C24:C25)</f>
        <v>8477.4549619999998</v>
      </c>
      <c r="D26" s="764">
        <f t="shared" ref="D26:R26" si="2">SUM(D24:D25)</f>
        <v>246180.85714285707</v>
      </c>
      <c r="E26" s="764">
        <f t="shared" si="2"/>
        <v>50441.222958051956</v>
      </c>
      <c r="F26" s="764">
        <f t="shared" si="2"/>
        <v>303.00146469490278</v>
      </c>
      <c r="G26" s="764">
        <f t="shared" si="2"/>
        <v>14772.374195871944</v>
      </c>
      <c r="H26" s="764">
        <f t="shared" si="2"/>
        <v>0</v>
      </c>
      <c r="I26" s="764">
        <f t="shared" si="2"/>
        <v>0</v>
      </c>
      <c r="J26" s="764">
        <f t="shared" si="2"/>
        <v>0</v>
      </c>
      <c r="K26" s="764">
        <f t="shared" si="2"/>
        <v>2119.038143333551</v>
      </c>
      <c r="L26" s="764">
        <f t="shared" si="2"/>
        <v>0</v>
      </c>
      <c r="M26" s="764">
        <f t="shared" si="2"/>
        <v>0</v>
      </c>
      <c r="N26" s="764">
        <f t="shared" si="2"/>
        <v>0</v>
      </c>
      <c r="O26" s="764">
        <f t="shared" si="2"/>
        <v>0</v>
      </c>
      <c r="P26" s="764">
        <f t="shared" si="2"/>
        <v>0</v>
      </c>
      <c r="Q26" s="764">
        <f t="shared" si="2"/>
        <v>0</v>
      </c>
      <c r="R26" s="764">
        <f t="shared" si="2"/>
        <v>322293.94886680943</v>
      </c>
      <c r="S26" s="67"/>
    </row>
    <row r="27" spans="1:19" s="440" customFormat="1" ht="17.25" thickTop="1" thickBot="1">
      <c r="A27" s="650" t="s">
        <v>109</v>
      </c>
      <c r="B27" s="756"/>
      <c r="C27" s="651">
        <f ca="1">C22+C16+C26</f>
        <v>113960.35408999681</v>
      </c>
      <c r="D27" s="651">
        <f t="shared" ref="D27:R27" ca="1" si="3">D22+D16+D26</f>
        <v>254345.14285714278</v>
      </c>
      <c r="E27" s="651">
        <f t="shared" ca="1" si="3"/>
        <v>173595.97187642887</v>
      </c>
      <c r="F27" s="651">
        <f t="shared" si="3"/>
        <v>2777.7358272778902</v>
      </c>
      <c r="G27" s="651">
        <f t="shared" ca="1" si="3"/>
        <v>63201.578481614895</v>
      </c>
      <c r="H27" s="651">
        <f t="shared" si="3"/>
        <v>62208.156013722844</v>
      </c>
      <c r="I27" s="651">
        <f t="shared" si="3"/>
        <v>15142.757930666878</v>
      </c>
      <c r="J27" s="651">
        <f t="shared" si="3"/>
        <v>0</v>
      </c>
      <c r="K27" s="651">
        <f t="shared" si="3"/>
        <v>2329.4352570452797</v>
      </c>
      <c r="L27" s="651">
        <f t="shared" si="3"/>
        <v>0</v>
      </c>
      <c r="M27" s="651">
        <f t="shared" ca="1" si="3"/>
        <v>0</v>
      </c>
      <c r="N27" s="651">
        <f t="shared" si="3"/>
        <v>4585.9892738571316</v>
      </c>
      <c r="O27" s="651">
        <f t="shared" ca="1" si="3"/>
        <v>12318.091531981359</v>
      </c>
      <c r="P27" s="651">
        <f t="shared" si="3"/>
        <v>521.5304725682837</v>
      </c>
      <c r="Q27" s="651">
        <f t="shared" si="3"/>
        <v>1495.0382722996928</v>
      </c>
      <c r="R27" s="651">
        <f t="shared" ca="1" si="3"/>
        <v>706481.78188460274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13679.32183835992</v>
      </c>
      <c r="D40" s="641">
        <f ca="1">tertiair!C20</f>
        <v>1822.2566102331334</v>
      </c>
      <c r="E40" s="641">
        <f ca="1">tertiair!D20</f>
        <v>6846.565494107901</v>
      </c>
      <c r="F40" s="641">
        <f>tertiair!E20</f>
        <v>38.935386260376418</v>
      </c>
      <c r="G40" s="641">
        <f ca="1">tertiair!F20</f>
        <v>2171.5618080639006</v>
      </c>
      <c r="H40" s="641">
        <f>tertiair!G20</f>
        <v>0</v>
      </c>
      <c r="I40" s="641">
        <f>tertiair!H20</f>
        <v>0</v>
      </c>
      <c r="J40" s="641">
        <f>tertiair!I20</f>
        <v>0</v>
      </c>
      <c r="K40" s="641">
        <f>tertiair!J20</f>
        <v>1.3714369804653792E-2</v>
      </c>
      <c r="L40" s="641">
        <f>tertiair!K20</f>
        <v>0</v>
      </c>
      <c r="M40" s="641">
        <f ca="1">tertiair!L20</f>
        <v>0</v>
      </c>
      <c r="N40" s="641">
        <f>tertiair!M20</f>
        <v>0</v>
      </c>
      <c r="O40" s="641">
        <f ca="1">tertiair!N20</f>
        <v>0</v>
      </c>
      <c r="P40" s="641">
        <f>tertiair!O20</f>
        <v>0</v>
      </c>
      <c r="Q40" s="724">
        <f>tertiair!P20</f>
        <v>0</v>
      </c>
      <c r="R40" s="802">
        <f t="shared" ca="1" si="4"/>
        <v>24558.654851395033</v>
      </c>
    </row>
    <row r="41" spans="1:18">
      <c r="A41" s="774" t="s">
        <v>213</v>
      </c>
      <c r="B41" s="781"/>
      <c r="C41" s="641">
        <f ca="1">huishoudens!B12</f>
        <v>7318.5480316875428</v>
      </c>
      <c r="D41" s="641">
        <f ca="1">huishoudens!C12</f>
        <v>0</v>
      </c>
      <c r="E41" s="641">
        <f>huishoudens!D12</f>
        <v>16263.805782367441</v>
      </c>
      <c r="F41" s="641">
        <f>huishoudens!E12</f>
        <v>456.0641211578731</v>
      </c>
      <c r="G41" s="641">
        <f>huishoudens!F12</f>
        <v>10323.177332574494</v>
      </c>
      <c r="H41" s="641">
        <f>huishoudens!G12</f>
        <v>0</v>
      </c>
      <c r="I41" s="641">
        <f>huishoudens!H12</f>
        <v>0</v>
      </c>
      <c r="J41" s="641">
        <f>huishoudens!I12</f>
        <v>0</v>
      </c>
      <c r="K41" s="641">
        <f>huishoudens!J12</f>
        <v>70.03737153332321</v>
      </c>
      <c r="L41" s="641">
        <f>huishoudens!K12</f>
        <v>0</v>
      </c>
      <c r="M41" s="641">
        <f>huishoudens!L12</f>
        <v>0</v>
      </c>
      <c r="N41" s="641">
        <f>huishoudens!M12</f>
        <v>0</v>
      </c>
      <c r="O41" s="641">
        <f>huishoudens!N12</f>
        <v>0</v>
      </c>
      <c r="P41" s="641">
        <f>huishoudens!O12</f>
        <v>0</v>
      </c>
      <c r="Q41" s="724">
        <f>huishoudens!P12</f>
        <v>0</v>
      </c>
      <c r="R41" s="802">
        <f t="shared" ca="1" si="4"/>
        <v>34431.632639320676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1251.0724428116</v>
      </c>
      <c r="D43" s="641">
        <f ca="1">industrie!C22</f>
        <v>0</v>
      </c>
      <c r="E43" s="641">
        <f>industrie!D22</f>
        <v>1734.9387179104201</v>
      </c>
      <c r="F43" s="641">
        <f>industrie!E22</f>
        <v>36.078753315584756</v>
      </c>
      <c r="G43" s="641">
        <f>industrie!F22</f>
        <v>435.85840365497631</v>
      </c>
      <c r="H43" s="641">
        <f>industrie!G22</f>
        <v>0</v>
      </c>
      <c r="I43" s="641">
        <f>industrie!H22</f>
        <v>0</v>
      </c>
      <c r="J43" s="641">
        <f>industrie!I22</f>
        <v>0</v>
      </c>
      <c r="K43" s="641">
        <f>industrie!J22</f>
        <v>4.4294923508240709</v>
      </c>
      <c r="L43" s="641">
        <f>industrie!K22</f>
        <v>0</v>
      </c>
      <c r="M43" s="641">
        <f>industrie!L22</f>
        <v>0</v>
      </c>
      <c r="N43" s="641">
        <f>industrie!M22</f>
        <v>0</v>
      </c>
      <c r="O43" s="641">
        <f>industrie!N22</f>
        <v>0</v>
      </c>
      <c r="P43" s="641">
        <f>industrie!O22</f>
        <v>0</v>
      </c>
      <c r="Q43" s="724">
        <f>industrie!P22</f>
        <v>0</v>
      </c>
      <c r="R43" s="801">
        <f t="shared" ca="1" si="4"/>
        <v>3462.3778100434056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22248.942312859064</v>
      </c>
      <c r="D46" s="677">
        <f t="shared" ref="D46:Q46" ca="1" si="5">SUM(D39:D45)</f>
        <v>1822.2566102331334</v>
      </c>
      <c r="E46" s="677">
        <f t="shared" ca="1" si="5"/>
        <v>24845.309994385763</v>
      </c>
      <c r="F46" s="677">
        <f t="shared" si="5"/>
        <v>531.07826073383433</v>
      </c>
      <c r="G46" s="677">
        <f t="shared" ca="1" si="5"/>
        <v>12930.59754429337</v>
      </c>
      <c r="H46" s="677">
        <f t="shared" si="5"/>
        <v>0</v>
      </c>
      <c r="I46" s="677">
        <f t="shared" si="5"/>
        <v>0</v>
      </c>
      <c r="J46" s="677">
        <f t="shared" si="5"/>
        <v>0</v>
      </c>
      <c r="K46" s="677">
        <f t="shared" si="5"/>
        <v>74.480578253951947</v>
      </c>
      <c r="L46" s="677">
        <f t="shared" si="5"/>
        <v>0</v>
      </c>
      <c r="M46" s="677">
        <f t="shared" ca="1" si="5"/>
        <v>0</v>
      </c>
      <c r="N46" s="677">
        <f t="shared" si="5"/>
        <v>0</v>
      </c>
      <c r="O46" s="677">
        <f t="shared" ca="1" si="5"/>
        <v>0</v>
      </c>
      <c r="P46" s="677">
        <f t="shared" si="5"/>
        <v>0</v>
      </c>
      <c r="Q46" s="677">
        <f t="shared" si="5"/>
        <v>0</v>
      </c>
      <c r="R46" s="677">
        <f ca="1">SUM(R39:R45)</f>
        <v>62452.665300759116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6.5078357677532939</v>
      </c>
      <c r="D49" s="641">
        <f ca="1">transport!C58</f>
        <v>0</v>
      </c>
      <c r="E49" s="641">
        <f>transport!D58</f>
        <v>0</v>
      </c>
      <c r="F49" s="641">
        <f>transport!E58</f>
        <v>0</v>
      </c>
      <c r="G49" s="641">
        <f>transport!F58</f>
        <v>0</v>
      </c>
      <c r="H49" s="641">
        <f>transport!G58</f>
        <v>596.18187158755256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602.68970735530581</v>
      </c>
    </row>
    <row r="50" spans="1:18">
      <c r="A50" s="777" t="s">
        <v>295</v>
      </c>
      <c r="B50" s="787"/>
      <c r="C50" s="647">
        <f ca="1">transport!B18</f>
        <v>18.567622439086346</v>
      </c>
      <c r="D50" s="647">
        <f>transport!C18</f>
        <v>0</v>
      </c>
      <c r="E50" s="647">
        <f>transport!D18</f>
        <v>31.949287126376817</v>
      </c>
      <c r="F50" s="647">
        <f>transport!E18</f>
        <v>30.686439572503893</v>
      </c>
      <c r="G50" s="647">
        <f>transport!F18</f>
        <v>0</v>
      </c>
      <c r="H50" s="647">
        <f>transport!G18</f>
        <v>16013.395784076449</v>
      </c>
      <c r="I50" s="647">
        <f>transport!H18</f>
        <v>3770.5467247360525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19865.145857950469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25.075458206839642</v>
      </c>
      <c r="D52" s="677">
        <f t="shared" ref="D52:Q52" ca="1" si="6">SUM(D48:D51)</f>
        <v>0</v>
      </c>
      <c r="E52" s="677">
        <f t="shared" si="6"/>
        <v>31.949287126376817</v>
      </c>
      <c r="F52" s="677">
        <f t="shared" si="6"/>
        <v>30.686439572503893</v>
      </c>
      <c r="G52" s="677">
        <f t="shared" si="6"/>
        <v>0</v>
      </c>
      <c r="H52" s="677">
        <f t="shared" si="6"/>
        <v>16609.577655664001</v>
      </c>
      <c r="I52" s="677">
        <f t="shared" si="6"/>
        <v>3770.5467247360525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20467.835565305773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1574.8977350435919</v>
      </c>
      <c r="D54" s="647">
        <f ca="1">+landbouw!C12</f>
        <v>54947.206643744707</v>
      </c>
      <c r="E54" s="647">
        <f>+landbouw!D12</f>
        <v>9477.8401028284952</v>
      </c>
      <c r="F54" s="647">
        <f>+landbouw!E12</f>
        <v>68.781332485742936</v>
      </c>
      <c r="G54" s="647">
        <f>+landbouw!F12</f>
        <v>3944.2239102978092</v>
      </c>
      <c r="H54" s="647">
        <f>+landbouw!G12</f>
        <v>0</v>
      </c>
      <c r="I54" s="647">
        <f>+landbouw!H12</f>
        <v>0</v>
      </c>
      <c r="J54" s="647">
        <f>+landbouw!I12</f>
        <v>0</v>
      </c>
      <c r="K54" s="647">
        <f>+landbouw!J12</f>
        <v>750.13950274007698</v>
      </c>
      <c r="L54" s="647">
        <f>+landbouw!K12</f>
        <v>0</v>
      </c>
      <c r="M54" s="647">
        <f>+landbouw!L12</f>
        <v>0</v>
      </c>
      <c r="N54" s="647">
        <f>+landbouw!M12</f>
        <v>0</v>
      </c>
      <c r="O54" s="647">
        <f>+landbouw!N12</f>
        <v>0</v>
      </c>
      <c r="P54" s="647">
        <f>+landbouw!O12</f>
        <v>0</v>
      </c>
      <c r="Q54" s="648">
        <f>+landbouw!P12</f>
        <v>0</v>
      </c>
      <c r="R54" s="676">
        <f ca="1">SUM(C54:Q54)</f>
        <v>70763.089227140415</v>
      </c>
    </row>
    <row r="55" spans="1:18" ht="15" thickBot="1">
      <c r="A55" s="777" t="s">
        <v>683</v>
      </c>
      <c r="B55" s="787"/>
      <c r="C55" s="647">
        <f ca="1">C25*'EF ele_warmte'!B12</f>
        <v>215.22164959589574</v>
      </c>
      <c r="D55" s="647"/>
      <c r="E55" s="647">
        <f>E25*EF_CO2_aardgas</f>
        <v>711.28693469799998</v>
      </c>
      <c r="F55" s="647"/>
      <c r="G55" s="647"/>
      <c r="H55" s="647"/>
      <c r="I55" s="647"/>
      <c r="J55" s="647"/>
      <c r="K55" s="647"/>
      <c r="L55" s="647"/>
      <c r="M55" s="647"/>
      <c r="N55" s="647"/>
      <c r="O55" s="647"/>
      <c r="P55" s="647"/>
      <c r="Q55" s="648"/>
      <c r="R55" s="676">
        <f ca="1">SUM(C55:Q55)</f>
        <v>926.50858429389575</v>
      </c>
    </row>
    <row r="56" spans="1:18" ht="15.75" thickBot="1">
      <c r="A56" s="775" t="s">
        <v>684</v>
      </c>
      <c r="B56" s="788"/>
      <c r="C56" s="677">
        <f ca="1">SUM(C54:C55)</f>
        <v>1790.1193846394876</v>
      </c>
      <c r="D56" s="677">
        <f t="shared" ref="D56:Q56" ca="1" si="7">SUM(D54:D55)</f>
        <v>54947.206643744707</v>
      </c>
      <c r="E56" s="677">
        <f t="shared" si="7"/>
        <v>10189.127037526496</v>
      </c>
      <c r="F56" s="677">
        <f t="shared" si="7"/>
        <v>68.781332485742936</v>
      </c>
      <c r="G56" s="677">
        <f t="shared" si="7"/>
        <v>3944.2239102978092</v>
      </c>
      <c r="H56" s="677">
        <f t="shared" si="7"/>
        <v>0</v>
      </c>
      <c r="I56" s="677">
        <f t="shared" si="7"/>
        <v>0</v>
      </c>
      <c r="J56" s="677">
        <f t="shared" si="7"/>
        <v>0</v>
      </c>
      <c r="K56" s="677">
        <f t="shared" si="7"/>
        <v>750.13950274007698</v>
      </c>
      <c r="L56" s="677">
        <f t="shared" si="7"/>
        <v>0</v>
      </c>
      <c r="M56" s="677">
        <f t="shared" si="7"/>
        <v>0</v>
      </c>
      <c r="N56" s="677">
        <f t="shared" si="7"/>
        <v>0</v>
      </c>
      <c r="O56" s="677">
        <f t="shared" si="7"/>
        <v>0</v>
      </c>
      <c r="P56" s="677">
        <f t="shared" si="7"/>
        <v>0</v>
      </c>
      <c r="Q56" s="678">
        <f t="shared" si="7"/>
        <v>0</v>
      </c>
      <c r="R56" s="679">
        <f ca="1">SUM(R54:R55)</f>
        <v>71689.597811434316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24064.137155705394</v>
      </c>
      <c r="D61" s="685">
        <f t="shared" ref="D61:Q61" ca="1" si="8">D46+D52+D56</f>
        <v>56769.463253977839</v>
      </c>
      <c r="E61" s="685">
        <f t="shared" ca="1" si="8"/>
        <v>35066.386319038633</v>
      </c>
      <c r="F61" s="685">
        <f t="shared" si="8"/>
        <v>630.54603279208118</v>
      </c>
      <c r="G61" s="685">
        <f t="shared" ca="1" si="8"/>
        <v>16874.82145459118</v>
      </c>
      <c r="H61" s="685">
        <f t="shared" si="8"/>
        <v>16609.577655664001</v>
      </c>
      <c r="I61" s="685">
        <f t="shared" si="8"/>
        <v>3770.5467247360525</v>
      </c>
      <c r="J61" s="685">
        <f t="shared" si="8"/>
        <v>0</v>
      </c>
      <c r="K61" s="685">
        <f t="shared" si="8"/>
        <v>824.62008099402897</v>
      </c>
      <c r="L61" s="685">
        <f t="shared" si="8"/>
        <v>0</v>
      </c>
      <c r="M61" s="685">
        <f t="shared" ca="1" si="8"/>
        <v>0</v>
      </c>
      <c r="N61" s="685">
        <f t="shared" si="8"/>
        <v>0</v>
      </c>
      <c r="O61" s="685">
        <f t="shared" ca="1" si="8"/>
        <v>0</v>
      </c>
      <c r="P61" s="685">
        <f t="shared" si="8"/>
        <v>0</v>
      </c>
      <c r="Q61" s="685">
        <f t="shared" si="8"/>
        <v>0</v>
      </c>
      <c r="R61" s="685">
        <f ca="1">R46+R52+R56</f>
        <v>154610.09867749922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0.21116235859272126</v>
      </c>
      <c r="D63" s="731">
        <f t="shared" ca="1" si="9"/>
        <v>0.22319853493669176</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10373.305693595164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12389.072333817563</v>
      </c>
      <c r="C76" s="698">
        <f>'lokale energieproductie'!B8*IFERROR(SUM(D76:H76)/SUM(D76:O76),0)</f>
        <v>169599.92766618243</v>
      </c>
      <c r="D76" s="910">
        <f>'lokale energieproductie'!C8</f>
        <v>194686.95454237401</v>
      </c>
      <c r="E76" s="911">
        <f>'lokale energieproductie'!D8</f>
        <v>0</v>
      </c>
      <c r="F76" s="911">
        <f>'lokale energieproductie'!E8</f>
        <v>4842.3721237230056</v>
      </c>
      <c r="G76" s="911">
        <f>'lokale energieproductie'!F8</f>
        <v>0</v>
      </c>
      <c r="H76" s="911">
        <f>'lokale energieproductie'!G8</f>
        <v>0</v>
      </c>
      <c r="I76" s="911">
        <f>'lokale energieproductie'!I8</f>
        <v>14527.116371169019</v>
      </c>
      <c r="J76" s="911">
        <f>'lokale energieproductie'!J8</f>
        <v>48.26284508694026</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40619.678174593595</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22762.378027412728</v>
      </c>
      <c r="C78" s="703">
        <f>SUM(C72:C77)</f>
        <v>169599.92766618243</v>
      </c>
      <c r="D78" s="704">
        <f t="shared" ref="D78:H78" si="10">SUM(D76:D77)</f>
        <v>194686.95454237401</v>
      </c>
      <c r="E78" s="704">
        <f t="shared" si="10"/>
        <v>0</v>
      </c>
      <c r="F78" s="704">
        <f t="shared" si="10"/>
        <v>4842.3721237230056</v>
      </c>
      <c r="G78" s="704">
        <f t="shared" si="10"/>
        <v>0</v>
      </c>
      <c r="H78" s="704">
        <f t="shared" si="10"/>
        <v>0</v>
      </c>
      <c r="I78" s="704">
        <f>SUM(I76:I77)</f>
        <v>14527.116371169019</v>
      </c>
      <c r="J78" s="704">
        <f>SUM(J76:J77)</f>
        <v>48.26284508694026</v>
      </c>
      <c r="K78" s="704">
        <f t="shared" ref="K78:L78" si="11">SUM(K76:K77)</f>
        <v>0</v>
      </c>
      <c r="L78" s="704">
        <f t="shared" si="11"/>
        <v>0</v>
      </c>
      <c r="M78" s="704">
        <f>SUM(M76:M77)</f>
        <v>0</v>
      </c>
      <c r="N78" s="704">
        <f>SUM(N76:N77)</f>
        <v>0</v>
      </c>
      <c r="O78" s="812">
        <f>SUM(O76:O77)</f>
        <v>0</v>
      </c>
      <c r="P78" s="705">
        <v>0</v>
      </c>
      <c r="Q78" s="705">
        <f>SUM(Q76:Q77)</f>
        <v>40619.678174593595</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17314.784809039571</v>
      </c>
      <c r="C87" s="716">
        <f>'lokale energieproductie'!B17*IFERROR(SUM(D87:H87)/SUM(D87:O87),0)</f>
        <v>237030.3580481032</v>
      </c>
      <c r="D87" s="727">
        <f>'lokale energieproductie'!C17</f>
        <v>272091.61688619741</v>
      </c>
      <c r="E87" s="727">
        <f>'lokale energieproductie'!D17</f>
        <v>0</v>
      </c>
      <c r="F87" s="727">
        <f>'lokale energieproductie'!E17</f>
        <v>6767.6278762769944</v>
      </c>
      <c r="G87" s="727">
        <f>'lokale energieproductie'!F17</f>
        <v>0</v>
      </c>
      <c r="H87" s="727">
        <f>'lokale energieproductie'!G17</f>
        <v>0</v>
      </c>
      <c r="I87" s="727">
        <f>'lokale energieproductie'!I17</f>
        <v>20302.883628830983</v>
      </c>
      <c r="J87" s="727">
        <f>'lokale energieproductie'!J17</f>
        <v>67.451440627345463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56769.463253977839</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17314.784809039571</v>
      </c>
      <c r="C90" s="703">
        <f>SUM(C87:C89)</f>
        <v>237030.3580481032</v>
      </c>
      <c r="D90" s="703">
        <f t="shared" ref="D90:H90" si="12">SUM(D87:D89)</f>
        <v>272091.61688619741</v>
      </c>
      <c r="E90" s="703">
        <f t="shared" si="12"/>
        <v>0</v>
      </c>
      <c r="F90" s="703">
        <f t="shared" si="12"/>
        <v>6767.6278762769944</v>
      </c>
      <c r="G90" s="703">
        <f t="shared" si="12"/>
        <v>0</v>
      </c>
      <c r="H90" s="703">
        <f t="shared" si="12"/>
        <v>0</v>
      </c>
      <c r="I90" s="703">
        <f>SUM(I87:I89)</f>
        <v>20302.883628830983</v>
      </c>
      <c r="J90" s="703">
        <f>SUM(J87:J89)</f>
        <v>67.451440627345463</v>
      </c>
      <c r="K90" s="703">
        <f t="shared" ref="K90:L90" si="13">SUM(K87:K89)</f>
        <v>0</v>
      </c>
      <c r="L90" s="703">
        <f t="shared" si="13"/>
        <v>0</v>
      </c>
      <c r="M90" s="703">
        <f>SUM(M87:M89)</f>
        <v>0</v>
      </c>
      <c r="N90" s="703">
        <f>SUM(N87:N89)</f>
        <v>0</v>
      </c>
      <c r="O90" s="703">
        <f>SUM(O87:O89)</f>
        <v>0</v>
      </c>
      <c r="P90" s="703">
        <v>0</v>
      </c>
      <c r="Q90" s="703">
        <f>SUM(Q87:Q89)</f>
        <v>56769.463253977839</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34658.393098379674</v>
      </c>
      <c r="C4" s="444">
        <f>huishoudens!C8</f>
        <v>0</v>
      </c>
      <c r="D4" s="444">
        <f>huishoudens!D8</f>
        <v>80513.890011719996</v>
      </c>
      <c r="E4" s="444">
        <f>huishoudens!E8</f>
        <v>2009.0930447483397</v>
      </c>
      <c r="F4" s="444">
        <f>huishoudens!F8</f>
        <v>38663.585515260274</v>
      </c>
      <c r="G4" s="444">
        <f>huishoudens!G8</f>
        <v>0</v>
      </c>
      <c r="H4" s="444">
        <f>huishoudens!H8</f>
        <v>0</v>
      </c>
      <c r="I4" s="444">
        <f>huishoudens!I8</f>
        <v>0</v>
      </c>
      <c r="J4" s="444">
        <f>huishoudens!J8</f>
        <v>197.84568229752318</v>
      </c>
      <c r="K4" s="444">
        <f>huishoudens!K8</f>
        <v>0</v>
      </c>
      <c r="L4" s="444">
        <f>huishoudens!L8</f>
        <v>0</v>
      </c>
      <c r="M4" s="444">
        <f>huishoudens!M8</f>
        <v>0</v>
      </c>
      <c r="N4" s="444">
        <f>huishoudens!N8</f>
        <v>10574.437962609589</v>
      </c>
      <c r="O4" s="444">
        <f>huishoudens!O8</f>
        <v>501.94142950491909</v>
      </c>
      <c r="P4" s="445">
        <f>huishoudens!P8</f>
        <v>1179.8034424607226</v>
      </c>
      <c r="Q4" s="446">
        <f>SUM(B4:P4)</f>
        <v>168298.99018698101</v>
      </c>
    </row>
    <row r="5" spans="1:17">
      <c r="A5" s="443" t="s">
        <v>149</v>
      </c>
      <c r="B5" s="444">
        <f ca="1">tertiair!B16</f>
        <v>63429.183972999999</v>
      </c>
      <c r="C5" s="444">
        <f ca="1">tertiair!C16</f>
        <v>8164.2857142857147</v>
      </c>
      <c r="D5" s="444">
        <f ca="1">tertiair!D16</f>
        <v>33893.888584692577</v>
      </c>
      <c r="E5" s="444">
        <f>tertiair!E16</f>
        <v>171.52152537610758</v>
      </c>
      <c r="F5" s="444">
        <f ca="1">tertiair!F16</f>
        <v>8133.1902923741582</v>
      </c>
      <c r="G5" s="444">
        <f>tertiair!G16</f>
        <v>0</v>
      </c>
      <c r="H5" s="444">
        <f>tertiair!H16</f>
        <v>0</v>
      </c>
      <c r="I5" s="444">
        <f>tertiair!I16</f>
        <v>0</v>
      </c>
      <c r="J5" s="444">
        <f>tertiair!J16</f>
        <v>3.874115764026495E-2</v>
      </c>
      <c r="K5" s="444">
        <f>tertiair!K16</f>
        <v>0</v>
      </c>
      <c r="L5" s="444">
        <f ca="1">tertiair!L16</f>
        <v>0</v>
      </c>
      <c r="M5" s="444">
        <f>tertiair!M16</f>
        <v>0</v>
      </c>
      <c r="N5" s="444">
        <f ca="1">tertiair!N16</f>
        <v>1496.3813051233046</v>
      </c>
      <c r="O5" s="444">
        <f>tertiair!O16</f>
        <v>19.589043063364617</v>
      </c>
      <c r="P5" s="445">
        <f>tertiair!P16</f>
        <v>315.23482983897009</v>
      </c>
      <c r="Q5" s="443">
        <f t="shared" ref="Q5:Q14" ca="1" si="0">SUM(B5:P5)</f>
        <v>115623.31400891184</v>
      </c>
    </row>
    <row r="6" spans="1:17">
      <c r="A6" s="443" t="s">
        <v>187</v>
      </c>
      <c r="B6" s="444">
        <f>'openbare verlichting'!B8</f>
        <v>1351.8779999999999</v>
      </c>
      <c r="C6" s="444"/>
      <c r="D6" s="444"/>
      <c r="E6" s="444"/>
      <c r="F6" s="444"/>
      <c r="G6" s="444"/>
      <c r="H6" s="444"/>
      <c r="I6" s="444"/>
      <c r="J6" s="444"/>
      <c r="K6" s="444"/>
      <c r="L6" s="444"/>
      <c r="M6" s="444"/>
      <c r="N6" s="444"/>
      <c r="O6" s="444"/>
      <c r="P6" s="445"/>
      <c r="Q6" s="443">
        <f t="shared" si="0"/>
        <v>1351.8779999999999</v>
      </c>
    </row>
    <row r="7" spans="1:17">
      <c r="A7" s="443" t="s">
        <v>105</v>
      </c>
      <c r="B7" s="444">
        <f>landbouw!B8</f>
        <v>7458.2314079999996</v>
      </c>
      <c r="C7" s="444">
        <f>landbouw!C8</f>
        <v>246180.85714285707</v>
      </c>
      <c r="D7" s="444">
        <f>landbouw!D8</f>
        <v>46920.000509051955</v>
      </c>
      <c r="E7" s="444">
        <f>landbouw!E8</f>
        <v>303.00146469490278</v>
      </c>
      <c r="F7" s="444">
        <f>landbouw!F8</f>
        <v>14772.374195871944</v>
      </c>
      <c r="G7" s="444">
        <f>landbouw!G8</f>
        <v>0</v>
      </c>
      <c r="H7" s="444">
        <f>landbouw!H8</f>
        <v>0</v>
      </c>
      <c r="I7" s="444">
        <f>landbouw!I8</f>
        <v>0</v>
      </c>
      <c r="J7" s="444">
        <f>landbouw!J8</f>
        <v>2119.038143333551</v>
      </c>
      <c r="K7" s="444">
        <f>landbouw!K8</f>
        <v>0</v>
      </c>
      <c r="L7" s="444">
        <f>landbouw!L8</f>
        <v>0</v>
      </c>
      <c r="M7" s="444">
        <f>landbouw!M8</f>
        <v>0</v>
      </c>
      <c r="N7" s="444">
        <f>landbouw!N8</f>
        <v>0</v>
      </c>
      <c r="O7" s="444">
        <f>landbouw!O8</f>
        <v>0</v>
      </c>
      <c r="P7" s="445">
        <f>landbouw!P8</f>
        <v>0</v>
      </c>
      <c r="Q7" s="443">
        <f t="shared" si="0"/>
        <v>317753.50286380941</v>
      </c>
    </row>
    <row r="8" spans="1:17">
      <c r="A8" s="443" t="s">
        <v>587</v>
      </c>
      <c r="B8" s="444">
        <f>industrie!B18</f>
        <v>5924.6943969999993</v>
      </c>
      <c r="C8" s="444">
        <f>industrie!C18</f>
        <v>0</v>
      </c>
      <c r="D8" s="444">
        <f>industrie!D18</f>
        <v>8588.8055342099997</v>
      </c>
      <c r="E8" s="444">
        <f>industrie!E18</f>
        <v>158.93723927570377</v>
      </c>
      <c r="F8" s="444">
        <f>industrie!F18</f>
        <v>1632.4284781085255</v>
      </c>
      <c r="G8" s="444">
        <f>industrie!G18</f>
        <v>0</v>
      </c>
      <c r="H8" s="444">
        <f>industrie!H18</f>
        <v>0</v>
      </c>
      <c r="I8" s="444">
        <f>industrie!I18</f>
        <v>0</v>
      </c>
      <c r="J8" s="444">
        <f>industrie!J18</f>
        <v>12.512690256565172</v>
      </c>
      <c r="K8" s="444">
        <f>industrie!K18</f>
        <v>0</v>
      </c>
      <c r="L8" s="444">
        <f>industrie!L18</f>
        <v>0</v>
      </c>
      <c r="M8" s="444">
        <f>industrie!M18</f>
        <v>0</v>
      </c>
      <c r="N8" s="444">
        <f>industrie!N18</f>
        <v>247.2722642484664</v>
      </c>
      <c r="O8" s="444">
        <f>industrie!O18</f>
        <v>0</v>
      </c>
      <c r="P8" s="445">
        <f>industrie!P18</f>
        <v>0</v>
      </c>
      <c r="Q8" s="443">
        <f t="shared" si="0"/>
        <v>16564.65060309926</v>
      </c>
    </row>
    <row r="9" spans="1:17" s="449" customFormat="1">
      <c r="A9" s="447" t="s">
        <v>536</v>
      </c>
      <c r="B9" s="448">
        <f>transport!B14</f>
        <v>87.930550514917272</v>
      </c>
      <c r="C9" s="448">
        <f>transport!C14</f>
        <v>0</v>
      </c>
      <c r="D9" s="448">
        <f>transport!D14</f>
        <v>158.16478775434067</v>
      </c>
      <c r="E9" s="448">
        <f>transport!E14</f>
        <v>135.18255318283653</v>
      </c>
      <c r="F9" s="448">
        <f>transport!F14</f>
        <v>0</v>
      </c>
      <c r="G9" s="448">
        <f>transport!G14</f>
        <v>59975.265108900552</v>
      </c>
      <c r="H9" s="448">
        <f>transport!H14</f>
        <v>15142.757930666878</v>
      </c>
      <c r="I9" s="448">
        <f>transport!I14</f>
        <v>0</v>
      </c>
      <c r="J9" s="448">
        <f>transport!J14</f>
        <v>0</v>
      </c>
      <c r="K9" s="448">
        <f>transport!K14</f>
        <v>0</v>
      </c>
      <c r="L9" s="448">
        <f>transport!L14</f>
        <v>0</v>
      </c>
      <c r="M9" s="448">
        <f>transport!M14</f>
        <v>4459.6903146567674</v>
      </c>
      <c r="N9" s="448">
        <f>transport!N14</f>
        <v>0</v>
      </c>
      <c r="O9" s="448">
        <f>transport!O14</f>
        <v>0</v>
      </c>
      <c r="P9" s="448">
        <f>transport!P14</f>
        <v>0</v>
      </c>
      <c r="Q9" s="447">
        <f>SUM(B9:P9)</f>
        <v>79958.991245676298</v>
      </c>
    </row>
    <row r="10" spans="1:17">
      <c r="A10" s="443" t="s">
        <v>526</v>
      </c>
      <c r="B10" s="444">
        <f>transport!B54</f>
        <v>30.819109102230023</v>
      </c>
      <c r="C10" s="444">
        <f>transport!C54</f>
        <v>0</v>
      </c>
      <c r="D10" s="444">
        <f>transport!D54</f>
        <v>0</v>
      </c>
      <c r="E10" s="444">
        <f>transport!E54</f>
        <v>0</v>
      </c>
      <c r="F10" s="444">
        <f>transport!F54</f>
        <v>0</v>
      </c>
      <c r="G10" s="444">
        <f>transport!G54</f>
        <v>2232.890904822294</v>
      </c>
      <c r="H10" s="444">
        <f>transport!H54</f>
        <v>0</v>
      </c>
      <c r="I10" s="444">
        <f>transport!I54</f>
        <v>0</v>
      </c>
      <c r="J10" s="444">
        <f>transport!J54</f>
        <v>0</v>
      </c>
      <c r="K10" s="444">
        <f>transport!K54</f>
        <v>0</v>
      </c>
      <c r="L10" s="444">
        <f>transport!L54</f>
        <v>0</v>
      </c>
      <c r="M10" s="444">
        <f>transport!M54</f>
        <v>126.29895920036412</v>
      </c>
      <c r="N10" s="444">
        <f>transport!N54</f>
        <v>0</v>
      </c>
      <c r="O10" s="444">
        <f>transport!O54</f>
        <v>0</v>
      </c>
      <c r="P10" s="445">
        <f>transport!P54</f>
        <v>0</v>
      </c>
      <c r="Q10" s="443">
        <f t="shared" si="0"/>
        <v>2390.0089731248881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1019.223554</v>
      </c>
      <c r="C14" s="451"/>
      <c r="D14" s="451">
        <f>'SEAP template'!E25</f>
        <v>3521.2224489999999</v>
      </c>
      <c r="E14" s="451"/>
      <c r="F14" s="451"/>
      <c r="G14" s="451"/>
      <c r="H14" s="451"/>
      <c r="I14" s="451"/>
      <c r="J14" s="451"/>
      <c r="K14" s="451"/>
      <c r="L14" s="451"/>
      <c r="M14" s="451"/>
      <c r="N14" s="451"/>
      <c r="O14" s="451"/>
      <c r="P14" s="452"/>
      <c r="Q14" s="443">
        <f t="shared" si="0"/>
        <v>4540.446003</v>
      </c>
    </row>
    <row r="15" spans="1:17" s="455" customFormat="1">
      <c r="A15" s="453" t="s">
        <v>530</v>
      </c>
      <c r="B15" s="454">
        <f ca="1">SUM(B4:B14)</f>
        <v>113960.35408999681</v>
      </c>
      <c r="C15" s="454">
        <f t="shared" ref="C15:Q15" ca="1" si="1">SUM(C4:C14)</f>
        <v>254345.14285714278</v>
      </c>
      <c r="D15" s="454">
        <f t="shared" ca="1" si="1"/>
        <v>173595.97187642884</v>
      </c>
      <c r="E15" s="454">
        <f t="shared" si="1"/>
        <v>2777.7358272778902</v>
      </c>
      <c r="F15" s="454">
        <f t="shared" ca="1" si="1"/>
        <v>63201.578481614903</v>
      </c>
      <c r="G15" s="454">
        <f t="shared" si="1"/>
        <v>62208.156013722844</v>
      </c>
      <c r="H15" s="454">
        <f t="shared" si="1"/>
        <v>15142.757930666878</v>
      </c>
      <c r="I15" s="454">
        <f t="shared" si="1"/>
        <v>0</v>
      </c>
      <c r="J15" s="454">
        <f t="shared" si="1"/>
        <v>2329.4352570452797</v>
      </c>
      <c r="K15" s="454">
        <f t="shared" si="1"/>
        <v>0</v>
      </c>
      <c r="L15" s="454">
        <f t="shared" ca="1" si="1"/>
        <v>0</v>
      </c>
      <c r="M15" s="454">
        <f t="shared" si="1"/>
        <v>4585.9892738571316</v>
      </c>
      <c r="N15" s="454">
        <f t="shared" ca="1" si="1"/>
        <v>12318.091531981359</v>
      </c>
      <c r="O15" s="454">
        <f t="shared" si="1"/>
        <v>521.5304725682837</v>
      </c>
      <c r="P15" s="454">
        <f t="shared" si="1"/>
        <v>1495.0382722996928</v>
      </c>
      <c r="Q15" s="454">
        <f t="shared" ca="1" si="1"/>
        <v>706481.78188460274</v>
      </c>
    </row>
    <row r="17" spans="1:17">
      <c r="A17" s="456" t="s">
        <v>531</v>
      </c>
      <c r="B17" s="736">
        <f ca="1">huishoudens!B10</f>
        <v>0.2111623585927212</v>
      </c>
      <c r="C17" s="736">
        <f ca="1">huishoudens!C10</f>
        <v>0.22319853493669176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7318.5480316875428</v>
      </c>
      <c r="C22" s="444">
        <f t="shared" ref="C22:C32" ca="1" si="3">C4*$C$17</f>
        <v>0</v>
      </c>
      <c r="D22" s="444">
        <f t="shared" ref="D22:D32" si="4">D4*$D$17</f>
        <v>16263.805782367441</v>
      </c>
      <c r="E22" s="444">
        <f t="shared" ref="E22:E32" si="5">E4*$E$17</f>
        <v>456.0641211578731</v>
      </c>
      <c r="F22" s="444">
        <f t="shared" ref="F22:F32" si="6">F4*$F$17</f>
        <v>10323.177332574494</v>
      </c>
      <c r="G22" s="444">
        <f t="shared" ref="G22:G32" si="7">G4*$G$17</f>
        <v>0</v>
      </c>
      <c r="H22" s="444">
        <f t="shared" ref="H22:H32" si="8">H4*$H$17</f>
        <v>0</v>
      </c>
      <c r="I22" s="444">
        <f t="shared" ref="I22:I32" si="9">I4*$I$17</f>
        <v>0</v>
      </c>
      <c r="J22" s="444">
        <f t="shared" ref="J22:J32" si="10">J4*$J$17</f>
        <v>70.03737153332321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34431.632639320676</v>
      </c>
    </row>
    <row r="23" spans="1:17">
      <c r="A23" s="443" t="s">
        <v>149</v>
      </c>
      <c r="B23" s="444">
        <f t="shared" ca="1" si="2"/>
        <v>13393.85609135031</v>
      </c>
      <c r="C23" s="444">
        <f t="shared" ca="1" si="3"/>
        <v>1822.2566102331334</v>
      </c>
      <c r="D23" s="444">
        <f t="shared" ca="1" si="4"/>
        <v>6846.565494107901</v>
      </c>
      <c r="E23" s="444">
        <f t="shared" si="5"/>
        <v>38.935386260376418</v>
      </c>
      <c r="F23" s="444">
        <f t="shared" ca="1" si="6"/>
        <v>2171.5618080639006</v>
      </c>
      <c r="G23" s="444">
        <f t="shared" si="7"/>
        <v>0</v>
      </c>
      <c r="H23" s="444">
        <f t="shared" si="8"/>
        <v>0</v>
      </c>
      <c r="I23" s="444">
        <f t="shared" si="9"/>
        <v>0</v>
      </c>
      <c r="J23" s="444">
        <f t="shared" si="10"/>
        <v>1.3714369804653792E-2</v>
      </c>
      <c r="K23" s="444">
        <f t="shared" si="11"/>
        <v>0</v>
      </c>
      <c r="L23" s="444">
        <f t="shared" ca="1" si="12"/>
        <v>0</v>
      </c>
      <c r="M23" s="444">
        <f t="shared" si="13"/>
        <v>0</v>
      </c>
      <c r="N23" s="444">
        <f t="shared" ca="1" si="14"/>
        <v>0</v>
      </c>
      <c r="O23" s="444">
        <f t="shared" si="15"/>
        <v>0</v>
      </c>
      <c r="P23" s="445">
        <f t="shared" si="16"/>
        <v>0</v>
      </c>
      <c r="Q23" s="443">
        <f t="shared" ref="Q23:Q31" ca="1" si="17">SUM(B23:P23)</f>
        <v>24273.189104385423</v>
      </c>
    </row>
    <row r="24" spans="1:17">
      <c r="A24" s="443" t="s">
        <v>187</v>
      </c>
      <c r="B24" s="444">
        <f t="shared" ca="1" si="2"/>
        <v>285.46574700961071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285.46574700961071</v>
      </c>
    </row>
    <row r="25" spans="1:17">
      <c r="A25" s="443" t="s">
        <v>105</v>
      </c>
      <c r="B25" s="444">
        <f t="shared" ca="1" si="2"/>
        <v>1574.8977350435919</v>
      </c>
      <c r="C25" s="444">
        <f t="shared" ca="1" si="3"/>
        <v>54947.206643744707</v>
      </c>
      <c r="D25" s="444">
        <f t="shared" si="4"/>
        <v>9477.8401028284952</v>
      </c>
      <c r="E25" s="444">
        <f t="shared" si="5"/>
        <v>68.781332485742936</v>
      </c>
      <c r="F25" s="444">
        <f t="shared" si="6"/>
        <v>3944.2239102978092</v>
      </c>
      <c r="G25" s="444">
        <f t="shared" si="7"/>
        <v>0</v>
      </c>
      <c r="H25" s="444">
        <f t="shared" si="8"/>
        <v>0</v>
      </c>
      <c r="I25" s="444">
        <f t="shared" si="9"/>
        <v>0</v>
      </c>
      <c r="J25" s="444">
        <f t="shared" si="10"/>
        <v>750.13950274007698</v>
      </c>
      <c r="K25" s="444">
        <f t="shared" si="11"/>
        <v>0</v>
      </c>
      <c r="L25" s="444">
        <f t="shared" si="12"/>
        <v>0</v>
      </c>
      <c r="M25" s="444">
        <f t="shared" si="13"/>
        <v>0</v>
      </c>
      <c r="N25" s="444">
        <f t="shared" si="14"/>
        <v>0</v>
      </c>
      <c r="O25" s="444">
        <f t="shared" si="15"/>
        <v>0</v>
      </c>
      <c r="P25" s="445">
        <f t="shared" si="16"/>
        <v>0</v>
      </c>
      <c r="Q25" s="443">
        <f t="shared" ca="1" si="17"/>
        <v>70763.089227140415</v>
      </c>
    </row>
    <row r="26" spans="1:17">
      <c r="A26" s="443" t="s">
        <v>587</v>
      </c>
      <c r="B26" s="444">
        <f t="shared" ca="1" si="2"/>
        <v>1251.0724428116</v>
      </c>
      <c r="C26" s="444">
        <f t="shared" ca="1" si="3"/>
        <v>0</v>
      </c>
      <c r="D26" s="444">
        <f t="shared" si="4"/>
        <v>1734.9387179104201</v>
      </c>
      <c r="E26" s="444">
        <f t="shared" si="5"/>
        <v>36.078753315584756</v>
      </c>
      <c r="F26" s="444">
        <f t="shared" si="6"/>
        <v>435.85840365497631</v>
      </c>
      <c r="G26" s="444">
        <f t="shared" si="7"/>
        <v>0</v>
      </c>
      <c r="H26" s="444">
        <f t="shared" si="8"/>
        <v>0</v>
      </c>
      <c r="I26" s="444">
        <f t="shared" si="9"/>
        <v>0</v>
      </c>
      <c r="J26" s="444">
        <f t="shared" si="10"/>
        <v>4.4294923508240709</v>
      </c>
      <c r="K26" s="444">
        <f t="shared" si="11"/>
        <v>0</v>
      </c>
      <c r="L26" s="444">
        <f t="shared" si="12"/>
        <v>0</v>
      </c>
      <c r="M26" s="444">
        <f t="shared" si="13"/>
        <v>0</v>
      </c>
      <c r="N26" s="444">
        <f t="shared" si="14"/>
        <v>0</v>
      </c>
      <c r="O26" s="444">
        <f t="shared" si="15"/>
        <v>0</v>
      </c>
      <c r="P26" s="445">
        <f t="shared" si="16"/>
        <v>0</v>
      </c>
      <c r="Q26" s="443">
        <f t="shared" ca="1" si="17"/>
        <v>3462.3778100434056</v>
      </c>
    </row>
    <row r="27" spans="1:17" s="449" customFormat="1">
      <c r="A27" s="447" t="s">
        <v>536</v>
      </c>
      <c r="B27" s="730">
        <f t="shared" ca="1" si="2"/>
        <v>18.567622439086346</v>
      </c>
      <c r="C27" s="448">
        <f t="shared" ca="1" si="3"/>
        <v>0</v>
      </c>
      <c r="D27" s="448">
        <f t="shared" si="4"/>
        <v>31.949287126376817</v>
      </c>
      <c r="E27" s="448">
        <f t="shared" si="5"/>
        <v>30.686439572503893</v>
      </c>
      <c r="F27" s="448">
        <f t="shared" si="6"/>
        <v>0</v>
      </c>
      <c r="G27" s="448">
        <f t="shared" si="7"/>
        <v>16013.395784076449</v>
      </c>
      <c r="H27" s="448">
        <f t="shared" si="8"/>
        <v>3770.5467247360525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19865.145857950469</v>
      </c>
    </row>
    <row r="28" spans="1:17" ht="16.5" customHeight="1">
      <c r="A28" s="443" t="s">
        <v>526</v>
      </c>
      <c r="B28" s="444">
        <f t="shared" ca="1" si="2"/>
        <v>6.5078357677532939</v>
      </c>
      <c r="C28" s="444">
        <f t="shared" ca="1" si="3"/>
        <v>0</v>
      </c>
      <c r="D28" s="444">
        <f t="shared" si="4"/>
        <v>0</v>
      </c>
      <c r="E28" s="444">
        <f t="shared" si="5"/>
        <v>0</v>
      </c>
      <c r="F28" s="444">
        <f t="shared" si="6"/>
        <v>0</v>
      </c>
      <c r="G28" s="444">
        <f t="shared" si="7"/>
        <v>596.18187158755256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602.68970735530581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215.22164959589574</v>
      </c>
      <c r="C32" s="444">
        <f t="shared" ca="1" si="3"/>
        <v>0</v>
      </c>
      <c r="D32" s="444">
        <f t="shared" si="4"/>
        <v>711.28693469799998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926.50858429389575</v>
      </c>
    </row>
    <row r="33" spans="1:17" s="455" customFormat="1">
      <c r="A33" s="453" t="s">
        <v>530</v>
      </c>
      <c r="B33" s="454">
        <f ca="1">SUM(B22:B32)</f>
        <v>24064.137155705394</v>
      </c>
      <c r="C33" s="454">
        <f t="shared" ref="C33:Q33" ca="1" si="19">SUM(C22:C32)</f>
        <v>56769.463253977839</v>
      </c>
      <c r="D33" s="454">
        <f t="shared" ca="1" si="19"/>
        <v>35066.38631903864</v>
      </c>
      <c r="E33" s="454">
        <f t="shared" si="19"/>
        <v>630.54603279208118</v>
      </c>
      <c r="F33" s="454">
        <f t="shared" ca="1" si="19"/>
        <v>16874.82145459118</v>
      </c>
      <c r="G33" s="454">
        <f t="shared" si="19"/>
        <v>16609.577655664001</v>
      </c>
      <c r="H33" s="454">
        <f t="shared" si="19"/>
        <v>3770.5467247360525</v>
      </c>
      <c r="I33" s="454">
        <f t="shared" si="19"/>
        <v>0</v>
      </c>
      <c r="J33" s="454">
        <f t="shared" si="19"/>
        <v>824.62008099402885</v>
      </c>
      <c r="K33" s="454">
        <f t="shared" si="19"/>
        <v>0</v>
      </c>
      <c r="L33" s="454">
        <f t="shared" ca="1" si="19"/>
        <v>0</v>
      </c>
      <c r="M33" s="454">
        <f t="shared" si="19"/>
        <v>0</v>
      </c>
      <c r="N33" s="454">
        <f t="shared" ca="1" si="19"/>
        <v>0</v>
      </c>
      <c r="O33" s="454">
        <f t="shared" si="19"/>
        <v>0</v>
      </c>
      <c r="P33" s="454">
        <f t="shared" si="19"/>
        <v>0</v>
      </c>
      <c r="Q33" s="454">
        <f t="shared" ca="1" si="19"/>
        <v>154610.09867749919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10373.305693595164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12389.072333817563</v>
      </c>
      <c r="C8" s="979">
        <f>'SEAP template'!C76</f>
        <v>169599.92766618243</v>
      </c>
      <c r="D8" s="979">
        <f>'SEAP template'!D76</f>
        <v>194686.95454237401</v>
      </c>
      <c r="E8" s="979">
        <f>'SEAP template'!E76</f>
        <v>0</v>
      </c>
      <c r="F8" s="979">
        <f>'SEAP template'!F76</f>
        <v>4842.3721237230056</v>
      </c>
      <c r="G8" s="979">
        <f>'SEAP template'!G76</f>
        <v>0</v>
      </c>
      <c r="H8" s="979">
        <f>'SEAP template'!H76</f>
        <v>0</v>
      </c>
      <c r="I8" s="979">
        <f>'SEAP template'!I76</f>
        <v>14527.116371169019</v>
      </c>
      <c r="J8" s="979">
        <f>'SEAP template'!J76</f>
        <v>48.26284508694026</v>
      </c>
      <c r="K8" s="979">
        <f>'SEAP template'!K76</f>
        <v>0</v>
      </c>
      <c r="L8" s="979">
        <f>'SEAP template'!L76</f>
        <v>0</v>
      </c>
      <c r="M8" s="979">
        <f>'SEAP template'!M76</f>
        <v>0</v>
      </c>
      <c r="N8" s="979">
        <f>'SEAP template'!N76</f>
        <v>0</v>
      </c>
      <c r="O8" s="979">
        <f>'SEAP template'!O76</f>
        <v>0</v>
      </c>
      <c r="P8" s="980">
        <f>'SEAP template'!Q76</f>
        <v>40619.678174593595</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22762.378027412728</v>
      </c>
      <c r="C10" s="981">
        <f>SUM(C4:C9)</f>
        <v>169599.92766618243</v>
      </c>
      <c r="D10" s="981">
        <f t="shared" ref="D10:H10" si="0">SUM(D8:D9)</f>
        <v>194686.95454237401</v>
      </c>
      <c r="E10" s="981">
        <f t="shared" si="0"/>
        <v>0</v>
      </c>
      <c r="F10" s="981">
        <f t="shared" si="0"/>
        <v>4842.3721237230056</v>
      </c>
      <c r="G10" s="981">
        <f t="shared" si="0"/>
        <v>0</v>
      </c>
      <c r="H10" s="981">
        <f t="shared" si="0"/>
        <v>0</v>
      </c>
      <c r="I10" s="981">
        <f>SUM(I8:I9)</f>
        <v>14527.116371169019</v>
      </c>
      <c r="J10" s="981">
        <f>SUM(J8:J9)</f>
        <v>48.26284508694026</v>
      </c>
      <c r="K10" s="981">
        <f t="shared" ref="K10:L10" si="1">SUM(K8:K9)</f>
        <v>0</v>
      </c>
      <c r="L10" s="981">
        <f t="shared" si="1"/>
        <v>0</v>
      </c>
      <c r="M10" s="981">
        <f>SUM(M8:M9)</f>
        <v>0</v>
      </c>
      <c r="N10" s="981">
        <f>SUM(N8:N9)</f>
        <v>0</v>
      </c>
      <c r="O10" s="981">
        <f>SUM(O8:O9)</f>
        <v>0</v>
      </c>
      <c r="P10" s="981">
        <f>SUM(P8:P9)</f>
        <v>40619.678174593595</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0.2111623585927212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17314.784809039571</v>
      </c>
      <c r="C17" s="982">
        <f>'SEAP template'!C87</f>
        <v>237030.3580481032</v>
      </c>
      <c r="D17" s="980">
        <f>'SEAP template'!D87</f>
        <v>272091.61688619741</v>
      </c>
      <c r="E17" s="980">
        <f>'SEAP template'!E87</f>
        <v>0</v>
      </c>
      <c r="F17" s="980">
        <f>'SEAP template'!F87</f>
        <v>6767.6278762769944</v>
      </c>
      <c r="G17" s="980">
        <f>'SEAP template'!G87</f>
        <v>0</v>
      </c>
      <c r="H17" s="980">
        <f>'SEAP template'!H87</f>
        <v>0</v>
      </c>
      <c r="I17" s="980">
        <f>'SEAP template'!I87</f>
        <v>20302.883628830983</v>
      </c>
      <c r="J17" s="980">
        <f>'SEAP template'!J87</f>
        <v>67.451440627345463</v>
      </c>
      <c r="K17" s="980">
        <f>'SEAP template'!K87</f>
        <v>0</v>
      </c>
      <c r="L17" s="980">
        <f>'SEAP template'!L87</f>
        <v>0</v>
      </c>
      <c r="M17" s="980">
        <f>'SEAP template'!M87</f>
        <v>0</v>
      </c>
      <c r="N17" s="980">
        <f>'SEAP template'!N87</f>
        <v>0</v>
      </c>
      <c r="O17" s="980">
        <f>'SEAP template'!O87</f>
        <v>0</v>
      </c>
      <c r="P17" s="980">
        <f>'SEAP template'!Q87</f>
        <v>56769.463253977839</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17314.784809039571</v>
      </c>
      <c r="C20" s="981">
        <f>SUM(C17:C19)</f>
        <v>237030.3580481032</v>
      </c>
      <c r="D20" s="981">
        <f t="shared" ref="D20:H20" si="2">SUM(D17:D19)</f>
        <v>272091.61688619741</v>
      </c>
      <c r="E20" s="981">
        <f t="shared" si="2"/>
        <v>0</v>
      </c>
      <c r="F20" s="981">
        <f t="shared" si="2"/>
        <v>6767.6278762769944</v>
      </c>
      <c r="G20" s="981">
        <f t="shared" si="2"/>
        <v>0</v>
      </c>
      <c r="H20" s="981">
        <f t="shared" si="2"/>
        <v>0</v>
      </c>
      <c r="I20" s="981">
        <f>SUM(I17:I19)</f>
        <v>20302.883628830983</v>
      </c>
      <c r="J20" s="981">
        <f>SUM(J17:J19)</f>
        <v>67.451440627345463</v>
      </c>
      <c r="K20" s="981">
        <f t="shared" ref="K20:L20" si="3">SUM(K17:K19)</f>
        <v>0</v>
      </c>
      <c r="L20" s="981">
        <f t="shared" si="3"/>
        <v>0</v>
      </c>
      <c r="M20" s="981">
        <f>SUM(M17:M19)</f>
        <v>0</v>
      </c>
      <c r="N20" s="981">
        <f>SUM(N17:N19)</f>
        <v>0</v>
      </c>
      <c r="O20" s="981">
        <f>SUM(O17:O19)</f>
        <v>0</v>
      </c>
      <c r="P20" s="981">
        <f>SUM(P17:P19)</f>
        <v>56769.463253977839</v>
      </c>
    </row>
    <row r="21" spans="1:16">
      <c r="B21" s="840"/>
    </row>
    <row r="22" spans="1:16">
      <c r="A22" s="456" t="s">
        <v>754</v>
      </c>
      <c r="B22" s="736" t="s">
        <v>752</v>
      </c>
      <c r="C22" s="736">
        <f ca="1">'EF ele_warmte'!B22</f>
        <v>0.22319853493669176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0.2111623585927212</v>
      </c>
      <c r="C17" s="492">
        <f ca="1">'EF ele_warmte'!B22</f>
        <v>0.22319853493669176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2022-07-26T10:06:53Z</dcterms:modified>
</cp:coreProperties>
</file>