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570C69A1-AFFF-427E-8E8B-A140A7B58D9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6"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55" i="18"/>
  <c r="V55" i="18"/>
  <c r="U55" i="18"/>
  <c r="T55" i="18"/>
  <c r="S55" i="18"/>
  <c r="R55" i="18"/>
  <c r="Q55" i="18"/>
  <c r="P55" i="18"/>
  <c r="O55" i="18"/>
  <c r="N55" i="18"/>
  <c r="M55" i="18"/>
  <c r="W54" i="18"/>
  <c r="V54" i="18"/>
  <c r="U54" i="18"/>
  <c r="T54" i="18"/>
  <c r="S54" i="18"/>
  <c r="R54" i="18"/>
  <c r="Q54" i="18"/>
  <c r="P54" i="18"/>
  <c r="O54" i="18"/>
  <c r="N54" i="18"/>
  <c r="M54" i="18"/>
  <c r="W53" i="18"/>
  <c r="V53" i="18"/>
  <c r="U53" i="18"/>
  <c r="T53" i="18"/>
  <c r="S53" i="18"/>
  <c r="R53" i="18"/>
  <c r="Q53" i="18"/>
  <c r="P53" i="18"/>
  <c r="O53" i="18"/>
  <c r="N53" i="18"/>
  <c r="M53" i="18"/>
  <c r="W52" i="18"/>
  <c r="H9" i="18"/>
  <c r="M77" i="14"/>
  <c r="M9" i="59"/>
  <c r="V52" i="18"/>
  <c r="U52" i="18"/>
  <c r="T52" i="18"/>
  <c r="I9" i="18"/>
  <c r="I77" i="14"/>
  <c r="I9" i="59"/>
  <c r="S52" i="18"/>
  <c r="E9" i="18"/>
  <c r="F77" i="14"/>
  <c r="F9" i="59"/>
  <c r="R52" i="18"/>
  <c r="Q52" i="18"/>
  <c r="P52" i="18"/>
  <c r="O52" i="18"/>
  <c r="N52" i="18"/>
  <c r="B9" i="18"/>
  <c r="M52" i="18"/>
  <c r="W48" i="18"/>
  <c r="V48" i="18"/>
  <c r="U48" i="18"/>
  <c r="T48" i="18"/>
  <c r="L6" i="17"/>
  <c r="L5" i="17"/>
  <c r="S48" i="18"/>
  <c r="F6" i="17"/>
  <c r="R48" i="18"/>
  <c r="Q48" i="18"/>
  <c r="P48" i="18"/>
  <c r="O48" i="18"/>
  <c r="N48" i="18"/>
  <c r="M48" i="18"/>
  <c r="W47" i="18"/>
  <c r="V47" i="18"/>
  <c r="U47" i="18"/>
  <c r="T47" i="18"/>
  <c r="S47" i="18"/>
  <c r="R47" i="18"/>
  <c r="Q47" i="18"/>
  <c r="P47" i="18"/>
  <c r="O47" i="18"/>
  <c r="C13" i="15"/>
  <c r="N47" i="18"/>
  <c r="B13" i="15"/>
  <c r="M47" i="18"/>
  <c r="W46" i="18"/>
  <c r="V46" i="18"/>
  <c r="U46" i="18"/>
  <c r="T46" i="18"/>
  <c r="S46" i="18"/>
  <c r="F16" i="16"/>
  <c r="R46" i="18"/>
  <c r="Q46" i="18"/>
  <c r="P46" i="18"/>
  <c r="O46" i="18"/>
  <c r="N46" i="18"/>
  <c r="W45" i="18"/>
  <c r="V45" i="18"/>
  <c r="U45" i="18"/>
  <c r="T45" i="18"/>
  <c r="S45" i="18"/>
  <c r="R45" i="18"/>
  <c r="Q45" i="18"/>
  <c r="P45" i="18"/>
  <c r="O45" i="18"/>
  <c r="B17" i="18"/>
  <c r="N45" i="18"/>
  <c r="B8" i="18"/>
  <c r="M45"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61" i="18"/>
  <c r="B65" i="18"/>
  <c r="B16" i="16"/>
  <c r="K9" i="14"/>
  <c r="H77" i="14"/>
  <c r="J11" i="48"/>
  <c r="J29" i="48"/>
  <c r="M9" i="14"/>
  <c r="L11" i="48"/>
  <c r="O19" i="14"/>
  <c r="O22" i="14"/>
  <c r="N10" i="48"/>
  <c r="N28" i="48"/>
  <c r="J19" i="14"/>
  <c r="J22" i="14"/>
  <c r="I10" i="48"/>
  <c r="I28" i="48"/>
  <c r="J19" i="19"/>
  <c r="K39" i="14"/>
  <c r="N19" i="19"/>
  <c r="O39" i="14"/>
  <c r="C61" i="18"/>
  <c r="I64"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64" i="18"/>
  <c r="E8" i="18"/>
  <c r="F76" i="14"/>
  <c r="F7" i="48"/>
  <c r="F25" i="48"/>
  <c r="D64" i="18"/>
  <c r="O9" i="18"/>
  <c r="M29" i="48"/>
  <c r="F12" i="17"/>
  <c r="G54" i="14"/>
  <c r="G56" i="14"/>
  <c r="C65" i="18"/>
  <c r="C64" i="18"/>
  <c r="B10" i="18"/>
  <c r="E65" i="18"/>
  <c r="E17" i="18"/>
  <c r="F87" i="14"/>
  <c r="G65" i="18"/>
  <c r="D7" i="48"/>
  <c r="D25" i="48"/>
  <c r="H64" i="18"/>
  <c r="G64" i="18"/>
  <c r="D65" i="18"/>
  <c r="L28" i="48"/>
  <c r="H65" i="18"/>
  <c r="I65" i="18"/>
  <c r="H17" i="18"/>
  <c r="F65" i="18"/>
  <c r="F64" i="18"/>
  <c r="H10" i="18"/>
  <c r="M78" i="14"/>
  <c r="B64"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<sst xmlns="http://schemas.openxmlformats.org/spreadsheetml/2006/main" count="2490" uniqueCount="893">
  <si>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</si>
  <si>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</si>
  <si>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</si>
  <si>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</si>
  <si>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</si>
  <si>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</si>
  <si>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</si>
  <si>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</si>
  <si>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</si>
  <si>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</si>
  <si>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</si>
  <si>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</si>
  <si>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</si>
  <si>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</si>
  <si>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</si>
  <si>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</si>
  <si>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</si>
  <si>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</si>
  <si>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</si>
  <si>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</si>
  <si>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</si>
  <si>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</si>
  <si>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</si>
  <si>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</si>
  <si>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</si>
  <si>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</si>
  <si>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</si>
  <si>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</si>
  <si>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</si>
  <si>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</si>
  <si>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</si>
  <si>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</si>
  <si>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</si>
  <si>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</si>
  <si>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</si>
  <si>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</si>
  <si>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</si>
  <si>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</si>
  <si>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</si>
  <si>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</si>
  <si>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</si>
  <si>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</si>
  <si>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</si>
  <si>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</si>
  <si>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</si>
  <si>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</si>
  <si>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</si>
  <si>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</si>
  <si>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</si>
  <si>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</si>
  <si>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</si>
  <si>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</si>
  <si>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</si>
  <si>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</si>
  <si>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</si>
  <si>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</si>
  <si>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</si>
  <si>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</si>
  <si>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</si>
  <si>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</si>
  <si>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</si>
  <si>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</si>
  <si>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</si>
  <si>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</si>
  <si>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</si>
  <si>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</si>
  <si>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</si>
  <si>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</si>
  <si>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</si>
  <si>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</si>
  <si>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</si>
  <si>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</si>
  <si>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</si>
  <si>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</si>
  <si>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</si>
  <si>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</si>
  <si>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</si>
  <si>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</si>
  <si>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</si>
  <si>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</si>
  <si>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</si>
  <si>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</si>
  <si>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</si>
  <si>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</si>
  <si>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</si>
  <si>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</si>
  <si>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</si>
  <si>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</si>
  <si>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</si>
  <si>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</si>
  <si>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</si>
  <si>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</si>
  <si>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</si>
  <si>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</si>
  <si>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</si>
  <si>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</si>
  <si>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</si>
  <si>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</si>
  <si>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</si>
  <si>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</si>
  <si>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</si>
  <si>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</si>
  <si>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</si>
  <si>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</si>
  <si>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</si>
  <si>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</si>
  <si>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</si>
  <si>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</si>
  <si>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</si>
  <si>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</si>
  <si>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</si>
  <si>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</si>
  <si>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</si>
  <si>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</si>
  <si>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</si>
  <si>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</si>
  <si>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</si>
  <si>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</si>
  <si>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</si>
  <si>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</si>
  <si>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</si>
  <si>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</si>
  <si>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</si>
  <si>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</si>
  <si>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</si>
  <si>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</si>
  <si>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</si>
  <si>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</si>
  <si>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</si>
  <si>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</si>
  <si>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</si>
  <si>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</si>
  <si>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</si>
  <si>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</si>
  <si>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</si>
  <si>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</si>
  <si>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</si>
  <si>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</si>
  <si>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</si>
  <si>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</si>
  <si>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</si>
  <si>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</si>
  <si>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</si>
  <si>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</si>
  <si>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</si>
  <si>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</si>
  <si>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</si>
  <si>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</si>
  <si>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</si>
  <si>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</si>
  <si>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</si>
  <si>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</si>
  <si>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</si>
  <si>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</si>
  <si>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</si>
  <si>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</si>
  <si>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</si>
  <si>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</si>
  <si>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</si>
  <si>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</si>
  <si>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</si>
  <si>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</si>
  <si>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</si>
  <si>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</si>
  <si>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</si>
  <si>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</si>
  <si>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</si>
  <si>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</si>
  <si>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</si>
  <si>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</si>
  <si>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</si>
  <si>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</si>
  <si>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</si>
  <si>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</si>
  <si>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</si>
  <si>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</si>
  <si>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</si>
  <si>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</si>
  <si>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</si>
  <si>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</si>
  <si>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</si>
  <si>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</si>
  <si>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</si>
  <si>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</si>
  <si>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</si>
  <si>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</si>
  <si>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</si>
  <si>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</si>
  <si>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</si>
  <si>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</si>
  <si>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</si>
  <si>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</si>
  <si>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</si>
  <si>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</si>
  <si>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</si>
  <si>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</si>
  <si>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</si>
  <si>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</si>
  <si>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</si>
  <si>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</si>
  <si>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</si>
  <si>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</si>
  <si>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</si>
  <si>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</si>
  <si>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</si>
  <si>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</si>
  <si>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</si>
  <si>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</si>
  <si>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</si>
  <si>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</si>
  <si>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</si>
  <si>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</si>
  <si>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</si>
  <si>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</si>
  <si>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</si>
  <si>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</si>
  <si>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</si>
  <si>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</si>
  <si>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</si>
  <si>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</si>
  <si>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</si>
  <si>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</si>
  <si>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</si>
  <si>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</si>
  <si>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</si>
  <si>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</si>
  <si>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</si>
  <si>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</si>
  <si>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</si>
  <si>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</si>
  <si>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</si>
  <si>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</si>
  <si>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</si>
  <si>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</si>
  <si>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</si>
  <si>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</si>
  <si>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</si>
  <si>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</si>
  <si>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</si>
  <si>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</si>
  <si>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</si>
  <si>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</si>
  <si>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</si>
  <si>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</si>
  <si>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</si>
  <si>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</si>
  <si>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</si>
  <si>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</si>
  <si>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</si>
  <si>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</si>
  <si>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</si>
  <si>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</si>
  <si>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</si>
  <si>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</si>
  <si>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</si>
  <si>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</si>
  <si>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</si>
  <si>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</si>
  <si>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</si>
  <si>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</si>
  <si>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</si>
  <si>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</si>
  <si>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</si>
  <si>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</si>
  <si>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</si>
  <si>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</si>
  <si>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</si>
  <si>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</si>
  <si>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</si>
  <si>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</si>
  <si>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</si>
  <si>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</si>
  <si>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</si>
  <si>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</si>
  <si>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</si>
  <si>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</si>
  <si>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</si>
  <si>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</si>
  <si>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</si>
  <si>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</si>
  <si>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</si>
  <si>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</si>
  <si>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</si>
  <si>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</si>
  <si>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</si>
  <si>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</si>
  <si>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</si>
  <si>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</si>
  <si>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</si>
  <si>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</si>
  <si>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</si>
  <si>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</si>
  <si>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</si>
  <si>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</si>
  <si>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</si>
  <si>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</si>
  <si>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</si>
  <si>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</si>
  <si>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</si>
  <si>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</si>
  <si>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</si>
  <si>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</si>
  <si>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</si>
  <si>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</si>
  <si>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</si>
  <si>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</si>
  <si>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</si>
  <si>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</si>
  <si>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</si>
  <si>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</si>
  <si>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</si>
  <si>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</si>
  <si>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</si>
  <si>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</si>
  <si>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</si>
  <si>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</si>
  <si>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</si>
  <si>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</si>
  <si>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</si>
  <si>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</si>
  <si>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</si>
  <si>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</si>
  <si>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</si>
  <si>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</si>
  <si>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</si>
  <si>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</si>
  <si>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</si>
  <si>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</si>
  <si>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</si>
  <si>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</si>
  <si>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</si>
  <si>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</si>
  <si>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</si>
  <si>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</si>
  <si>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</si>
  <si>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</si>
  <si>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</si>
  <si>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</si>
  <si>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</si>
  <si>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</si>
  <si>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</si>
  <si>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</si>
  <si>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</si>
  <si>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</si>
  <si>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</si>
  <si>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</si>
  <si>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</si>
  <si>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</si>
  <si>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</si>
  <si>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</si>
  <si>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</si>
  <si>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</si>
  <si>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</si>
  <si>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</si>
  <si>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</si>
  <si>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</si>
  <si>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</si>
  <si>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</si>
  <si>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</si>
  <si>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</si>
  <si>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</si>
  <si>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</si>
  <si>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</si>
  <si>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</si>
  <si>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</si>
  <si>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</si>
  <si>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</si>
  <si>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</si>
  <si>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</si>
  <si>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</si>
  <si>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</si>
  <si>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</si>
  <si>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</si>
  <si>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</si>
  <si>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</si>
  <si>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</si>
  <si>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</si>
  <si>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</si>
  <si>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</si>
  <si>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</si>
  <si>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</si>
  <si>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</si>
  <si>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</si>
  <si>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</si>
  <si>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</si>
  <si>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</si>
  <si>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</si>
  <si>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</si>
  <si>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</si>
  <si>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</si>
  <si>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</si>
  <si>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</si>
  <si>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</si>
  <si>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</si>
  <si>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</si>
  <si>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</si>
  <si>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</si>
  <si>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</si>
  <si>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</si>
  <si>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</si>
  <si>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</si>
  <si>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</si>
  <si>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</si>
  <si>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</si>
  <si>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</si>
  <si>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</si>
  <si>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</si>
  <si>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</si>
  <si>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</si>
  <si>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</si>
  <si>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</si>
  <si>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</si>
  <si>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</si>
  <si>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</si>
  <si>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</si>
  <si>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</si>
  <si>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</si>
  <si>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</si>
  <si>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</si>
  <si>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</si>
  <si>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</si>
  <si>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</si>
  <si>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</si>
  <si>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</si>
  <si>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</si>
  <si>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</si>
  <si>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</si>
  <si>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</si>
  <si>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</si>
  <si>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</si>
  <si>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</si>
  <si>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</si>
  <si>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</si>
  <si>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</si>
  <si>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</si>
  <si>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</si>
  <si>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</si>
  <si>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</si>
  <si>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</si>
  <si>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</si>
  <si>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</si>
  <si>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</si>
  <si>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</si>
  <si>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</si>
  <si>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</si>
  <si>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</si>
  <si>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</si>
  <si>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</si>
  <si>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</si>
  <si>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</si>
  <si>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</si>
  <si>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</si>
  <si>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</si>
  <si>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</si>
  <si>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</si>
  <si>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</si>
  <si>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</si>
  <si>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</si>
  <si>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</si>
  <si>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</si>
  <si>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</si>
  <si>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</si>
  <si>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</si>
  <si>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</si>
  <si>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</si>
  <si>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</si>
  <si>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</si>
  <si>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</si>
  <si>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</si>
  <si>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</si>
  <si>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</si>
  <si>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</si>
  <si>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</si>
  <si>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</si>
  <si>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</si>
  <si>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</si>
  <si>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</si>
  <si>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</si>
  <si>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</si>
  <si>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</si>
  <si>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</si>
  <si>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</si>
  <si>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</si>
  <si>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</si>
  <si>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</si>
  <si>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</si>
  <si>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</si>
  <si>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</si>
  <si>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</si>
  <si>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</si>
  <si>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</si>
  <si>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</si>
  <si>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</si>
  <si>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</si>
  <si>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</si>
  <si>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</si>
  <si>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</si>
  <si>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</si>
  <si>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</si>
  <si>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</si>
  <si>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</si>
  <si>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</si>
  <si>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</si>
  <si>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</si>
  <si>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</si>
  <si>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</si>
  <si>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</si>
  <si>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</si>
  <si>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</si>
  <si>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</si>
  <si>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</si>
  <si>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</si>
  <si>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</si>
  <si>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</si>
  <si>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</si>
  <si>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</si>
  <si>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</si>
  <si>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</si>
  <si>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</si>
  <si>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</si>
  <si>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</si>
  <si>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</si>
  <si>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</si>
  <si>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</si>
  <si>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</si>
  <si>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</si>
  <si>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</si>
  <si>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</si>
  <si>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</si>
  <si>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</si>
  <si>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</si>
  <si>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</si>
  <si>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</si>
  <si>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</si>
  <si>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</si>
  <si>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</si>
  <si>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</si>
  <si>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</si>
  <si>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</si>
  <si>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</si>
  <si>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</si>
  <si>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</si>
  <si>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</si>
  <si>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</si>
  <si>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</si>
  <si>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</si>
  <si>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</si>
  <si>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</si>
  <si>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</si>
  <si>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</si>
  <si>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</si>
  <si>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</si>
  <si>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</si>
  <si>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</si>
  <si>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</si>
  <si>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</si>
  <si>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</si>
  <si>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</si>
  <si>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</si>
  <si>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</si>
  <si>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</si>
  <si>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</si>
  <si>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</si>
  <si>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</si>
  <si>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</si>
  <si>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</si>
  <si>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</si>
  <si>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</si>
  <si>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</si>
  <si>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</si>
  <si>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</si>
  <si>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</si>
  <si>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</si>
  <si>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</si>
  <si>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</si>
  <si>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</si>
  <si>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</si>
  <si>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</si>
  <si>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</si>
  <si>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</si>
  <si>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</si>
  <si>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</si>
  <si>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</si>
  <si>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</si>
  <si>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</si>
  <si>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</si>
  <si>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</si>
  <si>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</si>
  <si>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</si>
  <si>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</si>
  <si>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</si>
  <si>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</si>
  <si>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</si>
  <si>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</si>
  <si>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</si>
  <si>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</si>
  <si>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</si>
  <si>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</si>
  <si>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</si>
  <si>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</si>
  <si>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</si>
  <si>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</si>
  <si>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</si>
  <si>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</si>
  <si>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</si>
  <si>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</si>
  <si>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</si>
  <si>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</si>
  <si>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</si>
  <si>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</si>
  <si>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</si>
  <si>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</si>
  <si>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</si>
  <si>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</si>
  <si>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</si>
  <si>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</si>
  <si>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</si>
  <si>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</si>
  <si>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</si>
  <si>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</si>
  <si>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</si>
  <si>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</si>
  <si>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</si>
  <si>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</si>
  <si>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</si>
  <si>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</si>
  <si>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</si>
  <si>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</si>
  <si>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</si>
  <si>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</si>
  <si>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</si>
  <si>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</si>
  <si>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</si>
  <si>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</si>
  <si>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</si>
  <si>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</si>
  <si>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</si>
  <si>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</si>
  <si>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</si>
  <si>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</si>
  <si>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</si>
  <si>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</si>
  <si>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</si>
  <si>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</si>
  <si>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</si>
  <si>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</si>
  <si>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</si>
  <si>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</si>
  <si>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</si>
  <si>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</si>
  <si>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</si>
  <si>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</si>
  <si>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</si>
  <si>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</si>
  <si>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</si>
  <si>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</si>
  <si>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</si>
  <si>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</si>
  <si>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</si>
  <si>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</si>
  <si>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</si>
  <si>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</si>
  <si>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</si>
  <si>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</si>
  <si>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</si>
  <si>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</si>
  <si>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</si>
  <si>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</si>
  <si>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</si>
  <si>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</si>
  <si>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</si>
  <si>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</si>
  <si>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</si>
  <si>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</si>
  <si>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</si>
  <si>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</si>
  <si>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</si>
  <si>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</si>
  <si>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</si>
  <si>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</si>
  <si>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</si>
  <si>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</si>
  <si>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</si>
  <si>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</si>
  <si>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</si>
  <si>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</si>
  <si>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</si>
  <si>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</si>
  <si>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</si>
  <si>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</si>
  <si>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</si>
  <si>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</si>
  <si>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</si>
  <si>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</si>
  <si>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</si>
  <si>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</si>
  <si>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</si>
  <si>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</si>
  <si>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</si>
  <si>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</si>
  <si>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</si>
  <si>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</si>
  <si>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</si>
  <si>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</si>
  <si>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</si>
  <si>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</si>
  <si>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</si>
  <si>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</si>
  <si>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</si>
  <si>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</si>
  <si>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</si>
  <si>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</si>
  <si>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</si>
  <si>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</si>
  <si>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</si>
  <si>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</si>
  <si>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</si>
  <si>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</si>
  <si>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</si>
  <si>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</si>
  <si>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</si>
  <si>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</si>
  <si>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</si>
  <si>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</si>
  <si>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</si>
  <si>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</si>
  <si>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</si>
  <si>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</si>
  <si>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</si>
  <si>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</si>
  <si>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</si>
  <si>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</si>
  <si>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</si>
  <si>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</si>
  <si>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</si>
  <si>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</si>
  <si>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</si>
  <si>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</si>
  <si>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</si>
  <si>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</si>
  <si>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</si>
  <si>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</si>
  <si>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</si>
  <si>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</si>
  <si>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</si>
  <si>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</si>
  <si>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</si>
  <si>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</si>
  <si>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</si>
  <si>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</si>
  <si>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</si>
  <si>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</si>
  <si>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</si>
  <si>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</si>
  <si>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</si>
  <si>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</si>
  <si>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</si>
  <si>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</si>
  <si>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</si>
  <si>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</si>
  <si>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</si>
  <si>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</si>
  <si>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</si>
  <si>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</si>
  <si>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</si>
  <si>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</si>
  <si>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</si>
  <si>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</si>
  <si>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</si>
  <si>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</si>
  <si>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</si>
  <si>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</si>
  <si>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</si>
  <si>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</si>
  <si>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</si>
  <si>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</si>
  <si>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</si>
  <si>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</si>
  <si>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</si>
  <si>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</si>
  <si>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</si>
  <si>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</si>
  <si>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</si>
  <si>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</si>
  <si>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</si>
  <si>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</si>
  <si>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</si>
  <si>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</si>
  <si>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</si>
  <si>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</si>
  <si>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</si>
  <si>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</si>
  <si>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</si>
  <si>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</si>
  <si>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</si>
  <si>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</si>
  <si>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</si>
  <si>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</si>
  <si>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</si>
  <si>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</si>
  <si>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</si>
  <si>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</si>
  <si>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</si>
  <si>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</si>
  <si>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</si>
  <si>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</si>
  <si>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</si>
  <si>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</si>
  <si>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</si>
  <si>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</si>
  <si>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</si>
  <si>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</si>
  <si>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</si>
  <si>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</si>
  <si>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</si>
  <si>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</si>
  <si>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</si>
  <si>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</si>
  <si>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</si>
  <si>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</si>
  <si>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</si>
  <si>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</si>
  <si>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</si>
  <si>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</si>
  <si>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</si>
  <si>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</si>
  <si>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</si>
  <si>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</si>
  <si>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</si>
  <si>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</si>
  <si>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</si>
  <si>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</si>
  <si>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</si>
  <si>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</si>
  <si>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</si>
  <si>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</si>
  <si>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</si>
  <si>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</si>
  <si>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</si>
  <si>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</si>
  <si>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</si>
  <si>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</si>
  <si>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</si>
  <si>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</si>
  <si>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</si>
  <si>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</si>
  <si>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</si>
  <si>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</si>
  <si>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</si>
  <si>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</si>
  <si>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</si>
  <si>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</si>
  <si>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</si>
  <si>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</si>
  <si>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</si>
  <si>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</si>
  <si>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</si>
  <si>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</si>
  <si>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</si>
  <si>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</si>
  <si>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</si>
  <si>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</si>
  <si>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</si>
  <si>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</si>
  <si>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</si>
  <si>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</si>
  <si>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</si>
  <si>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</si>
  <si>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</si>
  <si>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</si>
  <si>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</si>
  <si>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</si>
  <si>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</si>
  <si>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</si>
  <si>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</si>
  <si>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</si>
  <si>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</si>
  <si>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</si>
  <si>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</si>
  <si>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</si>
  <si>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12029</t>
  </si>
  <si>
    <t>PUTTE</t>
  </si>
  <si>
    <t>vloeibaar gas (MWh)</t>
  </si>
  <si>
    <t>interne verbrandingsmotor</t>
  </si>
  <si>
    <t>WKK interne verbrandinsgmotor (gas)</t>
  </si>
  <si>
    <t>IVERLEK</t>
  </si>
  <si>
    <t>WKK interne verbrandinsgmotor (vloeibaar)</t>
  </si>
  <si>
    <t>brandstofcel</t>
  </si>
  <si>
    <t>andere industrie</t>
  </si>
  <si>
    <t>Interne verbrandingsmotor</t>
  </si>
  <si>
    <t>IVERLEK (via EANDIS)</t>
  </si>
  <si>
    <t>Brandstofcel</t>
  </si>
  <si>
    <t>gezondheidszorg en maatschappelijke dienstverlening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</si>
</sst>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73E5FD2-E533-45E0-B42F-FB55C302503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148051.7177474752</c:v>
                </c:pt>
                <c:pt idx="1">
                  <c:v>40587.735172440705</c:v>
                </c:pt>
                <c:pt idx="2">
                  <c:v>986.57500000000005</c:v>
                </c:pt>
                <c:pt idx="3">
                  <c:v>107974.51885074562</c:v>
                </c:pt>
                <c:pt idx="4">
                  <c:v>11845.625890329555</c:v>
                </c:pt>
                <c:pt idx="5">
                  <c:v>100957.41966644114</c:v>
                </c:pt>
                <c:pt idx="6">
                  <c:v>1514.3001619902543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148051.7177474752</c:v>
                </c:pt>
                <c:pt idx="1">
                  <c:v>40587.735172440705</c:v>
                </c:pt>
                <c:pt idx="2">
                  <c:v>986.57500000000005</c:v>
                </c:pt>
                <c:pt idx="3">
                  <c:v>107974.51885074562</c:v>
                </c:pt>
                <c:pt idx="4">
                  <c:v>11845.625890329555</c:v>
                </c:pt>
                <c:pt idx="5">
                  <c:v>100957.41966644114</c:v>
                </c:pt>
                <c:pt idx="6">
                  <c:v>1514.3001619902543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30619.62216781393</c:v>
                </c:pt>
                <c:pt idx="1">
                  <c:v>8228.9075871026726</c:v>
                </c:pt>
                <c:pt idx="2">
                  <c:v>202.7597034663238</c:v>
                </c:pt>
                <c:pt idx="3">
                  <c:v>23973.402560855029</c:v>
                </c:pt>
                <c:pt idx="4">
                  <c:v>2462.4885479137711</c:v>
                </c:pt>
                <c:pt idx="5">
                  <c:v>25053.427576812537</c:v>
                </c:pt>
                <c:pt idx="6">
                  <c:v>381.75159592790988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30619.62216781393</c:v>
                </c:pt>
                <c:pt idx="1">
                  <c:v>8228.9075871026726</c:v>
                </c:pt>
                <c:pt idx="2">
                  <c:v>202.7597034663238</c:v>
                </c:pt>
                <c:pt idx="3">
                  <c:v>23973.402560855029</c:v>
                </c:pt>
                <c:pt idx="4">
                  <c:v>2462.4885479137711</c:v>
                </c:pt>
                <c:pt idx="5">
                  <c:v>25053.427576812537</c:v>
                </c:pt>
                <c:pt idx="6">
                  <c:v>381.75159592790988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12029</v>
      </c>
      <c r="B6" s="382"/>
      <c r="C6" s="383"/>
    </row>
    <row r="7" spans="1:7" s="380" customFormat="1" ht="15.75" customHeight="1">
      <c r="A7" s="384" t="str">
        <f>txtMunicipality</f>
        <v>PUTTE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0.20551879326591874</v>
      </c>
      <c r="C17" s="492">
        <f ca="1">'EF ele_warmte'!B22</f>
        <v>0.21887453253608452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0.20551879326591874</v>
      </c>
      <c r="C29" s="493">
        <f ca="1">'EF ele_warmte'!B22</f>
        <v>0.21887453253608452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7343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1518.99</v>
      </c>
      <c r="C14" s="324"/>
      <c r="D14" s="324"/>
      <c r="E14" s="324"/>
      <c r="F14" s="324"/>
    </row>
    <row r="15" spans="1:6">
      <c r="A15" s="1257" t="s">
        <v>177</v>
      </c>
      <c r="B15" s="1258">
        <v>4</v>
      </c>
      <c r="C15" s="324"/>
      <c r="D15" s="324"/>
      <c r="E15" s="324"/>
      <c r="F15" s="324"/>
    </row>
    <row r="16" spans="1:6">
      <c r="A16" s="1257" t="s">
        <v>6</v>
      </c>
      <c r="B16" s="1258">
        <v>253</v>
      </c>
      <c r="C16" s="324"/>
      <c r="D16" s="324"/>
      <c r="E16" s="324"/>
      <c r="F16" s="324"/>
    </row>
    <row r="17" spans="1:6">
      <c r="A17" s="1257" t="s">
        <v>7</v>
      </c>
      <c r="B17" s="1258">
        <v>276</v>
      </c>
      <c r="C17" s="324"/>
      <c r="D17" s="324"/>
      <c r="E17" s="324"/>
      <c r="F17" s="324"/>
    </row>
    <row r="18" spans="1:6">
      <c r="A18" s="1257" t="s">
        <v>8</v>
      </c>
      <c r="B18" s="1258">
        <v>583</v>
      </c>
      <c r="C18" s="324"/>
      <c r="D18" s="324"/>
      <c r="E18" s="324"/>
      <c r="F18" s="324"/>
    </row>
    <row r="19" spans="1:6">
      <c r="A19" s="1257" t="s">
        <v>9</v>
      </c>
      <c r="B19" s="1258">
        <v>712</v>
      </c>
      <c r="C19" s="324"/>
      <c r="D19" s="324"/>
      <c r="E19" s="324"/>
      <c r="F19" s="324"/>
    </row>
    <row r="20" spans="1:6">
      <c r="A20" s="1257" t="s">
        <v>10</v>
      </c>
      <c r="B20" s="1258">
        <v>329</v>
      </c>
      <c r="C20" s="324"/>
      <c r="D20" s="324"/>
      <c r="E20" s="324"/>
      <c r="F20" s="324"/>
    </row>
    <row r="21" spans="1:6">
      <c r="A21" s="1257" t="s">
        <v>11</v>
      </c>
      <c r="B21" s="1258">
        <v>0</v>
      </c>
      <c r="C21" s="324"/>
      <c r="D21" s="324"/>
      <c r="E21" s="324"/>
      <c r="F21" s="324"/>
    </row>
    <row r="22" spans="1:6">
      <c r="A22" s="1257" t="s">
        <v>12</v>
      </c>
      <c r="B22" s="1258">
        <v>2446</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356</v>
      </c>
      <c r="C26" s="324"/>
      <c r="D26" s="324"/>
      <c r="E26" s="324"/>
      <c r="F26" s="324"/>
    </row>
    <row r="27" spans="1:6">
      <c r="A27" s="1257" t="s">
        <v>17</v>
      </c>
      <c r="B27" s="1258">
        <v>3</v>
      </c>
      <c r="C27" s="324"/>
      <c r="D27" s="324"/>
      <c r="E27" s="324"/>
      <c r="F27" s="324"/>
    </row>
    <row r="28" spans="1:6">
      <c r="A28" s="1257" t="s">
        <v>18</v>
      </c>
      <c r="B28" s="1259">
        <v>29843</v>
      </c>
      <c r="C28" s="324"/>
      <c r="D28" s="324"/>
      <c r="E28" s="324"/>
      <c r="F28" s="324"/>
    </row>
    <row r="29" spans="1:6">
      <c r="A29" s="1257" t="s">
        <v>664</v>
      </c>
      <c r="B29" s="1259">
        <v>255</v>
      </c>
      <c r="C29" s="324"/>
      <c r="D29" s="324"/>
      <c r="E29" s="324"/>
      <c r="F29" s="324"/>
    </row>
    <row r="30" spans="1:6">
      <c r="A30" s="1252" t="s">
        <v>665</v>
      </c>
      <c r="B30" s="1260">
        <v>87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1</v>
      </c>
      <c r="D38" s="1258">
        <v>15262771.02</v>
      </c>
      <c r="E38" s="1258">
        <v>3</v>
      </c>
      <c r="F38" s="1258">
        <v>98964.332999999999</v>
      </c>
    </row>
    <row r="39" spans="1:6">
      <c r="A39" s="1257" t="s">
        <v>29</v>
      </c>
      <c r="B39" s="1257" t="s">
        <v>30</v>
      </c>
      <c r="C39" s="1258">
        <v>4089</v>
      </c>
      <c r="D39" s="1258">
        <v>63453992.520000003</v>
      </c>
      <c r="E39" s="1258">
        <v>7250</v>
      </c>
      <c r="F39" s="1258">
        <v>27355683.640000001</v>
      </c>
    </row>
    <row r="40" spans="1:6">
      <c r="A40" s="1257" t="s">
        <v>29</v>
      </c>
      <c r="B40" s="1257" t="s">
        <v>28</v>
      </c>
      <c r="C40" s="1258">
        <v>0</v>
      </c>
      <c r="D40" s="1258">
        <v>0</v>
      </c>
      <c r="E40" s="1258">
        <v>0</v>
      </c>
      <c r="F40" s="1258">
        <v>0</v>
      </c>
    </row>
    <row r="41" spans="1:6">
      <c r="A41" s="1257" t="s">
        <v>31</v>
      </c>
      <c r="B41" s="1257" t="s">
        <v>32</v>
      </c>
      <c r="C41" s="1258">
        <v>42</v>
      </c>
      <c r="D41" s="1258">
        <v>1447076.3529999999</v>
      </c>
      <c r="E41" s="1258">
        <v>175</v>
      </c>
      <c r="F41" s="1258">
        <v>1448934.878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431360.02399999998</v>
      </c>
      <c r="E44" s="1258">
        <v>4</v>
      </c>
      <c r="F44" s="1258">
        <v>810941.69299999997</v>
      </c>
    </row>
    <row r="45" spans="1:6">
      <c r="A45" s="1257" t="s">
        <v>31</v>
      </c>
      <c r="B45" s="1257" t="s">
        <v>36</v>
      </c>
      <c r="C45" s="1258">
        <v>0</v>
      </c>
      <c r="D45" s="1258">
        <v>0</v>
      </c>
      <c r="E45" s="1258">
        <v>3</v>
      </c>
      <c r="F45" s="1258">
        <v>21086.321</v>
      </c>
    </row>
    <row r="46" spans="1:6">
      <c r="A46" s="1257" t="s">
        <v>31</v>
      </c>
      <c r="B46" s="1257" t="s">
        <v>37</v>
      </c>
      <c r="C46" s="1258">
        <v>0</v>
      </c>
      <c r="D46" s="1258">
        <v>0</v>
      </c>
      <c r="E46" s="1258">
        <v>0</v>
      </c>
      <c r="F46" s="1258">
        <v>0</v>
      </c>
    </row>
    <row r="47" spans="1:6">
      <c r="A47" s="1257" t="s">
        <v>31</v>
      </c>
      <c r="B47" s="1257" t="s">
        <v>38</v>
      </c>
      <c r="C47" s="1258">
        <v>0</v>
      </c>
      <c r="D47" s="1258">
        <v>0</v>
      </c>
      <c r="E47" s="1258">
        <v>4</v>
      </c>
      <c r="F47" s="1258">
        <v>195792.86799999999</v>
      </c>
    </row>
    <row r="48" spans="1:6">
      <c r="A48" s="1257" t="s">
        <v>31</v>
      </c>
      <c r="B48" s="1257" t="s">
        <v>28</v>
      </c>
      <c r="C48" s="1258">
        <v>21</v>
      </c>
      <c r="D48" s="1258">
        <v>1036235.647</v>
      </c>
      <c r="E48" s="1258">
        <v>31</v>
      </c>
      <c r="F48" s="1258">
        <v>2314498.077</v>
      </c>
    </row>
    <row r="49" spans="1:6">
      <c r="A49" s="1257" t="s">
        <v>31</v>
      </c>
      <c r="B49" s="1257" t="s">
        <v>39</v>
      </c>
      <c r="C49" s="1258">
        <v>0</v>
      </c>
      <c r="D49" s="1258">
        <v>0</v>
      </c>
      <c r="E49" s="1258">
        <v>5</v>
      </c>
      <c r="F49" s="1258">
        <v>46849.81</v>
      </c>
    </row>
    <row r="50" spans="1:6">
      <c r="A50" s="1257" t="s">
        <v>31</v>
      </c>
      <c r="B50" s="1257" t="s">
        <v>40</v>
      </c>
      <c r="C50" s="1258">
        <v>5</v>
      </c>
      <c r="D50" s="1258">
        <v>1058517.1329999999</v>
      </c>
      <c r="E50" s="1258">
        <v>21</v>
      </c>
      <c r="F50" s="1258">
        <v>1554426.7080000001</v>
      </c>
    </row>
    <row r="51" spans="1:6">
      <c r="A51" s="1257" t="s">
        <v>41</v>
      </c>
      <c r="B51" s="1257" t="s">
        <v>42</v>
      </c>
      <c r="C51" s="1258">
        <v>15</v>
      </c>
      <c r="D51" s="1258">
        <v>170762927</v>
      </c>
      <c r="E51" s="1258">
        <v>88</v>
      </c>
      <c r="F51" s="1258">
        <v>2344548.4640000002</v>
      </c>
    </row>
    <row r="52" spans="1:6">
      <c r="A52" s="1257" t="s">
        <v>41</v>
      </c>
      <c r="B52" s="1257" t="s">
        <v>28</v>
      </c>
      <c r="C52" s="1258">
        <v>9</v>
      </c>
      <c r="D52" s="1258">
        <v>1236336.01</v>
      </c>
      <c r="E52" s="1258">
        <v>7</v>
      </c>
      <c r="F52" s="1258">
        <v>128489.931</v>
      </c>
    </row>
    <row r="53" spans="1:6">
      <c r="A53" s="1257" t="s">
        <v>43</v>
      </c>
      <c r="B53" s="1257" t="s">
        <v>44</v>
      </c>
      <c r="C53" s="1258">
        <v>100</v>
      </c>
      <c r="D53" s="1258">
        <v>2132596.8250000002</v>
      </c>
      <c r="E53" s="1258">
        <v>289</v>
      </c>
      <c r="F53" s="1258">
        <v>972267.36399999994</v>
      </c>
    </row>
    <row r="54" spans="1:6">
      <c r="A54" s="1257" t="s">
        <v>45</v>
      </c>
      <c r="B54" s="1257" t="s">
        <v>46</v>
      </c>
      <c r="C54" s="1258">
        <v>0</v>
      </c>
      <c r="D54" s="1258">
        <v>0</v>
      </c>
      <c r="E54" s="1258">
        <v>1</v>
      </c>
      <c r="F54" s="1258">
        <v>986575</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33</v>
      </c>
      <c r="D57" s="1258">
        <v>884190.45799999998</v>
      </c>
      <c r="E57" s="1258">
        <v>88</v>
      </c>
      <c r="F57" s="1258">
        <v>1037729.003</v>
      </c>
    </row>
    <row r="58" spans="1:6">
      <c r="A58" s="1257" t="s">
        <v>48</v>
      </c>
      <c r="B58" s="1257" t="s">
        <v>50</v>
      </c>
      <c r="C58" s="1258">
        <v>20</v>
      </c>
      <c r="D58" s="1258">
        <v>588080.63199999998</v>
      </c>
      <c r="E58" s="1258">
        <v>35</v>
      </c>
      <c r="F58" s="1258">
        <v>274205.342</v>
      </c>
    </row>
    <row r="59" spans="1:6">
      <c r="A59" s="1257" t="s">
        <v>48</v>
      </c>
      <c r="B59" s="1257" t="s">
        <v>51</v>
      </c>
      <c r="C59" s="1258">
        <v>72</v>
      </c>
      <c r="D59" s="1258">
        <v>2349897.64</v>
      </c>
      <c r="E59" s="1258">
        <v>194</v>
      </c>
      <c r="F59" s="1258">
        <v>4886518.0310000004</v>
      </c>
    </row>
    <row r="60" spans="1:6">
      <c r="A60" s="1257" t="s">
        <v>48</v>
      </c>
      <c r="B60" s="1257" t="s">
        <v>52</v>
      </c>
      <c r="C60" s="1258">
        <v>52</v>
      </c>
      <c r="D60" s="1258">
        <v>1794230.64</v>
      </c>
      <c r="E60" s="1258">
        <v>74</v>
      </c>
      <c r="F60" s="1258">
        <v>1390516.0009999999</v>
      </c>
    </row>
    <row r="61" spans="1:6">
      <c r="A61" s="1257" t="s">
        <v>48</v>
      </c>
      <c r="B61" s="1257" t="s">
        <v>53</v>
      </c>
      <c r="C61" s="1258">
        <v>92</v>
      </c>
      <c r="D61" s="1258">
        <v>3573172.0720000002</v>
      </c>
      <c r="E61" s="1258">
        <v>264</v>
      </c>
      <c r="F61" s="1258">
        <v>2505300.5049999999</v>
      </c>
    </row>
    <row r="62" spans="1:6">
      <c r="A62" s="1257" t="s">
        <v>48</v>
      </c>
      <c r="B62" s="1257" t="s">
        <v>54</v>
      </c>
      <c r="C62" s="1258">
        <v>0</v>
      </c>
      <c r="D62" s="1258">
        <v>0</v>
      </c>
      <c r="E62" s="1258">
        <v>3</v>
      </c>
      <c r="F62" s="1258">
        <v>34125.875</v>
      </c>
    </row>
    <row r="63" spans="1:6">
      <c r="A63" s="1257" t="s">
        <v>48</v>
      </c>
      <c r="B63" s="1257" t="s">
        <v>28</v>
      </c>
      <c r="C63" s="1258">
        <v>88</v>
      </c>
      <c r="D63" s="1258">
        <v>19221979.920000002</v>
      </c>
      <c r="E63" s="1258">
        <v>106</v>
      </c>
      <c r="F63" s="1258">
        <v>1927602.9280000001</v>
      </c>
    </row>
    <row r="64" spans="1:6">
      <c r="A64" s="1257" t="s">
        <v>55</v>
      </c>
      <c r="B64" s="1257" t="s">
        <v>56</v>
      </c>
      <c r="C64" s="1258">
        <v>0</v>
      </c>
      <c r="D64" s="1258">
        <v>0</v>
      </c>
      <c r="E64" s="1258">
        <v>0</v>
      </c>
      <c r="F64" s="1258">
        <v>0</v>
      </c>
    </row>
    <row r="65" spans="1:6">
      <c r="A65" s="1257" t="s">
        <v>55</v>
      </c>
      <c r="B65" s="1257" t="s">
        <v>28</v>
      </c>
      <c r="C65" s="1258">
        <v>2</v>
      </c>
      <c r="D65" s="1258">
        <v>80886.180999999997</v>
      </c>
      <c r="E65" s="1258">
        <v>1</v>
      </c>
      <c r="F65" s="1258">
        <v>4431.3410000000003</v>
      </c>
    </row>
    <row r="66" spans="1:6">
      <c r="A66" s="1257" t="s">
        <v>55</v>
      </c>
      <c r="B66" s="1257" t="s">
        <v>57</v>
      </c>
      <c r="C66" s="1258">
        <v>0</v>
      </c>
      <c r="D66" s="1258">
        <v>0</v>
      </c>
      <c r="E66" s="1258">
        <v>5</v>
      </c>
      <c r="F66" s="1258">
        <v>21959.453000000001</v>
      </c>
    </row>
    <row r="67" spans="1:6">
      <c r="A67" s="1257" t="s">
        <v>55</v>
      </c>
      <c r="B67" s="1257" t="s">
        <v>58</v>
      </c>
      <c r="C67" s="1258">
        <v>0</v>
      </c>
      <c r="D67" s="1258">
        <v>0</v>
      </c>
      <c r="E67" s="1258">
        <v>0</v>
      </c>
      <c r="F67" s="1258">
        <v>0</v>
      </c>
    </row>
    <row r="68" spans="1:6">
      <c r="A68" s="1252" t="s">
        <v>55</v>
      </c>
      <c r="B68" s="1252" t="s">
        <v>59</v>
      </c>
      <c r="C68" s="1260">
        <v>0</v>
      </c>
      <c r="D68" s="1260">
        <v>0</v>
      </c>
      <c r="E68" s="1260">
        <v>7</v>
      </c>
      <c r="F68" s="1260">
        <v>104934.412</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102913700</v>
      </c>
      <c r="E73" s="442"/>
      <c r="F73" s="324"/>
    </row>
    <row r="74" spans="1:6">
      <c r="A74" s="1257" t="s">
        <v>63</v>
      </c>
      <c r="B74" s="1257" t="s">
        <v>608</v>
      </c>
      <c r="C74" s="1270" t="s">
        <v>610</v>
      </c>
      <c r="D74" s="1258">
        <v>6288618.5</v>
      </c>
      <c r="E74" s="442"/>
      <c r="F74" s="324"/>
    </row>
    <row r="75" spans="1:6">
      <c r="A75" s="1257" t="s">
        <v>64</v>
      </c>
      <c r="B75" s="1257" t="s">
        <v>607</v>
      </c>
      <c r="C75" s="1270" t="s">
        <v>611</v>
      </c>
      <c r="D75" s="1258">
        <v>21599078</v>
      </c>
      <c r="E75" s="442"/>
      <c r="F75" s="324"/>
    </row>
    <row r="76" spans="1:6">
      <c r="A76" s="1257" t="s">
        <v>64</v>
      </c>
      <c r="B76" s="1257" t="s">
        <v>608</v>
      </c>
      <c r="C76" s="1270" t="s">
        <v>612</v>
      </c>
      <c r="D76" s="1258">
        <v>157011.5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414949</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4117.9358852415726</v>
      </c>
      <c r="C91" s="324"/>
      <c r="D91" s="324"/>
      <c r="E91" s="324"/>
      <c r="F91" s="324"/>
    </row>
    <row r="92" spans="1:6">
      <c r="A92" s="1252" t="s">
        <v>68</v>
      </c>
      <c r="B92" s="1253">
        <v>493.22591601170001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1455</v>
      </c>
      <c r="C97" s="324"/>
      <c r="D97" s="324"/>
      <c r="E97" s="324"/>
      <c r="F97" s="324"/>
    </row>
    <row r="98" spans="1:6">
      <c r="A98" s="1257" t="s">
        <v>71</v>
      </c>
      <c r="B98" s="1258">
        <v>17</v>
      </c>
      <c r="C98" s="324"/>
      <c r="D98" s="324"/>
      <c r="E98" s="324"/>
      <c r="F98" s="324"/>
    </row>
    <row r="99" spans="1:6">
      <c r="A99" s="1257" t="s">
        <v>72</v>
      </c>
      <c r="B99" s="1258">
        <v>84</v>
      </c>
      <c r="C99" s="324"/>
      <c r="D99" s="324"/>
      <c r="E99" s="324"/>
      <c r="F99" s="324"/>
    </row>
    <row r="100" spans="1:6">
      <c r="A100" s="1257" t="s">
        <v>73</v>
      </c>
      <c r="B100" s="1258">
        <v>402</v>
      </c>
      <c r="C100" s="324"/>
      <c r="D100" s="324"/>
      <c r="E100" s="324"/>
      <c r="F100" s="324"/>
    </row>
    <row r="101" spans="1:6">
      <c r="A101" s="1257" t="s">
        <v>74</v>
      </c>
      <c r="B101" s="1258">
        <v>55</v>
      </c>
      <c r="C101" s="324"/>
      <c r="D101" s="324"/>
      <c r="E101" s="324"/>
      <c r="F101" s="324"/>
    </row>
    <row r="102" spans="1:6">
      <c r="A102" s="1257" t="s">
        <v>75</v>
      </c>
      <c r="B102" s="1258">
        <v>81</v>
      </c>
      <c r="C102" s="324"/>
      <c r="D102" s="324"/>
      <c r="E102" s="324"/>
      <c r="F102" s="324"/>
    </row>
    <row r="103" spans="1:6">
      <c r="A103" s="1257" t="s">
        <v>76</v>
      </c>
      <c r="B103" s="1258">
        <v>190</v>
      </c>
      <c r="C103" s="324"/>
      <c r="D103" s="324"/>
      <c r="E103" s="324"/>
      <c r="F103" s="324"/>
    </row>
    <row r="104" spans="1:6">
      <c r="A104" s="1257" t="s">
        <v>77</v>
      </c>
      <c r="B104" s="1258">
        <v>3725</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2</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2</v>
      </c>
      <c r="C121" s="1258">
        <v>0</v>
      </c>
      <c r="D121" s="324"/>
      <c r="E121" s="324"/>
      <c r="F121" s="324"/>
    </row>
    <row r="122" spans="1:6">
      <c r="A122" s="1257" t="s">
        <v>86</v>
      </c>
      <c r="B122" s="1258">
        <v>0</v>
      </c>
      <c r="C122" s="1258">
        <v>0</v>
      </c>
      <c r="D122" s="324"/>
      <c r="E122" s="324"/>
      <c r="F122" s="324"/>
    </row>
    <row r="123" spans="1:6">
      <c r="A123" s="1257" t="s">
        <v>87</v>
      </c>
      <c r="B123" s="1258">
        <v>72</v>
      </c>
      <c r="C123" s="1258">
        <v>60</v>
      </c>
      <c r="D123" s="324"/>
      <c r="E123" s="324"/>
      <c r="F123" s="324"/>
    </row>
    <row r="124" spans="1:6">
      <c r="A124" s="1257" t="s">
        <v>88</v>
      </c>
      <c r="B124" s="1258">
        <v>3</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145</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41</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54524.950766976988</v>
      </c>
      <c r="C3" s="43" t="s">
        <v>163</v>
      </c>
      <c r="D3" s="43"/>
      <c r="E3" s="153"/>
      <c r="F3" s="43"/>
      <c r="G3" s="43"/>
      <c r="H3" s="43"/>
      <c r="I3" s="43"/>
      <c r="J3" s="43"/>
      <c r="K3" s="96"/>
    </row>
    <row r="4" spans="1:11">
      <c r="A4" s="350" t="s">
        <v>164</v>
      </c>
      <c r="B4" s="49">
        <f>IF(ISERROR('SEAP template'!B78+'SEAP template'!C78),0,'SEAP template'!B78+'SEAP template'!C78)</f>
        <v>75567.953467919942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15530.634606302005</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0.20551879326591874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21662.497892893633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98972.217744530266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0.21887453253608452</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986.57500000000005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986.57500000000005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0.20551879326591874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202.7597034663238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27355.683639999999</v>
      </c>
      <c r="C5" s="17">
        <f>IF(ISERROR('Eigen informatie GS &amp; warmtenet'!B59),0,'Eigen informatie GS &amp; warmtenet'!B59)</f>
        <v>0</v>
      </c>
      <c r="D5" s="30">
        <f>(SUM(HH_hh_gas_kWh,HH_rest_gas_kWh)/1000)*0.902</f>
        <v>57235.501253039998</v>
      </c>
      <c r="E5" s="17">
        <f>B32*B41</f>
        <v>2331.3751726909768</v>
      </c>
      <c r="F5" s="17">
        <f>B36*B45</f>
        <v>44865.678865949769</v>
      </c>
      <c r="G5" s="18"/>
      <c r="H5" s="17"/>
      <c r="I5" s="17"/>
      <c r="J5" s="17">
        <f>B35*B44+C35*C44</f>
        <v>229.58245410198458</v>
      </c>
      <c r="K5" s="17"/>
      <c r="L5" s="17"/>
      <c r="M5" s="17"/>
      <c r="N5" s="17">
        <f>B34*B43+C34*C43</f>
        <v>10287.309761785093</v>
      </c>
      <c r="O5" s="17">
        <f>B52*B53*B54</f>
        <v>406.71143497434156</v>
      </c>
      <c r="P5" s="17">
        <f>B60*B61*B62/1000-B60*B61*B62/1000/B63</f>
        <v>1221.9392796914628</v>
      </c>
    </row>
    <row r="6" spans="1:16">
      <c r="A6" s="16" t="s">
        <v>573</v>
      </c>
      <c r="B6" s="738">
        <f>kWh_PV_kleiner_dan_10kW</f>
        <v>4117.9358852415726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31473.619525241571</v>
      </c>
      <c r="C8" s="21">
        <f>C5</f>
        <v>0</v>
      </c>
      <c r="D8" s="21">
        <f>D5</f>
        <v>57235.501253039998</v>
      </c>
      <c r="E8" s="21">
        <f>E5</f>
        <v>2331.3751726909768</v>
      </c>
      <c r="F8" s="21">
        <f>F5</f>
        <v>44865.678865949769</v>
      </c>
      <c r="G8" s="21"/>
      <c r="H8" s="21"/>
      <c r="I8" s="21"/>
      <c r="J8" s="21">
        <f>J5</f>
        <v>229.58245410198458</v>
      </c>
      <c r="K8" s="21"/>
      <c r="L8" s="21">
        <f>L5</f>
        <v>0</v>
      </c>
      <c r="M8" s="21">
        <f>M5</f>
        <v>0</v>
      </c>
      <c r="N8" s="21">
        <f>N5</f>
        <v>10287.309761785093</v>
      </c>
      <c r="O8" s="21">
        <f>O5</f>
        <v>406.71143497434156</v>
      </c>
      <c r="P8" s="21">
        <f>P5</f>
        <v>1221.9392796914628</v>
      </c>
    </row>
    <row r="9" spans="1:16">
      <c r="B9" s="19"/>
      <c r="C9" s="19"/>
      <c r="D9" s="255"/>
      <c r="E9" s="19"/>
      <c r="F9" s="19"/>
      <c r="G9" s="19"/>
      <c r="H9" s="19"/>
      <c r="I9" s="19"/>
      <c r="J9" s="19"/>
      <c r="K9" s="19"/>
      <c r="L9" s="19"/>
      <c r="M9" s="19"/>
      <c r="N9" s="19"/>
      <c r="O9" s="19"/>
      <c r="P9" s="19"/>
    </row>
    <row r="10" spans="1:16">
      <c r="A10" s="24" t="s">
        <v>207</v>
      </c>
      <c r="B10" s="25">
        <f ca="1">'EF ele_warmte'!B12</f>
        <v>0.20551879326591874</v>
      </c>
      <c r="C10" s="25">
        <f ca="1">'EF ele_warmte'!B22</f>
        <v>0.21887453253608452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6468.4203045383056</v>
      </c>
      <c r="C12" s="23">
        <f ca="1">C10*C8</f>
        <v>0</v>
      </c>
      <c r="D12" s="23">
        <f>D8*D10</f>
        <v>11561.57125311408</v>
      </c>
      <c r="E12" s="23">
        <f>E10*E8</f>
        <v>529.22216420085169</v>
      </c>
      <c r="F12" s="23">
        <f>F10*F8</f>
        <v>11979.136257208589</v>
      </c>
      <c r="G12" s="23"/>
      <c r="H12" s="23"/>
      <c r="I12" s="23"/>
      <c r="J12" s="23">
        <f>J10*J8</f>
        <v>81.272188752102537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7343</v>
      </c>
      <c r="C26" s="36"/>
      <c r="D26" s="225"/>
    </row>
    <row r="27" spans="1:7" s="15" customFormat="1">
      <c r="A27" s="227" t="s">
        <v>774</v>
      </c>
      <c r="B27" s="37">
        <f>SUM(HH_hh_gas_aantal,HH_rest_gas_aantal)</f>
        <v>4089</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3884.55</v>
      </c>
      <c r="C31" s="165" t="s">
        <v>104</v>
      </c>
      <c r="D31" s="230"/>
      <c r="G31" s="15"/>
    </row>
    <row r="32" spans="1:7">
      <c r="A32" s="168" t="s">
        <v>72</v>
      </c>
      <c r="B32" s="165">
        <f>IF((B21*($B$26-($B$27-0.05*$B$27)-$B$60))&lt;0,0,B21*($B$26-($B$27-0.05*$B$27)-$B$60))</f>
        <v>37.679998142842869</v>
      </c>
      <c r="C32" s="165" t="s">
        <v>104</v>
      </c>
      <c r="D32" s="230"/>
      <c r="G32" s="15"/>
    </row>
    <row r="33" spans="1:7">
      <c r="A33" s="168" t="s">
        <v>73</v>
      </c>
      <c r="B33" s="165">
        <f>IF((B22*($B$26-($B$27-0.05*$B$27)-$B$60))&lt;0,0,B22*($B$26-($B$27-0.05*$B$27)-$B$60))</f>
        <v>783.3988038947424</v>
      </c>
      <c r="C33" s="165" t="s">
        <v>104</v>
      </c>
      <c r="D33" s="230"/>
      <c r="G33" s="15"/>
    </row>
    <row r="34" spans="1:7">
      <c r="A34" s="168" t="s">
        <v>74</v>
      </c>
      <c r="B34" s="165">
        <f>IF((B24*($B$26-($B$27-0.05*$B$27)-$B$60))&lt;0,0,B24*($B$26-($B$27-0.05*$B$27)-$B$60))</f>
        <v>330.78553171348449</v>
      </c>
      <c r="C34" s="165">
        <f>B26*C24</f>
        <v>1267.1261278650529</v>
      </c>
      <c r="D34" s="230"/>
      <c r="G34" s="15"/>
    </row>
    <row r="35" spans="1:7">
      <c r="A35" s="168" t="s">
        <v>76</v>
      </c>
      <c r="B35" s="165">
        <f>IF((B19*($B$26-($B$27-0.05*$B$27)-$B$60))&lt;0,0,B19*($B$26-($B$27-0.05*$B$27)-$B$60))</f>
        <v>28.519695534404651</v>
      </c>
      <c r="C35" s="165">
        <f>B35/2</f>
        <v>14.259847767202325</v>
      </c>
      <c r="D35" s="231"/>
      <c r="G35" s="15"/>
    </row>
    <row r="36" spans="1:7">
      <c r="A36" s="168" t="s">
        <v>77</v>
      </c>
      <c r="B36" s="165">
        <f>IF((B18*($B$26-($B$27-0.05*$B$27)-$B$60))&lt;0,0,B18*($B$26-($B$27-0.05*$B$27)-$B$60))</f>
        <v>2162.0659707145255</v>
      </c>
      <c r="C36" s="165" t="s">
        <v>104</v>
      </c>
      <c r="D36" s="231"/>
      <c r="G36" s="15"/>
    </row>
    <row r="37" spans="1:7">
      <c r="A37" s="168" t="s">
        <v>78</v>
      </c>
      <c r="B37" s="165">
        <f>B60</f>
        <v>116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205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116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12055.997685</v>
      </c>
      <c r="C5" s="17">
        <f>IF(ISERROR('Eigen informatie GS &amp; warmtenet'!B60),0,'Eigen informatie GS &amp; warmtenet'!B60)</f>
        <v>0</v>
      </c>
      <c r="D5" s="30">
        <f>SUM(D6:D12)</f>
        <v>25627.219328524003</v>
      </c>
      <c r="E5" s="17">
        <f>SUM(E6:E12)</f>
        <v>33.720771382339912</v>
      </c>
      <c r="F5" s="17">
        <f>SUM(F6:F12)</f>
        <v>2126.2021630487861</v>
      </c>
      <c r="G5" s="18"/>
      <c r="H5" s="17"/>
      <c r="I5" s="17"/>
      <c r="J5" s="17">
        <f>SUM(J6:J12)</f>
        <v>1.4136429147158205E-2</v>
      </c>
      <c r="K5" s="17"/>
      <c r="L5" s="17"/>
      <c r="M5" s="17"/>
      <c r="N5" s="17">
        <f>SUM(N6:N12)</f>
        <v>532.24745216621216</v>
      </c>
      <c r="O5" s="17">
        <f>B38*B39*B40</f>
        <v>9.7945215316823084</v>
      </c>
      <c r="P5" s="17">
        <f>B46*B47*B48/1000-B46*B47*B48/1000/B49</f>
        <v>210.15655322598008</v>
      </c>
      <c r="R5" s="32"/>
    </row>
    <row r="6" spans="1:18">
      <c r="A6" s="32" t="s">
        <v>53</v>
      </c>
      <c r="B6" s="37">
        <f>B26</f>
        <v>2505.3005049999997</v>
      </c>
      <c r="C6" s="33"/>
      <c r="D6" s="37">
        <f>IF(ISERROR(TER_kantoor_gas_kWh/1000),0,TER_kantoor_gas_kWh/1000)*0.902</f>
        <v>3223.0012089440002</v>
      </c>
      <c r="E6" s="33">
        <f>$C$26*'E Balans VL '!I12/100/3.6*1000000</f>
        <v>0.65420579822701364</v>
      </c>
      <c r="F6" s="33">
        <f>$C$26*('E Balans VL '!L12+'E Balans VL '!N12)/100/3.6*1000000</f>
        <v>250.32010386533804</v>
      </c>
      <c r="G6" s="34"/>
      <c r="H6" s="33"/>
      <c r="I6" s="33"/>
      <c r="J6" s="33">
        <f>$C$26*('E Balans VL '!D12+'E Balans VL '!E12)/100/3.6*1000000</f>
        <v>0</v>
      </c>
      <c r="K6" s="33"/>
      <c r="L6" s="33"/>
      <c r="M6" s="33"/>
      <c r="N6" s="33">
        <f>$C$26*'E Balans VL '!Y12/100/3.6*1000000</f>
        <v>1.7762449917001866</v>
      </c>
      <c r="O6" s="33"/>
      <c r="P6" s="33"/>
      <c r="R6" s="32"/>
    </row>
    <row r="7" spans="1:18">
      <c r="A7" s="32" t="s">
        <v>52</v>
      </c>
      <c r="B7" s="37">
        <f t="shared" ref="B7:B12" si="0">B27</f>
        <v>1390.516001</v>
      </c>
      <c r="C7" s="33"/>
      <c r="D7" s="37">
        <f>IF(ISERROR(TER_horeca_gas_kWh/1000),0,TER_horeca_gas_kWh/1000)*0.902</f>
        <v>1618.39603728</v>
      </c>
      <c r="E7" s="33">
        <f>$C$27*'E Balans VL '!I9/100/3.6*1000000</f>
        <v>0</v>
      </c>
      <c r="F7" s="33">
        <f>$C$27*('E Balans VL '!L9+'E Balans VL '!N9)/100/3.6*1000000</f>
        <v>114.19817339148736</v>
      </c>
      <c r="G7" s="34"/>
      <c r="H7" s="33"/>
      <c r="I7" s="33"/>
      <c r="J7" s="33">
        <f>$C$27*('E Balans VL '!D9+'E Balans VL '!E9)/100/3.6*1000000</f>
        <v>0</v>
      </c>
      <c r="K7" s="33"/>
      <c r="L7" s="33"/>
      <c r="M7" s="33"/>
      <c r="N7" s="33">
        <f>$C$27*'E Balans VL '!Y9/100/3.6*1000000</f>
        <v>17.572051361073637</v>
      </c>
      <c r="O7" s="33"/>
      <c r="P7" s="33"/>
      <c r="R7" s="32"/>
    </row>
    <row r="8" spans="1:18">
      <c r="A8" s="6" t="s">
        <v>51</v>
      </c>
      <c r="B8" s="37">
        <f t="shared" si="0"/>
        <v>4886.5180310000005</v>
      </c>
      <c r="C8" s="33"/>
      <c r="D8" s="37">
        <f>IF(ISERROR(TER_handel_gas_kWh/1000),0,TER_handel_gas_kWh/1000)*0.902</f>
        <v>2119.60767128</v>
      </c>
      <c r="E8" s="33">
        <f>$C$28*'E Balans VL '!I13/100/3.6*1000000</f>
        <v>17.959236033058183</v>
      </c>
      <c r="F8" s="33">
        <f>$C$28*('E Balans VL '!L13+'E Balans VL '!N13)/100/3.6*1000000</f>
        <v>466.74481215740798</v>
      </c>
      <c r="G8" s="34"/>
      <c r="H8" s="33"/>
      <c r="I8" s="33"/>
      <c r="J8" s="33">
        <f>$C$28*('E Balans VL '!D13+'E Balans VL '!E13)/100/3.6*1000000</f>
        <v>0</v>
      </c>
      <c r="K8" s="33"/>
      <c r="L8" s="33"/>
      <c r="M8" s="33"/>
      <c r="N8" s="33">
        <f>$C$28*'E Balans VL '!Y13/100/3.6*1000000</f>
        <v>1.9334803638157518</v>
      </c>
      <c r="O8" s="33"/>
      <c r="P8" s="33"/>
      <c r="R8" s="32"/>
    </row>
    <row r="9" spans="1:18">
      <c r="A9" s="32" t="s">
        <v>50</v>
      </c>
      <c r="B9" s="37">
        <f t="shared" si="0"/>
        <v>274.20534200000003</v>
      </c>
      <c r="C9" s="33"/>
      <c r="D9" s="37">
        <f>IF(ISERROR(TER_gezond_gas_kWh/1000),0,TER_gezond_gas_kWh/1000)*0.902</f>
        <v>530.44873006400007</v>
      </c>
      <c r="E9" s="33">
        <f>$C$29*'E Balans VL '!I10/100/3.6*1000000</f>
        <v>0</v>
      </c>
      <c r="F9" s="33">
        <f>$C$29*('E Balans VL '!L10+'E Balans VL '!N10)/100/3.6*1000000</f>
        <v>18.523847821629307</v>
      </c>
      <c r="G9" s="34"/>
      <c r="H9" s="33"/>
      <c r="I9" s="33"/>
      <c r="J9" s="33">
        <f>$C$29*('E Balans VL '!D10+'E Balans VL '!E10)/100/3.6*1000000</f>
        <v>0</v>
      </c>
      <c r="K9" s="33"/>
      <c r="L9" s="33"/>
      <c r="M9" s="33"/>
      <c r="N9" s="33">
        <f>$C$29*'E Balans VL '!Y10/100/3.6*1000000</f>
        <v>2.1335221473415547</v>
      </c>
      <c r="O9" s="33"/>
      <c r="P9" s="33"/>
      <c r="R9" s="32"/>
    </row>
    <row r="10" spans="1:18">
      <c r="A10" s="32" t="s">
        <v>49</v>
      </c>
      <c r="B10" s="37">
        <f t="shared" si="0"/>
        <v>1037.7290029999999</v>
      </c>
      <c r="C10" s="33"/>
      <c r="D10" s="37">
        <f>IF(ISERROR(TER_ander_gas_kWh/1000),0,TER_ander_gas_kWh/1000)*0.902</f>
        <v>797.53979311600006</v>
      </c>
      <c r="E10" s="33">
        <f>$C$30*'E Balans VL '!I14/100/3.6*1000000</f>
        <v>9.4099245435757606</v>
      </c>
      <c r="F10" s="33">
        <f>$C$30*('E Balans VL '!L14+'E Balans VL '!N14)/100/3.6*1000000</f>
        <v>820.26984992922507</v>
      </c>
      <c r="G10" s="34"/>
      <c r="H10" s="33"/>
      <c r="I10" s="33"/>
      <c r="J10" s="33">
        <f>$C$30*('E Balans VL '!D14+'E Balans VL '!E14)/100/3.6*1000000</f>
        <v>1.0270947164519081E-2</v>
      </c>
      <c r="K10" s="33"/>
      <c r="L10" s="33"/>
      <c r="M10" s="33"/>
      <c r="N10" s="33">
        <f>$C$30*'E Balans VL '!Y14/100/3.6*1000000</f>
        <v>366.26543851870139</v>
      </c>
      <c r="O10" s="33"/>
      <c r="P10" s="33"/>
      <c r="R10" s="32"/>
    </row>
    <row r="11" spans="1:18">
      <c r="A11" s="32" t="s">
        <v>54</v>
      </c>
      <c r="B11" s="37">
        <f t="shared" si="0"/>
        <v>34.125875000000001</v>
      </c>
      <c r="C11" s="33"/>
      <c r="D11" s="37">
        <f>IF(ISERROR(TER_onderwijs_gas_kWh/1000),0,TER_onderwijs_gas_kWh/1000)*0.902</f>
        <v>0</v>
      </c>
      <c r="E11" s="33">
        <f>$C$31*'E Balans VL '!I11/100/3.6*1000000</f>
        <v>0</v>
      </c>
      <c r="F11" s="33">
        <f>$C$31*('E Balans VL '!L11+'E Balans VL '!N11)/100/3.6*1000000</f>
        <v>4.0614379560630187</v>
      </c>
      <c r="G11" s="34"/>
      <c r="H11" s="33"/>
      <c r="I11" s="33"/>
      <c r="J11" s="33">
        <f>$C$31*('E Balans VL '!D11+'E Balans VL '!E11)/100/3.6*1000000</f>
        <v>0</v>
      </c>
      <c r="K11" s="33"/>
      <c r="L11" s="33"/>
      <c r="M11" s="33"/>
      <c r="N11" s="33">
        <f>$C$31*'E Balans VL '!Y11/100/3.6*1000000</f>
        <v>7.5895113321475083E-2</v>
      </c>
      <c r="O11" s="33"/>
      <c r="P11" s="33"/>
      <c r="R11" s="32"/>
    </row>
    <row r="12" spans="1:18">
      <c r="A12" s="32" t="s">
        <v>248</v>
      </c>
      <c r="B12" s="37">
        <f t="shared" si="0"/>
        <v>1927.602928</v>
      </c>
      <c r="C12" s="33"/>
      <c r="D12" s="37">
        <f>IF(ISERROR(TER_rest_gas_kWh/1000),0,TER_rest_gas_kWh/1000)*0.902</f>
        <v>17338.225887840003</v>
      </c>
      <c r="E12" s="33">
        <f>$C$32*'E Balans VL '!I8/100/3.6*1000000</f>
        <v>5.697405007478956</v>
      </c>
      <c r="F12" s="33">
        <f>$C$32*('E Balans VL '!L8+'E Balans VL '!N8)/100/3.6*1000000</f>
        <v>452.08393792763553</v>
      </c>
      <c r="G12" s="34"/>
      <c r="H12" s="33"/>
      <c r="I12" s="33"/>
      <c r="J12" s="33">
        <f>$C$32*('E Balans VL '!D8+'E Balans VL '!E8)/100/3.6*1000000</f>
        <v>3.8654819826391242E-3</v>
      </c>
      <c r="K12" s="33"/>
      <c r="L12" s="33"/>
      <c r="M12" s="33"/>
      <c r="N12" s="33">
        <f>$C$32*'E Balans VL '!Y8/100/3.6*1000000</f>
        <v>142.49081967025819</v>
      </c>
      <c r="O12" s="33"/>
      <c r="P12" s="33"/>
      <c r="R12" s="32"/>
    </row>
    <row r="13" spans="1:18">
      <c r="A13" s="16" t="s">
        <v>464</v>
      </c>
      <c r="B13" s="244">
        <f ca="1">'lokale energieproductie'!N54+'lokale energieproductie'!N47</f>
        <v>23.791666666666664</v>
      </c>
      <c r="C13" s="244">
        <f ca="1">'lokale energieproductie'!O54+'lokale energieproductie'!O47</f>
        <v>34.050997425997423</v>
      </c>
      <c r="D13" s="302">
        <f ca="1">('lokale energieproductie'!P47+'lokale energieproductie'!P54)*(-1)</f>
        <v>-65.460102960102958</v>
      </c>
      <c r="E13" s="245"/>
      <c r="F13" s="302">
        <f ca="1">('lokale energieproductie'!S47+'lokale energieproductie'!S54)*(-1)</f>
        <v>0</v>
      </c>
      <c r="G13" s="246"/>
      <c r="H13" s="245"/>
      <c r="I13" s="245"/>
      <c r="J13" s="245"/>
      <c r="K13" s="245"/>
      <c r="L13" s="302">
        <f ca="1">('lokale energieproductie'!U47+'lokale energieproductie'!T47+'lokale energieproductie'!U54+'lokale energieproductie'!T54)*(-1)</f>
        <v>0</v>
      </c>
      <c r="M13" s="245"/>
      <c r="N13" s="302">
        <f ca="1">('lokale energieproductie'!Q47+'lokale energieproductie'!R47+'lokale energieproductie'!V47+'lokale energieproductie'!Q54+'lokale energieproductie'!R54+'lokale energieproductie'!V54)*(-1)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12079.789351666666</v>
      </c>
      <c r="C16" s="21">
        <f t="shared" ca="1" si="1"/>
        <v>34.050997425997423</v>
      </c>
      <c r="D16" s="21">
        <f t="shared" ca="1" si="1"/>
        <v>25561.759225563899</v>
      </c>
      <c r="E16" s="21">
        <f t="shared" si="1"/>
        <v>33.720771382339912</v>
      </c>
      <c r="F16" s="21">
        <f t="shared" ca="1" si="1"/>
        <v>2126.2021630487861</v>
      </c>
      <c r="G16" s="21">
        <f t="shared" si="1"/>
        <v>0</v>
      </c>
      <c r="H16" s="21">
        <f t="shared" si="1"/>
        <v>0</v>
      </c>
      <c r="I16" s="21">
        <f t="shared" si="1"/>
        <v>0</v>
      </c>
      <c r="J16" s="21">
        <f t="shared" si="1"/>
        <v>1.4136429147158205E-2</v>
      </c>
      <c r="K16" s="21">
        <f t="shared" si="1"/>
        <v>0</v>
      </c>
      <c r="L16" s="21">
        <f t="shared" ca="1" si="1"/>
        <v>0</v>
      </c>
      <c r="M16" s="21">
        <f t="shared" si="1"/>
        <v>0</v>
      </c>
      <c r="N16" s="21">
        <f t="shared" ca="1" si="1"/>
        <v>532.24745216621216</v>
      </c>
      <c r="O16" s="21">
        <f>O5</f>
        <v>9.7945215316823084</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0.20551879326591874</v>
      </c>
      <c r="C18" s="25">
        <f ca="1">'EF ele_warmte'!B22</f>
        <v>0.21887453253608452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2482.6237304610281</v>
      </c>
      <c r="C20" s="23">
        <f t="shared" ref="C20:P20" ca="1" si="2">C16*C18</f>
        <v>7.4528961440026036</v>
      </c>
      <c r="D20" s="23">
        <f t="shared" ca="1" si="2"/>
        <v>5163.4753635639081</v>
      </c>
      <c r="E20" s="23">
        <f t="shared" si="2"/>
        <v>7.6546151037911603</v>
      </c>
      <c r="F20" s="23">
        <f t="shared" ca="1" si="2"/>
        <v>567.69597753402593</v>
      </c>
      <c r="G20" s="23">
        <f t="shared" si="2"/>
        <v>0</v>
      </c>
      <c r="H20" s="23">
        <f t="shared" si="2"/>
        <v>0</v>
      </c>
      <c r="I20" s="23">
        <f t="shared" si="2"/>
        <v>0</v>
      </c>
      <c r="J20" s="23">
        <f t="shared" si="2"/>
        <v>5.0042959180940042E-3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2505.3005049999997</v>
      </c>
      <c r="C26" s="39">
        <f>IF(ISERROR(B26*3.6/1000000/'E Balans VL '!Z12*100),0,B26*3.6/1000000/'E Balans VL '!Z12*100)</f>
        <v>7.0111376805547271E-2</v>
      </c>
      <c r="D26" s="234" t="s">
        <v>667</v>
      </c>
      <c r="F26" s="6"/>
    </row>
    <row r="27" spans="1:18">
      <c r="A27" s="228" t="s">
        <v>52</v>
      </c>
      <c r="B27" s="33">
        <f>IF(ISERROR(TER_horeca_ele_kWh/1000),0,TER_horeca_ele_kWh/1000)</f>
        <v>1390.516001</v>
      </c>
      <c r="C27" s="39">
        <f>IF(ISERROR(B27*3.6/1000000/'E Balans VL '!Z9*100),0,B27*3.6/1000000/'E Balans VL '!Z9*100)</f>
        <v>0.10363854858835102</v>
      </c>
      <c r="D27" s="234" t="s">
        <v>667</v>
      </c>
      <c r="F27" s="6"/>
    </row>
    <row r="28" spans="1:18">
      <c r="A28" s="168" t="s">
        <v>51</v>
      </c>
      <c r="B28" s="33">
        <f>IF(ISERROR(TER_handel_ele_kWh/1000),0,TER_handel_ele_kWh/1000)</f>
        <v>4886.5180310000005</v>
      </c>
      <c r="C28" s="39">
        <f>IF(ISERROR(B28*3.6/1000000/'E Balans VL '!Z13*100),0,B28*3.6/1000000/'E Balans VL '!Z13*100)</f>
        <v>0.14157536412629035</v>
      </c>
      <c r="D28" s="234" t="s">
        <v>667</v>
      </c>
      <c r="F28" s="6"/>
    </row>
    <row r="29" spans="1:18">
      <c r="A29" s="228" t="s">
        <v>50</v>
      </c>
      <c r="B29" s="33">
        <f>IF(ISERROR(TER_gezond_ele_kWh/1000),0,TER_gezond_ele_kWh/1000)</f>
        <v>274.20534200000003</v>
      </c>
      <c r="C29" s="39">
        <f>IF(ISERROR(B29*3.6/1000000/'E Balans VL '!Z10*100),0,B29*3.6/1000000/'E Balans VL '!Z10*100)</f>
        <v>2.7653935743888882E-2</v>
      </c>
      <c r="D29" s="234" t="s">
        <v>667</v>
      </c>
      <c r="F29" s="6"/>
    </row>
    <row r="30" spans="1:18">
      <c r="A30" s="228" t="s">
        <v>49</v>
      </c>
      <c r="B30" s="33">
        <f>IF(ISERROR(TER_ander_ele_kWh/1000),0,TER_ander_ele_kWh/1000)</f>
        <v>1037.7290029999999</v>
      </c>
      <c r="C30" s="39">
        <f>IF(ISERROR(B30*3.6/1000000/'E Balans VL '!Z14*100),0,B30*3.6/1000000/'E Balans VL '!Z14*100)</f>
        <v>4.2065312619190776E-2</v>
      </c>
      <c r="D30" s="234" t="s">
        <v>667</v>
      </c>
      <c r="F30" s="6"/>
    </row>
    <row r="31" spans="1:18">
      <c r="A31" s="228" t="s">
        <v>54</v>
      </c>
      <c r="B31" s="33">
        <f>IF(ISERROR(TER_onderwijs_ele_kWh/1000),0,TER_onderwijs_ele_kWh/1000)</f>
        <v>34.125875000000001</v>
      </c>
      <c r="C31" s="39">
        <f>IF(ISERROR(B31*3.6/1000000/'E Balans VL '!Z11*100),0,B31*3.6/1000000/'E Balans VL '!Z11*100)</f>
        <v>9.7272640453380903E-3</v>
      </c>
      <c r="D31" s="234" t="s">
        <v>667</v>
      </c>
    </row>
    <row r="32" spans="1:18">
      <c r="A32" s="228" t="s">
        <v>248</v>
      </c>
      <c r="B32" s="33">
        <f>IF(ISERROR(TER_rest_ele_kWh/1000),0,TER_rest_ele_kWh/1000)</f>
        <v>1927.602928</v>
      </c>
      <c r="C32" s="39">
        <f>IF(ISERROR(B32*3.6/1000000/'E Balans VL '!Z8*100),0,B32*3.6/1000000/'E Balans VL '!Z8*100)</f>
        <v>1.5831325526167062E-2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6392.5303550000008</v>
      </c>
      <c r="C5" s="17">
        <f>IF(ISERROR('Eigen informatie GS &amp; warmtenet'!B61),0,'Eigen informatie GS &amp; warmtenet'!B61)</f>
        <v>0</v>
      </c>
      <c r="D5" s="30">
        <f>SUM(D6:D15)</f>
        <v>3583.816619614</v>
      </c>
      <c r="E5" s="17">
        <f>SUM(E6:E15)</f>
        <v>123.82448808896494</v>
      </c>
      <c r="F5" s="17">
        <f>SUM(F6:F15)</f>
        <v>1473.6399434635448</v>
      </c>
      <c r="G5" s="18"/>
      <c r="H5" s="17"/>
      <c r="I5" s="17"/>
      <c r="J5" s="17">
        <f>SUM(J6:J15)</f>
        <v>9.6924521225479854</v>
      </c>
      <c r="K5" s="17"/>
      <c r="L5" s="17"/>
      <c r="M5" s="17"/>
      <c r="N5" s="17">
        <f>SUM(N6:N15)</f>
        <v>264.41932933779412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810.94169299999999</v>
      </c>
      <c r="C8" s="33"/>
      <c r="D8" s="37">
        <f>IF( ISERROR(IND_metaal_Gas_kWH/1000),0,IND_metaal_Gas_kWH/1000)*0.902</f>
        <v>389.08674164799999</v>
      </c>
      <c r="E8" s="33">
        <f>C30*'E Balans VL '!I18/100/3.6*1000000</f>
        <v>5.8195112254385863</v>
      </c>
      <c r="F8" s="33">
        <f>C30*'E Balans VL '!L18/100/3.6*1000000+C30*'E Balans VL '!N18/100/3.6*1000000</f>
        <v>53.975698527581301</v>
      </c>
      <c r="G8" s="34"/>
      <c r="H8" s="33"/>
      <c r="I8" s="33"/>
      <c r="J8" s="40">
        <f>C30*'E Balans VL '!D18/100/3.6*1000000+C30*'E Balans VL '!E18/100/3.6*1000000</f>
        <v>0.78178246883876279</v>
      </c>
      <c r="K8" s="33"/>
      <c r="L8" s="33"/>
      <c r="M8" s="33"/>
      <c r="N8" s="33">
        <f>C30*'E Balans VL '!Y18/100/3.6*1000000</f>
        <v>9.8267465630924296</v>
      </c>
      <c r="O8" s="33"/>
      <c r="P8" s="33"/>
      <c r="R8" s="32"/>
    </row>
    <row r="9" spans="1:18">
      <c r="A9" s="6" t="s">
        <v>32</v>
      </c>
      <c r="B9" s="37">
        <f t="shared" si="0"/>
        <v>1448.934878</v>
      </c>
      <c r="C9" s="33"/>
      <c r="D9" s="37">
        <f>IF( ISERROR(IND_andere_gas_kWh/1000),0,IND_andere_gas_kWh/1000)*0.902</f>
        <v>1305.262870406</v>
      </c>
      <c r="E9" s="33">
        <f>C31*'E Balans VL '!I19/100/3.6*1000000</f>
        <v>3.8095054128086678</v>
      </c>
      <c r="F9" s="33">
        <f>C31*'E Balans VL '!L19/100/3.6*1000000+C31*'E Balans VL '!N19/100/3.6*1000000</f>
        <v>956.88335899548747</v>
      </c>
      <c r="G9" s="34"/>
      <c r="H9" s="33"/>
      <c r="I9" s="33"/>
      <c r="J9" s="40">
        <f>C31*'E Balans VL '!D19/100/3.6*1000000+C31*'E Balans VL '!E19/100/3.6*1000000</f>
        <v>0</v>
      </c>
      <c r="K9" s="33"/>
      <c r="L9" s="33"/>
      <c r="M9" s="33"/>
      <c r="N9" s="33">
        <f>C31*'E Balans VL '!Y19/100/3.6*1000000</f>
        <v>77.356327654643579</v>
      </c>
      <c r="O9" s="33"/>
      <c r="P9" s="33"/>
      <c r="R9" s="32"/>
    </row>
    <row r="10" spans="1:18">
      <c r="A10" s="6" t="s">
        <v>40</v>
      </c>
      <c r="B10" s="37">
        <f t="shared" si="0"/>
        <v>1554.4267080000002</v>
      </c>
      <c r="C10" s="33"/>
      <c r="D10" s="37">
        <f>IF( ISERROR(IND_voed_gas_kWh/1000),0,IND_voed_gas_kWh/1000)*0.902</f>
        <v>954.78245396599982</v>
      </c>
      <c r="E10" s="33">
        <f>C32*'E Balans VL '!I20/100/3.6*1000000</f>
        <v>2.6242276266644149</v>
      </c>
      <c r="F10" s="33">
        <f>C32*'E Balans VL '!L20/100/3.6*1000000+C32*'E Balans VL '!N20/100/3.6*1000000</f>
        <v>91.238063660600986</v>
      </c>
      <c r="G10" s="34"/>
      <c r="H10" s="33"/>
      <c r="I10" s="33"/>
      <c r="J10" s="40">
        <f>C32*'E Balans VL '!D20/100/3.6*1000000+C32*'E Balans VL '!E20/100/3.6*1000000</f>
        <v>0</v>
      </c>
      <c r="K10" s="33"/>
      <c r="L10" s="33"/>
      <c r="M10" s="33"/>
      <c r="N10" s="33">
        <f>C32*'E Balans VL '!Y20/100/3.6*1000000</f>
        <v>84.630752789316233</v>
      </c>
      <c r="O10" s="33"/>
      <c r="P10" s="33"/>
      <c r="R10" s="32"/>
    </row>
    <row r="11" spans="1:18">
      <c r="A11" s="6" t="s">
        <v>39</v>
      </c>
      <c r="B11" s="37">
        <f t="shared" si="0"/>
        <v>46.849809999999998</v>
      </c>
      <c r="C11" s="33"/>
      <c r="D11" s="37">
        <f>IF( ISERROR(IND_textiel_gas_kWh/1000),0,IND_textiel_gas_kWh/1000)*0.902</f>
        <v>0</v>
      </c>
      <c r="E11" s="33">
        <f>C33*'E Balans VL '!I21/100/3.6*1000000</f>
        <v>0.16319000048960755</v>
      </c>
      <c r="F11" s="33">
        <f>C33*'E Balans VL '!L21/100/3.6*1000000+C33*'E Balans VL '!N21/100/3.6*1000000</f>
        <v>1.2449931166082695</v>
      </c>
      <c r="G11" s="34"/>
      <c r="H11" s="33"/>
      <c r="I11" s="33"/>
      <c r="J11" s="40">
        <f>C33*'E Balans VL '!D21/100/3.6*1000000+C33*'E Balans VL '!E21/100/3.6*1000000</f>
        <v>0</v>
      </c>
      <c r="K11" s="33"/>
      <c r="L11" s="33"/>
      <c r="M11" s="33"/>
      <c r="N11" s="33">
        <f>C33*'E Balans VL '!Y21/100/3.6*1000000</f>
        <v>5.7915621171033592E-3</v>
      </c>
      <c r="O11" s="33"/>
      <c r="P11" s="33"/>
      <c r="R11" s="32"/>
    </row>
    <row r="12" spans="1:18">
      <c r="A12" s="6" t="s">
        <v>36</v>
      </c>
      <c r="B12" s="37">
        <f t="shared" si="0"/>
        <v>21.086321000000002</v>
      </c>
      <c r="C12" s="33"/>
      <c r="D12" s="37">
        <f>IF( ISERROR(IND_min_gas_kWh/1000),0,IND_min_gas_kWh/1000)*0.902</f>
        <v>0</v>
      </c>
      <c r="E12" s="33">
        <f>C34*'E Balans VL '!I22/100/3.6*1000000</f>
        <v>0.30356663642043474</v>
      </c>
      <c r="F12" s="33">
        <f>C34*'E Balans VL '!L22/100/3.6*1000000+C34*'E Balans VL '!N22/100/3.6*1000000</f>
        <v>2.5351778416535748</v>
      </c>
      <c r="G12" s="34"/>
      <c r="H12" s="33"/>
      <c r="I12" s="33"/>
      <c r="J12" s="40">
        <f>C34*'E Balans VL '!D22/100/3.6*1000000+C34*'E Balans VL '!E22/100/3.6*1000000</f>
        <v>1.5395662721432403E-2</v>
      </c>
      <c r="K12" s="33"/>
      <c r="L12" s="33"/>
      <c r="M12" s="33"/>
      <c r="N12" s="33">
        <f>C34*'E Balans VL '!Y22/100/3.6*1000000</f>
        <v>12.542736074809993</v>
      </c>
      <c r="O12" s="33"/>
      <c r="P12" s="33"/>
      <c r="R12" s="32"/>
    </row>
    <row r="13" spans="1:18">
      <c r="A13" s="6" t="s">
        <v>38</v>
      </c>
      <c r="B13" s="37">
        <f t="shared" si="0"/>
        <v>195.792868</v>
      </c>
      <c r="C13" s="33"/>
      <c r="D13" s="37">
        <f>IF( ISERROR(IND_papier_gas_kWh/1000),0,IND_papier_gas_kWh/1000)*0.902</f>
        <v>0</v>
      </c>
      <c r="E13" s="33">
        <f>C35*'E Balans VL '!I23/100/3.6*1000000</f>
        <v>0.6927170618156</v>
      </c>
      <c r="F13" s="33">
        <f>C35*'E Balans VL '!L23/100/3.6*1000000+C35*'E Balans VL '!N23/100/3.6*1000000</f>
        <v>1.8151505478951822</v>
      </c>
      <c r="G13" s="34"/>
      <c r="H13" s="33"/>
      <c r="I13" s="33"/>
      <c r="J13" s="40">
        <f>C35*'E Balans VL '!D23/100/3.6*1000000+C35*'E Balans VL '!E23/100/3.6*1000000</f>
        <v>0</v>
      </c>
      <c r="K13" s="33"/>
      <c r="L13" s="33"/>
      <c r="M13" s="33"/>
      <c r="N13" s="33">
        <f>C35*'E Balans VL '!Y23/100/3.6*1000000</f>
        <v>-4.2650975276998819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2314.4980770000002</v>
      </c>
      <c r="C15" s="33"/>
      <c r="D15" s="37">
        <f>IF( ISERROR(IND_rest_gas_kWh/1000),0,IND_rest_gas_kWh/1000)*0.902</f>
        <v>934.68455359400002</v>
      </c>
      <c r="E15" s="33">
        <f>C37*'E Balans VL '!I15/100/3.6*1000000</f>
        <v>110.41177012532764</v>
      </c>
      <c r="F15" s="33">
        <f>C37*'E Balans VL '!L15/100/3.6*1000000+C37*'E Balans VL '!N15/100/3.6*1000000</f>
        <v>365.94750077371805</v>
      </c>
      <c r="G15" s="34"/>
      <c r="H15" s="33"/>
      <c r="I15" s="33"/>
      <c r="J15" s="40">
        <f>C37*'E Balans VL '!D15/100/3.6*1000000+C37*'E Balans VL '!E15/100/3.6*1000000</f>
        <v>8.8952739909877909</v>
      </c>
      <c r="K15" s="33"/>
      <c r="L15" s="33"/>
      <c r="M15" s="33"/>
      <c r="N15" s="33">
        <f>C37*'E Balans VL '!Y15/100/3.6*1000000</f>
        <v>84.322072221514674</v>
      </c>
      <c r="O15" s="33"/>
      <c r="P15" s="33"/>
      <c r="R15" s="32"/>
    </row>
    <row r="16" spans="1:18">
      <c r="A16" s="16" t="s">
        <v>464</v>
      </c>
      <c r="B16" s="244">
        <f>'lokale energieproductie'!N53+'lokale energieproductie'!N46</f>
        <v>8.5</v>
      </c>
      <c r="C16" s="244">
        <f>'lokale energieproductie'!O53+'lokale energieproductie'!O46</f>
        <v>12.175675675675675</v>
      </c>
      <c r="D16" s="302">
        <f>('lokale energieproductie'!P46+'lokale energieproductie'!P53)*(-1)</f>
        <v>-22.972972972972972</v>
      </c>
      <c r="E16" s="245"/>
      <c r="F16" s="302">
        <f>('lokale energieproductie'!S46+'lokale energieproductie'!S53)*(-1)</f>
        <v>0</v>
      </c>
      <c r="G16" s="246"/>
      <c r="H16" s="245"/>
      <c r="I16" s="245"/>
      <c r="J16" s="245"/>
      <c r="K16" s="245"/>
      <c r="L16" s="302">
        <f>('lokale energieproductie'!T46+'lokale energieproductie'!U46+'lokale energieproductie'!T53+'lokale energieproductie'!U53)*(-1)</f>
        <v>0</v>
      </c>
      <c r="M16" s="245"/>
      <c r="N16" s="302">
        <f>('lokale energieproductie'!Q46+'lokale energieproductie'!R46+'lokale energieproductie'!V46+'lokale energieproductie'!Q53+'lokale energieproductie'!R53+'lokale energieproductie'!V53)*(-1)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6401.0303550000008</v>
      </c>
      <c r="C18" s="21">
        <f>C5+C16</f>
        <v>12.175675675675675</v>
      </c>
      <c r="D18" s="21">
        <f>MAX((D5+D16),0)</f>
        <v>3560.8436466410271</v>
      </c>
      <c r="E18" s="21">
        <f>MAX((E5+E16),0)</f>
        <v>123.82448808896494</v>
      </c>
      <c r="F18" s="21">
        <f>MAX((F5+F16),0)</f>
        <v>1473.6399434635448</v>
      </c>
      <c r="G18" s="21"/>
      <c r="H18" s="21"/>
      <c r="I18" s="21"/>
      <c r="J18" s="21">
        <f>MAX((J5+J16),0)</f>
        <v>9.6924521225479854</v>
      </c>
      <c r="K18" s="21"/>
      <c r="L18" s="21">
        <f>MAX((L5+L16),0)</f>
        <v>0</v>
      </c>
      <c r="M18" s="21"/>
      <c r="N18" s="21">
        <f>MAX((N5+N16),0)</f>
        <v>264.41932933779412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0.20551879326591874</v>
      </c>
      <c r="C20" s="25">
        <f ca="1">'EF ele_warmte'!B22</f>
        <v>0.21887453253608452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1315.5320342181155</v>
      </c>
      <c r="C22" s="23">
        <f ca="1">C18*C20</f>
        <v>2.6649453218244883</v>
      </c>
      <c r="D22" s="23">
        <f>D18*D20</f>
        <v>719.29041662148757</v>
      </c>
      <c r="E22" s="23">
        <f>E18*E20</f>
        <v>28.108158796195042</v>
      </c>
      <c r="F22" s="23">
        <f>F18*F20</f>
        <v>393.46186490476646</v>
      </c>
      <c r="G22" s="23"/>
      <c r="H22" s="23"/>
      <c r="I22" s="23"/>
      <c r="J22" s="23">
        <f>J18*J20</f>
        <v>3.4311280513819868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810.94169299999999</v>
      </c>
      <c r="C30" s="39">
        <f>IF(ISERROR(B30*3.6/1000000/'E Balans VL '!Z18*100),0,B30*3.6/1000000/'E Balans VL '!Z18*100)</f>
        <v>4.4870572004201893E-2</v>
      </c>
      <c r="D30" s="234" t="s">
        <v>667</v>
      </c>
    </row>
    <row r="31" spans="1:18">
      <c r="A31" s="6" t="s">
        <v>32</v>
      </c>
      <c r="B31" s="37">
        <f>IF( ISERROR(IND_ander_ele_kWh/1000),0,IND_ander_ele_kWh/1000)</f>
        <v>1448.934878</v>
      </c>
      <c r="C31" s="39">
        <f>IF(ISERROR(B31*3.6/1000000/'E Balans VL '!Z19*100),0,B31*3.6/1000000/'E Balans VL '!Z19*100)</f>
        <v>6.3207066684777408E-2</v>
      </c>
      <c r="D31" s="234" t="s">
        <v>667</v>
      </c>
    </row>
    <row r="32" spans="1:18">
      <c r="A32" s="168" t="s">
        <v>40</v>
      </c>
      <c r="B32" s="37">
        <f>IF( ISERROR(IND_voed_ele_kWh/1000),0,IND_voed_ele_kWh/1000)</f>
        <v>1554.4267080000002</v>
      </c>
      <c r="C32" s="39">
        <f>IF(ISERROR(B32*3.6/1000000/'E Balans VL '!Z20*100),0,B32*3.6/1000000/'E Balans VL '!Z20*100)</f>
        <v>4.8792351619056901E-2</v>
      </c>
      <c r="D32" s="234" t="s">
        <v>667</v>
      </c>
    </row>
    <row r="33" spans="1:5">
      <c r="A33" s="168" t="s">
        <v>39</v>
      </c>
      <c r="B33" s="37">
        <f>IF( ISERROR(IND_textiel_ele_kWh/1000),0,IND_textiel_ele_kWh/1000)</f>
        <v>46.849809999999998</v>
      </c>
      <c r="C33" s="39">
        <f>IF(ISERROR(B33*3.6/1000000/'E Balans VL '!Z21*100),0,B33*3.6/1000000/'E Balans VL '!Z21*100)</f>
        <v>7.2759841501329938E-3</v>
      </c>
      <c r="D33" s="234" t="s">
        <v>667</v>
      </c>
    </row>
    <row r="34" spans="1:5">
      <c r="A34" s="168" t="s">
        <v>36</v>
      </c>
      <c r="B34" s="37">
        <f>IF( ISERROR(IND_min_ele_kWh/1000),0,IND_min_ele_kWh/1000)</f>
        <v>21.086321000000002</v>
      </c>
      <c r="C34" s="39">
        <f>IF(ISERROR(B34*3.6/1000000/'E Balans VL '!Z22*100),0,B34*3.6/1000000/'E Balans VL '!Z22*100)</f>
        <v>9.4580863135074605E-3</v>
      </c>
      <c r="D34" s="234" t="s">
        <v>667</v>
      </c>
    </row>
    <row r="35" spans="1:5">
      <c r="A35" s="168" t="s">
        <v>38</v>
      </c>
      <c r="B35" s="37">
        <f>IF( ISERROR(IND_papier_ele_kWh/1000),0,IND_papier_ele_kWh/1000)</f>
        <v>195.792868</v>
      </c>
      <c r="C35" s="39">
        <f>IF(ISERROR(B35*3.6/1000000/'E Balans VL '!Z22*100),0,B35*3.6/1000000/'E Balans VL '!Z22*100)</f>
        <v>8.7821191999930798E-2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2314.4980770000002</v>
      </c>
      <c r="C37" s="39">
        <f>IF(ISERROR(B37*3.6/1000000/'E Balans VL '!Z15*100),0,B37*3.6/1000000/'E Balans VL '!Z15*100)</f>
        <v>1.8836352751372173E-2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2473.038395</v>
      </c>
      <c r="C5" s="17">
        <f>'Eigen informatie GS &amp; warmtenet'!B62</f>
        <v>0</v>
      </c>
      <c r="D5" s="30">
        <f>IF(ISERROR(SUM(LB_lb_gas_kWh,LB_rest_gas_kWh)/1000),0,SUM(LB_lb_gas_kWh,LB_rest_gas_kWh)/1000)*0.902</f>
        <v>155143.33523502</v>
      </c>
      <c r="E5" s="17">
        <f>B17*'E Balans VL '!I25/3.6*1000000/100</f>
        <v>100.47077047354223</v>
      </c>
      <c r="F5" s="17">
        <f>B17*('E Balans VL '!L25/3.6*1000000+'E Balans VL '!N25/3.6*1000000)/100</f>
        <v>8748.0021426614039</v>
      </c>
      <c r="G5" s="18"/>
      <c r="H5" s="17"/>
      <c r="I5" s="17"/>
      <c r="J5" s="17">
        <f>('E Balans VL '!D25+'E Balans VL '!E25)/3.6*1000000*landbouw!B17/100</f>
        <v>702.64147118206256</v>
      </c>
      <c r="K5" s="17"/>
      <c r="L5" s="17">
        <f>L6*(-1)</f>
        <v>16745.625</v>
      </c>
      <c r="M5" s="17"/>
      <c r="N5" s="17">
        <f>N6*(-1)</f>
        <v>0</v>
      </c>
      <c r="O5" s="17"/>
      <c r="P5" s="17"/>
      <c r="R5" s="32"/>
    </row>
    <row r="6" spans="1:18">
      <c r="A6" s="16" t="s">
        <v>464</v>
      </c>
      <c r="B6" s="17" t="s">
        <v>204</v>
      </c>
      <c r="C6" s="17">
        <f>'lokale energieproductie'!O55+'lokale energieproductie'!O48</f>
        <v>98925.991071428594</v>
      </c>
      <c r="D6" s="302">
        <f>('lokale energieproductie'!P48+'lokale energieproductie'!P55)*(-1)</f>
        <v>-180102.85714285719</v>
      </c>
      <c r="E6" s="245"/>
      <c r="F6" s="302">
        <f>('lokale energieproductie'!S48+'lokale energieproductie'!S55)*(-1)</f>
        <v>-2975.625</v>
      </c>
      <c r="G6" s="246"/>
      <c r="H6" s="245"/>
      <c r="I6" s="245"/>
      <c r="J6" s="245"/>
      <c r="K6" s="245"/>
      <c r="L6" s="302">
        <f>('lokale energieproductie'!T48+'lokale energieproductie'!U48+'lokale energieproductie'!T55+'lokale energieproductie'!U55)*(-1)</f>
        <v>-16745.625</v>
      </c>
      <c r="M6" s="245"/>
      <c r="N6" s="302">
        <f>('lokale energieproductie'!V48+'lokale energieproductie'!R48+'lokale energieproductie'!Q48+'lokale energieproductie'!Q55+'lokale energieproductie'!R55+'lokale energieproductie'!V55)*(-1)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2473.038395</v>
      </c>
      <c r="C8" s="21">
        <f>C5+C6</f>
        <v>98925.991071428594</v>
      </c>
      <c r="D8" s="21">
        <f>MAX((D5+D6),0)</f>
        <v>0</v>
      </c>
      <c r="E8" s="21">
        <f>MAX((E5+E6),0)</f>
        <v>100.47077047354223</v>
      </c>
      <c r="F8" s="21">
        <f>MAX((F5+F6),0)</f>
        <v>5772.3771426614039</v>
      </c>
      <c r="G8" s="21"/>
      <c r="H8" s="21"/>
      <c r="I8" s="21"/>
      <c r="J8" s="21">
        <f>MAX((J5+J6),0)</f>
        <v>702.64147118206256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0.20551879326591874</v>
      </c>
      <c r="C10" s="31">
        <f ca="1">'EF ele_warmte'!B22</f>
        <v>0.21887453253608452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508.25586664068447</v>
      </c>
      <c r="C12" s="23">
        <f ca="1">C8*C10</f>
        <v>21652.380051427805</v>
      </c>
      <c r="D12" s="23">
        <f>D8*D10</f>
        <v>0</v>
      </c>
      <c r="E12" s="23">
        <f>E8*E10</f>
        <v>22.806864897494087</v>
      </c>
      <c r="F12" s="23">
        <f>F8*F10</f>
        <v>1541.2246970905949</v>
      </c>
      <c r="G12" s="23"/>
      <c r="H12" s="23"/>
      <c r="I12" s="23"/>
      <c r="J12" s="23">
        <f>J8*J10</f>
        <v>248.73508079845013</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0.36763488583523979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130.4157738041641</v>
      </c>
      <c r="C26" s="244">
        <f>B26*'GWP N2O_CH4'!B5</f>
        <v>2738.7312498874462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27.190345883650771</v>
      </c>
      <c r="C27" s="244">
        <f>B27*'GWP N2O_CH4'!B5</f>
        <v>570.99726355666621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2.0719514821477398</v>
      </c>
      <c r="C28" s="244">
        <f>B28*'GWP N2O_CH4'!B4</f>
        <v>642.30495946579936</v>
      </c>
      <c r="D28" s="50"/>
    </row>
    <row r="29" spans="1:4">
      <c r="A29" s="41" t="s">
        <v>265</v>
      </c>
      <c r="B29" s="244">
        <f>B34*'ha_N2O bodem landbouw'!B4</f>
        <v>10.256005740800266</v>
      </c>
      <c r="C29" s="244">
        <f>B29*'GWP N2O_CH4'!B4</f>
        <v>3179.3617796480821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2.2489574037260741E-3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4.2877408084325135E-4</v>
      </c>
      <c r="C5" s="429" t="s">
        <v>204</v>
      </c>
      <c r="D5" s="414">
        <f>SUM(D6:D11)</f>
        <v>7.6822663265075156E-4</v>
      </c>
      <c r="E5" s="414">
        <f>SUM(E6:E11)</f>
        <v>6.572946645987841E-4</v>
      </c>
      <c r="F5" s="427" t="s">
        <v>204</v>
      </c>
      <c r="G5" s="414">
        <f>SUM(G6:G11)</f>
        <v>0.26770949999082266</v>
      </c>
      <c r="H5" s="414">
        <f>SUM(H6:H11)</f>
        <v>7.3579895496536166E-2</v>
      </c>
      <c r="I5" s="429" t="s">
        <v>204</v>
      </c>
      <c r="J5" s="429" t="s">
        <v>204</v>
      </c>
      <c r="K5" s="429" t="s">
        <v>204</v>
      </c>
      <c r="L5" s="429" t="s">
        <v>204</v>
      </c>
      <c r="M5" s="414">
        <f>SUM(M6:M11)</f>
        <v>2.0303019933736479E-2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3.338860337870968E-4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5.6645531103077297E-4</v>
      </c>
      <c r="E6" s="843">
        <f>vkm_GW_PW*SUMIFS(TableVerdeelsleutelVkm[LPG],TableVerdeelsleutelVkm[Voertuigtype],"Lichte voertuigen")*SUMIFS(TableECFTransport[EnergieConsumptieFactor (PJ per km)],TableECFTransport[Index],CONCATENATE($A6,"_LPG_LPG"))</f>
        <v>4.904423214527055E-4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0.15666784095711947</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5.4502782457836879E-2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1.263928760408229E-2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1.5634555664439216E-6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5.9672533198806908E-2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9.5102996062007759E-7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3.4396748776971435E-3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9.328555580903279E-5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2.0177132161997859E-4</v>
      </c>
      <c r="E8" s="417">
        <f>vkm_NGW_PW*SUMIFS(TableVerdeelsleutelVkm[LPG],TableVerdeelsleutelVkm[Voertuigtype],"Lichte voertuigen")*SUMIFS(TableECFTransport[EnergieConsumptieFactor (PJ per km)],TableECFTransport[Index],CONCATENATE($A8,"_LPG_LPG"))</f>
        <v>1.6685234314607855E-4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4.9453772584937571E-2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1.9076133348034336E-2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4.1136517974093741E-3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3.9035680677832475E-8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1.9153532499587246E-3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2.8660704321788005E-8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1.1040565454766977E-4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119.1039113453476</v>
      </c>
      <c r="C14" s="21"/>
      <c r="D14" s="21">
        <f t="shared" ref="D14:M14" si="0">((D5)*10^9/3600)+D12</f>
        <v>213.39628684743099</v>
      </c>
      <c r="E14" s="21">
        <f t="shared" si="0"/>
        <v>182.58185127744002</v>
      </c>
      <c r="F14" s="21"/>
      <c r="G14" s="21">
        <f t="shared" si="0"/>
        <v>74363.749997450737</v>
      </c>
      <c r="H14" s="21">
        <f t="shared" si="0"/>
        <v>20438.859860148936</v>
      </c>
      <c r="I14" s="21"/>
      <c r="J14" s="21"/>
      <c r="K14" s="21"/>
      <c r="L14" s="21"/>
      <c r="M14" s="21">
        <f t="shared" si="0"/>
        <v>5639.7277593712442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0.20551879326591874</v>
      </c>
      <c r="C16" s="56">
        <f ca="1">'EF ele_warmte'!B22</f>
        <v>0.21887453253608452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24.478092132946806</v>
      </c>
      <c r="C18" s="23"/>
      <c r="D18" s="23">
        <f t="shared" ref="D18:M18" si="1">D14*D16</f>
        <v>43.106049943181063</v>
      </c>
      <c r="E18" s="23">
        <f t="shared" si="1"/>
        <v>41.446080239978883</v>
      </c>
      <c r="F18" s="23"/>
      <c r="G18" s="23">
        <f t="shared" si="1"/>
        <v>19855.121249319349</v>
      </c>
      <c r="H18" s="23">
        <f t="shared" si="1"/>
        <v>5089.2761051770849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7.0296713004210475E-5</v>
      </c>
      <c r="C50" s="313">
        <f t="shared" ref="C50:P50" si="2">SUM(C51:C52)</f>
        <v>0</v>
      </c>
      <c r="D50" s="313">
        <f t="shared" si="2"/>
        <v>0</v>
      </c>
      <c r="E50" s="313">
        <f t="shared" si="2"/>
        <v>0</v>
      </c>
      <c r="F50" s="313">
        <f t="shared" si="2"/>
        <v>0</v>
      </c>
      <c r="G50" s="313">
        <f t="shared" si="2"/>
        <v>5.0931028079149419E-3</v>
      </c>
      <c r="H50" s="313">
        <f t="shared" si="2"/>
        <v>0</v>
      </c>
      <c r="I50" s="313">
        <f t="shared" si="2"/>
        <v>0</v>
      </c>
      <c r="J50" s="313">
        <f t="shared" si="2"/>
        <v>0</v>
      </c>
      <c r="K50" s="313">
        <f t="shared" si="2"/>
        <v>0</v>
      </c>
      <c r="L50" s="313">
        <f t="shared" si="2"/>
        <v>0</v>
      </c>
      <c r="M50" s="313">
        <f t="shared" si="2"/>
        <v>2.8808106224576283E-4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7.0296713004210475E-5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5.0931028079149419E-3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2.8808106224576283E-4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19.526864723391796</v>
      </c>
      <c r="C54" s="21">
        <f t="shared" ref="C54:P54" si="3">(C50)*10^9/3600</f>
        <v>0</v>
      </c>
      <c r="D54" s="21">
        <f t="shared" si="3"/>
        <v>0</v>
      </c>
      <c r="E54" s="21">
        <f t="shared" si="3"/>
        <v>0</v>
      </c>
      <c r="F54" s="21">
        <f t="shared" si="3"/>
        <v>0</v>
      </c>
      <c r="G54" s="21">
        <f t="shared" si="3"/>
        <v>1414.7507799763728</v>
      </c>
      <c r="H54" s="21">
        <f t="shared" si="3"/>
        <v>0</v>
      </c>
      <c r="I54" s="21">
        <f t="shared" si="3"/>
        <v>0</v>
      </c>
      <c r="J54" s="21">
        <f t="shared" si="3"/>
        <v>0</v>
      </c>
      <c r="K54" s="21">
        <f t="shared" si="3"/>
        <v>0</v>
      </c>
      <c r="L54" s="21">
        <f t="shared" si="3"/>
        <v>0</v>
      </c>
      <c r="M54" s="21">
        <f t="shared" si="3"/>
        <v>80.022517290489674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0.20551879326591874</v>
      </c>
      <c r="C56" s="56">
        <f ca="1">'EF ele_warmte'!B22</f>
        <v>0.21887453253608452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4.0131376742183198</v>
      </c>
      <c r="C58" s="23">
        <f t="shared" ref="C58:P58" ca="1" si="4">C54*C56</f>
        <v>0</v>
      </c>
      <c r="D58" s="23">
        <f t="shared" si="4"/>
        <v>0</v>
      </c>
      <c r="E58" s="23">
        <f t="shared" si="4"/>
        <v>0</v>
      </c>
      <c r="F58" s="23">
        <f t="shared" si="4"/>
        <v>0</v>
      </c>
      <c r="G58" s="23">
        <f t="shared" si="4"/>
        <v>377.73845825369153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7"/>
  <sheetViews>
    <sheetView showGridLines="0" zoomScale="65" zoomScaleNormal="65" workbookViewId="0">
      <selection activeCell="A28" sqref="A28:XFD45"/>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4611.1618012532726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N45</f>
        <v>70956.791666666672</v>
      </c>
      <c r="C8" s="539">
        <f>B64</f>
        <v>75241.984193901226</v>
      </c>
      <c r="D8" s="540"/>
      <c r="E8" s="540">
        <f>E64</f>
        <v>1242.5235922620082</v>
      </c>
      <c r="F8" s="541"/>
      <c r="G8" s="542"/>
      <c r="H8" s="540">
        <f>I64</f>
        <v>0</v>
      </c>
      <c r="I8" s="540">
        <f>G64+F64</f>
        <v>6992.4248282873314</v>
      </c>
      <c r="J8" s="540">
        <f>H64+D64+C64</f>
        <v>0</v>
      </c>
      <c r="K8" s="540"/>
      <c r="L8" s="540"/>
      <c r="M8" s="540"/>
      <c r="N8" s="543"/>
      <c r="O8" s="544">
        <f>C8*$C$12+D8*$D$12+E8*$E$12+F8*$F$12+G8*$G$12+H8*$H$12+I8*$I$12+J8*$J$12</f>
        <v>15530.634606302005</v>
      </c>
      <c r="P8" s="1230"/>
      <c r="Q8" s="1231"/>
      <c r="S8" s="534"/>
      <c r="T8" s="1227"/>
      <c r="U8" s="1227"/>
    </row>
    <row r="9" spans="1:21" s="525" customFormat="1" ht="17.45" customHeight="1" thickBot="1">
      <c r="A9" s="545" t="s">
        <v>236</v>
      </c>
      <c r="B9" s="546">
        <f>N52+'Eigen informatie GS &amp; warmtenet'!B12</f>
        <v>0</v>
      </c>
      <c r="C9" s="547">
        <f>P52+IF(ISERROR(('Eigen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S52+IF(ISERROR('Eigen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W52+IF(ISERROR('Eigen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(T52+U52)+IF(ISERROR('Eigen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V52+Q52+R52+IF(ISERROR('Eigen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75567.953467919942</v>
      </c>
      <c r="C10" s="554">
        <f t="shared" ref="C10:L10" si="0">SUM(C8:C9)</f>
        <v>75241.984193901226</v>
      </c>
      <c r="D10" s="554">
        <f t="shared" si="0"/>
        <v>0</v>
      </c>
      <c r="E10" s="554">
        <f t="shared" si="0"/>
        <v>1242.5235922620082</v>
      </c>
      <c r="F10" s="554">
        <f t="shared" si="0"/>
        <v>0</v>
      </c>
      <c r="G10" s="554">
        <f t="shared" si="0"/>
        <v>0</v>
      </c>
      <c r="H10" s="554">
        <f t="shared" si="0"/>
        <v>0</v>
      </c>
      <c r="I10" s="554">
        <f t="shared" si="0"/>
        <v>6992.4248282873314</v>
      </c>
      <c r="J10" s="554">
        <f t="shared" si="0"/>
        <v>0</v>
      </c>
      <c r="K10" s="554">
        <f t="shared" si="0"/>
        <v>0</v>
      </c>
      <c r="L10" s="554">
        <f t="shared" si="0"/>
        <v>0</v>
      </c>
      <c r="M10" s="923"/>
      <c r="N10" s="923"/>
      <c r="O10" s="555">
        <f>SUM(O4:O9)</f>
        <v>15530.634606302005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O45</f>
        <v>98972.21774453028</v>
      </c>
      <c r="C17" s="570">
        <f>B65</f>
        <v>104949.30602488904</v>
      </c>
      <c r="D17" s="571"/>
      <c r="E17" s="571">
        <f>E65</f>
        <v>1733.1014077379918</v>
      </c>
      <c r="F17" s="572"/>
      <c r="G17" s="573"/>
      <c r="H17" s="570">
        <f>I65</f>
        <v>0</v>
      </c>
      <c r="I17" s="571">
        <f>G65+F65</f>
        <v>9753.2001717126695</v>
      </c>
      <c r="J17" s="571">
        <f>H65+D65+C65</f>
        <v>0</v>
      </c>
      <c r="K17" s="571"/>
      <c r="L17" s="571"/>
      <c r="M17" s="571"/>
      <c r="N17" s="924"/>
      <c r="O17" s="574">
        <f>C17*$C$22+E17*$E$22+H17*$H$22+I17*$I$22+J17*$J$22+D17*$D$22+F17*$F$22+G17*$G$22+K17*$K$22+L17*$L$22</f>
        <v>21662.497892893633</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98972.21774453028</v>
      </c>
      <c r="C20" s="553">
        <f>SUM(C17:C19)</f>
        <v>104949.30602488904</v>
      </c>
      <c r="D20" s="553">
        <f t="shared" ref="D20:L20" si="1">SUM(D17:D19)</f>
        <v>0</v>
      </c>
      <c r="E20" s="553">
        <f t="shared" si="1"/>
        <v>1733.1014077379918</v>
      </c>
      <c r="F20" s="553">
        <f t="shared" si="1"/>
        <v>0</v>
      </c>
      <c r="G20" s="553">
        <f t="shared" si="1"/>
        <v>0</v>
      </c>
      <c r="H20" s="553">
        <f t="shared" si="1"/>
        <v>0</v>
      </c>
      <c r="I20" s="553">
        <f t="shared" si="1"/>
        <v>9753.2001717126695</v>
      </c>
      <c r="J20" s="553">
        <f t="shared" si="1"/>
        <v>0</v>
      </c>
      <c r="K20" s="553">
        <f t="shared" si="1"/>
        <v>0</v>
      </c>
      <c r="L20" s="553">
        <f t="shared" si="1"/>
        <v>0</v>
      </c>
      <c r="M20" s="553"/>
      <c r="N20" s="553"/>
      <c r="O20" s="579">
        <f>SUM(O17:O19)</f>
        <v>21662.497892893633</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12029</v>
      </c>
      <c r="C28" s="745">
        <v>2580</v>
      </c>
      <c r="D28" s="631"/>
      <c r="E28" s="630"/>
      <c r="F28" s="630"/>
      <c r="G28" s="630" t="s">
        <v>883</v>
      </c>
      <c r="H28" s="630" t="s">
        <v>884</v>
      </c>
      <c r="I28" s="630"/>
      <c r="J28" s="744"/>
      <c r="K28" s="744"/>
      <c r="L28" s="630" t="s">
        <v>885</v>
      </c>
      <c r="M28" s="630">
        <v>1147</v>
      </c>
      <c r="N28" s="630">
        <v>5161.5</v>
      </c>
      <c r="O28" s="630">
        <v>7373.5714285714284</v>
      </c>
      <c r="P28" s="630">
        <v>14747.142857142859</v>
      </c>
      <c r="Q28" s="630">
        <v>0</v>
      </c>
      <c r="R28" s="630">
        <v>0</v>
      </c>
      <c r="S28" s="630">
        <v>0</v>
      </c>
      <c r="T28" s="630">
        <v>0</v>
      </c>
      <c r="U28" s="630">
        <v>0</v>
      </c>
      <c r="V28" s="630">
        <v>0</v>
      </c>
      <c r="W28" s="630">
        <v>0</v>
      </c>
      <c r="X28" s="630"/>
      <c r="Y28" s="630">
        <v>10</v>
      </c>
      <c r="Z28" s="630" t="s">
        <v>105</v>
      </c>
      <c r="AA28" s="632" t="s">
        <v>105</v>
      </c>
    </row>
    <row r="29" spans="1:27" s="584" customFormat="1" ht="25.5" hidden="1">
      <c r="A29" s="583"/>
      <c r="B29" s="745">
        <v>12029</v>
      </c>
      <c r="C29" s="745">
        <v>2580</v>
      </c>
      <c r="D29" s="631"/>
      <c r="E29" s="630"/>
      <c r="F29" s="630"/>
      <c r="G29" s="630" t="s">
        <v>883</v>
      </c>
      <c r="H29" s="630" t="s">
        <v>884</v>
      </c>
      <c r="I29" s="630"/>
      <c r="J29" s="744"/>
      <c r="K29" s="744"/>
      <c r="L29" s="630" t="s">
        <v>885</v>
      </c>
      <c r="M29" s="630">
        <v>3602</v>
      </c>
      <c r="N29" s="630">
        <v>16209</v>
      </c>
      <c r="O29" s="630">
        <v>23155.714285714286</v>
      </c>
      <c r="P29" s="630">
        <v>46311.428571428572</v>
      </c>
      <c r="Q29" s="630">
        <v>0</v>
      </c>
      <c r="R29" s="630">
        <v>0</v>
      </c>
      <c r="S29" s="630">
        <v>0</v>
      </c>
      <c r="T29" s="630">
        <v>0</v>
      </c>
      <c r="U29" s="630">
        <v>0</v>
      </c>
      <c r="V29" s="630">
        <v>0</v>
      </c>
      <c r="W29" s="630">
        <v>0</v>
      </c>
      <c r="X29" s="630"/>
      <c r="Y29" s="630">
        <v>10</v>
      </c>
      <c r="Z29" s="630" t="s">
        <v>105</v>
      </c>
      <c r="AA29" s="632" t="s">
        <v>105</v>
      </c>
    </row>
    <row r="30" spans="1:27" s="584" customFormat="1" ht="25.5" hidden="1">
      <c r="A30" s="583"/>
      <c r="B30" s="745">
        <v>12029</v>
      </c>
      <c r="C30" s="745">
        <v>2580</v>
      </c>
      <c r="D30" s="631"/>
      <c r="E30" s="630"/>
      <c r="F30" s="630"/>
      <c r="G30" s="630" t="s">
        <v>883</v>
      </c>
      <c r="H30" s="630" t="s">
        <v>884</v>
      </c>
      <c r="I30" s="630"/>
      <c r="J30" s="744"/>
      <c r="K30" s="744"/>
      <c r="L30" s="630" t="s">
        <v>885</v>
      </c>
      <c r="M30" s="630">
        <v>1464</v>
      </c>
      <c r="N30" s="630">
        <v>6588</v>
      </c>
      <c r="O30" s="630">
        <v>9411.4285714285725</v>
      </c>
      <c r="P30" s="630">
        <v>18822.857142857145</v>
      </c>
      <c r="Q30" s="630">
        <v>0</v>
      </c>
      <c r="R30" s="630">
        <v>0</v>
      </c>
      <c r="S30" s="630">
        <v>0</v>
      </c>
      <c r="T30" s="630">
        <v>0</v>
      </c>
      <c r="U30" s="630">
        <v>0</v>
      </c>
      <c r="V30" s="630">
        <v>0</v>
      </c>
      <c r="W30" s="630">
        <v>0</v>
      </c>
      <c r="X30" s="630"/>
      <c r="Y30" s="630">
        <v>10</v>
      </c>
      <c r="Z30" s="630" t="s">
        <v>105</v>
      </c>
      <c r="AA30" s="632" t="s">
        <v>105</v>
      </c>
    </row>
    <row r="31" spans="1:27" s="584" customFormat="1" ht="25.5" hidden="1">
      <c r="A31" s="583"/>
      <c r="B31" s="745">
        <v>12029</v>
      </c>
      <c r="C31" s="745">
        <v>2580</v>
      </c>
      <c r="D31" s="631"/>
      <c r="E31" s="630"/>
      <c r="F31" s="630"/>
      <c r="G31" s="630" t="s">
        <v>883</v>
      </c>
      <c r="H31" s="630" t="s">
        <v>884</v>
      </c>
      <c r="I31" s="630"/>
      <c r="J31" s="744"/>
      <c r="K31" s="744"/>
      <c r="L31" s="630" t="s">
        <v>885</v>
      </c>
      <c r="M31" s="630">
        <v>485</v>
      </c>
      <c r="N31" s="630">
        <v>2182.5</v>
      </c>
      <c r="O31" s="630">
        <v>3117.8571428571431</v>
      </c>
      <c r="P31" s="630">
        <v>6235.7142857142862</v>
      </c>
      <c r="Q31" s="630">
        <v>0</v>
      </c>
      <c r="R31" s="630">
        <v>0</v>
      </c>
      <c r="S31" s="630">
        <v>0</v>
      </c>
      <c r="T31" s="630">
        <v>0</v>
      </c>
      <c r="U31" s="630">
        <v>0</v>
      </c>
      <c r="V31" s="630">
        <v>0</v>
      </c>
      <c r="W31" s="630">
        <v>0</v>
      </c>
      <c r="X31" s="630"/>
      <c r="Y31" s="630">
        <v>10</v>
      </c>
      <c r="Z31" s="630" t="s">
        <v>105</v>
      </c>
      <c r="AA31" s="632" t="s">
        <v>105</v>
      </c>
    </row>
    <row r="32" spans="1:27" s="584" customFormat="1" ht="38.25" hidden="1">
      <c r="A32" s="583"/>
      <c r="B32" s="745">
        <v>12029</v>
      </c>
      <c r="C32" s="745">
        <v>2580</v>
      </c>
      <c r="D32" s="631"/>
      <c r="E32" s="630"/>
      <c r="F32" s="630"/>
      <c r="G32" s="630" t="s">
        <v>883</v>
      </c>
      <c r="H32" s="630" t="s">
        <v>886</v>
      </c>
      <c r="I32" s="630"/>
      <c r="J32" s="744"/>
      <c r="K32" s="744"/>
      <c r="L32" s="630" t="s">
        <v>885</v>
      </c>
      <c r="M32" s="630">
        <v>1058</v>
      </c>
      <c r="N32" s="630">
        <v>4761</v>
      </c>
      <c r="O32" s="630">
        <v>5356.125</v>
      </c>
      <c r="P32" s="630">
        <v>0</v>
      </c>
      <c r="Q32" s="630">
        <v>0</v>
      </c>
      <c r="R32" s="630">
        <v>0</v>
      </c>
      <c r="S32" s="630">
        <v>2975.625</v>
      </c>
      <c r="T32" s="630">
        <v>8926.875</v>
      </c>
      <c r="U32" s="630">
        <v>0</v>
      </c>
      <c r="V32" s="630">
        <v>0</v>
      </c>
      <c r="W32" s="630">
        <v>0</v>
      </c>
      <c r="X32" s="630"/>
      <c r="Y32" s="630">
        <v>10</v>
      </c>
      <c r="Z32" s="630" t="s">
        <v>105</v>
      </c>
      <c r="AA32" s="632" t="s">
        <v>105</v>
      </c>
    </row>
    <row r="33" spans="1:27" s="584" customFormat="1" ht="38.25" hidden="1">
      <c r="A33" s="583"/>
      <c r="B33" s="745">
        <v>12029</v>
      </c>
      <c r="C33" s="745">
        <v>2580</v>
      </c>
      <c r="D33" s="631"/>
      <c r="E33" s="630"/>
      <c r="F33" s="630"/>
      <c r="G33" s="630" t="s">
        <v>883</v>
      </c>
      <c r="H33" s="630" t="s">
        <v>886</v>
      </c>
      <c r="I33" s="630"/>
      <c r="J33" s="744"/>
      <c r="K33" s="744"/>
      <c r="L33" s="630" t="s">
        <v>885</v>
      </c>
      <c r="M33" s="630">
        <v>695</v>
      </c>
      <c r="N33" s="630">
        <v>3127.5</v>
      </c>
      <c r="O33" s="630">
        <v>3518.4375</v>
      </c>
      <c r="P33" s="630">
        <v>0</v>
      </c>
      <c r="Q33" s="630">
        <v>0</v>
      </c>
      <c r="R33" s="630">
        <v>0</v>
      </c>
      <c r="S33" s="630">
        <v>0</v>
      </c>
      <c r="T33" s="630">
        <v>7818.75</v>
      </c>
      <c r="U33" s="630">
        <v>0</v>
      </c>
      <c r="V33" s="630">
        <v>0</v>
      </c>
      <c r="W33" s="630">
        <v>0</v>
      </c>
      <c r="X33" s="630"/>
      <c r="Y33" s="630">
        <v>10</v>
      </c>
      <c r="Z33" s="630" t="s">
        <v>105</v>
      </c>
      <c r="AA33" s="632" t="s">
        <v>105</v>
      </c>
    </row>
    <row r="34" spans="1:27" s="584" customFormat="1" ht="25.5" hidden="1">
      <c r="A34" s="583"/>
      <c r="B34" s="745">
        <v>12029</v>
      </c>
      <c r="C34" s="745">
        <v>2580</v>
      </c>
      <c r="D34" s="631"/>
      <c r="E34" s="630"/>
      <c r="F34" s="630"/>
      <c r="G34" s="630" t="s">
        <v>883</v>
      </c>
      <c r="H34" s="630" t="s">
        <v>884</v>
      </c>
      <c r="I34" s="630"/>
      <c r="J34" s="744"/>
      <c r="K34" s="744"/>
      <c r="L34" s="630" t="s">
        <v>885</v>
      </c>
      <c r="M34" s="630">
        <v>1400</v>
      </c>
      <c r="N34" s="630">
        <v>6300</v>
      </c>
      <c r="O34" s="630">
        <v>9000</v>
      </c>
      <c r="P34" s="630">
        <v>18000</v>
      </c>
      <c r="Q34" s="630">
        <v>0</v>
      </c>
      <c r="R34" s="630">
        <v>0</v>
      </c>
      <c r="S34" s="630">
        <v>0</v>
      </c>
      <c r="T34" s="630">
        <v>0</v>
      </c>
      <c r="U34" s="630">
        <v>0</v>
      </c>
      <c r="V34" s="630">
        <v>0</v>
      </c>
      <c r="W34" s="630">
        <v>0</v>
      </c>
      <c r="X34" s="630"/>
      <c r="Y34" s="630">
        <v>10</v>
      </c>
      <c r="Z34" s="630" t="s">
        <v>105</v>
      </c>
      <c r="AA34" s="632" t="s">
        <v>105</v>
      </c>
    </row>
    <row r="35" spans="1:27" s="584" customFormat="1" ht="25.5" hidden="1">
      <c r="A35" s="583"/>
      <c r="B35" s="745">
        <v>12029</v>
      </c>
      <c r="C35" s="745">
        <v>2580</v>
      </c>
      <c r="D35" s="631"/>
      <c r="E35" s="630"/>
      <c r="F35" s="630"/>
      <c r="G35" s="630" t="s">
        <v>883</v>
      </c>
      <c r="H35" s="630" t="s">
        <v>884</v>
      </c>
      <c r="I35" s="630"/>
      <c r="J35" s="744"/>
      <c r="K35" s="744"/>
      <c r="L35" s="630" t="s">
        <v>885</v>
      </c>
      <c r="M35" s="630">
        <v>800</v>
      </c>
      <c r="N35" s="630">
        <v>3600</v>
      </c>
      <c r="O35" s="630">
        <v>5142.8571428571431</v>
      </c>
      <c r="P35" s="630">
        <v>10285.714285714286</v>
      </c>
      <c r="Q35" s="630">
        <v>0</v>
      </c>
      <c r="R35" s="630">
        <v>0</v>
      </c>
      <c r="S35" s="630">
        <v>0</v>
      </c>
      <c r="T35" s="630">
        <v>0</v>
      </c>
      <c r="U35" s="630">
        <v>0</v>
      </c>
      <c r="V35" s="630">
        <v>0</v>
      </c>
      <c r="W35" s="630">
        <v>0</v>
      </c>
      <c r="X35" s="630"/>
      <c r="Y35" s="630">
        <v>10</v>
      </c>
      <c r="Z35" s="630" t="s">
        <v>105</v>
      </c>
      <c r="AA35" s="632" t="s">
        <v>105</v>
      </c>
    </row>
    <row r="36" spans="1:27" s="584" customFormat="1" ht="12.75" hidden="1">
      <c r="A36" s="583"/>
      <c r="B36" s="745">
        <v>12029</v>
      </c>
      <c r="C36" s="745">
        <v>2580</v>
      </c>
      <c r="D36" s="631"/>
      <c r="E36" s="630"/>
      <c r="F36" s="630"/>
      <c r="G36" s="630" t="s">
        <v>887</v>
      </c>
      <c r="H36" s="630" t="s">
        <v>887</v>
      </c>
      <c r="I36" s="630"/>
      <c r="J36" s="744"/>
      <c r="K36" s="744"/>
      <c r="L36" s="630" t="s">
        <v>885</v>
      </c>
      <c r="M36" s="630">
        <v>1.7</v>
      </c>
      <c r="N36" s="630">
        <v>8.5</v>
      </c>
      <c r="O36" s="630">
        <v>12.175675675675675</v>
      </c>
      <c r="P36" s="630">
        <v>22.972972972972972</v>
      </c>
      <c r="Q36" s="630">
        <v>0</v>
      </c>
      <c r="R36" s="630">
        <v>0</v>
      </c>
      <c r="S36" s="630">
        <v>0</v>
      </c>
      <c r="T36" s="630">
        <v>0</v>
      </c>
      <c r="U36" s="630">
        <v>0</v>
      </c>
      <c r="V36" s="630">
        <v>0</v>
      </c>
      <c r="W36" s="630">
        <v>0</v>
      </c>
      <c r="X36" s="630"/>
      <c r="Y36" s="630">
        <v>16000</v>
      </c>
      <c r="Z36" s="630" t="s">
        <v>888</v>
      </c>
      <c r="AA36" s="632" t="s">
        <v>371</v>
      </c>
    </row>
    <row r="37" spans="1:27" s="584" customFormat="1" ht="25.5" hidden="1">
      <c r="A37" s="583"/>
      <c r="B37" s="745">
        <v>12029</v>
      </c>
      <c r="C37" s="745">
        <v>2580</v>
      </c>
      <c r="D37" s="631"/>
      <c r="E37" s="630"/>
      <c r="F37" s="630"/>
      <c r="G37" s="630" t="s">
        <v>889</v>
      </c>
      <c r="H37" s="630" t="s">
        <v>884</v>
      </c>
      <c r="I37" s="630"/>
      <c r="J37" s="744"/>
      <c r="K37" s="744"/>
      <c r="L37" s="630" t="s">
        <v>890</v>
      </c>
      <c r="M37" s="630">
        <v>4383</v>
      </c>
      <c r="N37" s="630">
        <v>19723.5</v>
      </c>
      <c r="O37" s="630">
        <v>28176.428571428572</v>
      </c>
      <c r="P37" s="630">
        <v>56352.857142857145</v>
      </c>
      <c r="Q37" s="630">
        <v>0</v>
      </c>
      <c r="R37" s="630">
        <v>0</v>
      </c>
      <c r="S37" s="630">
        <v>0</v>
      </c>
      <c r="T37" s="630">
        <v>0</v>
      </c>
      <c r="U37" s="630">
        <v>0</v>
      </c>
      <c r="V37" s="630">
        <v>0</v>
      </c>
      <c r="W37" s="630">
        <v>0</v>
      </c>
      <c r="X37" s="630"/>
      <c r="Y37" s="630">
        <v>10</v>
      </c>
      <c r="Z37" s="630" t="s">
        <v>105</v>
      </c>
      <c r="AA37" s="632" t="s">
        <v>105</v>
      </c>
    </row>
    <row r="38" spans="1:27" s="584" customFormat="1" ht="25.5" hidden="1">
      <c r="A38" s="583"/>
      <c r="B38" s="745">
        <v>12029</v>
      </c>
      <c r="C38" s="745">
        <v>2580</v>
      </c>
      <c r="D38" s="631"/>
      <c r="E38" s="630"/>
      <c r="F38" s="630"/>
      <c r="G38" s="630" t="s">
        <v>889</v>
      </c>
      <c r="H38" s="630" t="s">
        <v>884</v>
      </c>
      <c r="I38" s="630"/>
      <c r="J38" s="744"/>
      <c r="K38" s="744"/>
      <c r="L38" s="630" t="s">
        <v>890</v>
      </c>
      <c r="M38" s="630">
        <v>3360</v>
      </c>
      <c r="N38" s="630">
        <v>2520</v>
      </c>
      <c r="O38" s="630">
        <v>3600</v>
      </c>
      <c r="P38" s="630">
        <v>7200.0000000000009</v>
      </c>
      <c r="Q38" s="630">
        <v>0</v>
      </c>
      <c r="R38" s="630">
        <v>0</v>
      </c>
      <c r="S38" s="630">
        <v>0</v>
      </c>
      <c r="T38" s="630">
        <v>0</v>
      </c>
      <c r="U38" s="630">
        <v>0</v>
      </c>
      <c r="V38" s="630">
        <v>0</v>
      </c>
      <c r="W38" s="630">
        <v>0</v>
      </c>
      <c r="X38" s="630"/>
      <c r="Y38" s="630">
        <v>10</v>
      </c>
      <c r="Z38" s="630" t="s">
        <v>105</v>
      </c>
      <c r="AA38" s="632" t="s">
        <v>105</v>
      </c>
    </row>
    <row r="39" spans="1:27" s="584" customFormat="1" ht="25.5" hidden="1">
      <c r="A39" s="583"/>
      <c r="B39" s="745">
        <v>12029</v>
      </c>
      <c r="C39" s="745">
        <v>2580</v>
      </c>
      <c r="D39" s="631"/>
      <c r="E39" s="630"/>
      <c r="F39" s="630"/>
      <c r="G39" s="630" t="s">
        <v>889</v>
      </c>
      <c r="H39" s="630" t="s">
        <v>884</v>
      </c>
      <c r="I39" s="630"/>
      <c r="J39" s="744"/>
      <c r="K39" s="744"/>
      <c r="L39" s="630" t="s">
        <v>890</v>
      </c>
      <c r="M39" s="630">
        <v>2004</v>
      </c>
      <c r="N39" s="630">
        <v>751.5</v>
      </c>
      <c r="O39" s="630">
        <v>1073.5714285714287</v>
      </c>
      <c r="P39" s="630">
        <v>2147.1428571428573</v>
      </c>
      <c r="Q39" s="630">
        <v>0</v>
      </c>
      <c r="R39" s="630">
        <v>0</v>
      </c>
      <c r="S39" s="630">
        <v>0</v>
      </c>
      <c r="T39" s="630">
        <v>0</v>
      </c>
      <c r="U39" s="630">
        <v>0</v>
      </c>
      <c r="V39" s="630">
        <v>0</v>
      </c>
      <c r="W39" s="630">
        <v>0</v>
      </c>
      <c r="X39" s="630"/>
      <c r="Y39" s="630">
        <v>10</v>
      </c>
      <c r="Z39" s="630" t="s">
        <v>105</v>
      </c>
      <c r="AA39" s="632" t="s">
        <v>105</v>
      </c>
    </row>
    <row r="40" spans="1:27" s="584" customFormat="1" ht="12.75" hidden="1">
      <c r="A40" s="583"/>
      <c r="B40" s="745">
        <v>12029</v>
      </c>
      <c r="C40" s="745">
        <v>2580</v>
      </c>
      <c r="D40" s="631"/>
      <c r="E40" s="630"/>
      <c r="F40" s="630"/>
      <c r="G40" s="630" t="s">
        <v>891</v>
      </c>
      <c r="H40" s="630" t="s">
        <v>887</v>
      </c>
      <c r="I40" s="630"/>
      <c r="J40" s="744"/>
      <c r="K40" s="744"/>
      <c r="L40" s="630" t="s">
        <v>890</v>
      </c>
      <c r="M40" s="630">
        <v>1.7</v>
      </c>
      <c r="N40" s="630">
        <v>5.6666666666666661</v>
      </c>
      <c r="O40" s="630">
        <v>8.1171171171171164</v>
      </c>
      <c r="P40" s="630">
        <v>15.315315315315313</v>
      </c>
      <c r="Q40" s="630">
        <v>0</v>
      </c>
      <c r="R40" s="630">
        <v>0</v>
      </c>
      <c r="S40" s="630">
        <v>0</v>
      </c>
      <c r="T40" s="630">
        <v>0</v>
      </c>
      <c r="U40" s="630">
        <v>0</v>
      </c>
      <c r="V40" s="630">
        <v>0</v>
      </c>
      <c r="W40" s="630">
        <v>0</v>
      </c>
      <c r="X40" s="630"/>
      <c r="Y40" s="630">
        <v>1100</v>
      </c>
      <c r="Z40" s="630" t="s">
        <v>154</v>
      </c>
      <c r="AA40" s="632" t="s">
        <v>149</v>
      </c>
    </row>
    <row r="41" spans="1:27" s="584" customFormat="1" ht="51" hidden="1">
      <c r="A41" s="583"/>
      <c r="B41" s="745">
        <v>12029</v>
      </c>
      <c r="C41" s="745">
        <v>2580</v>
      </c>
      <c r="D41" s="631"/>
      <c r="E41" s="630"/>
      <c r="F41" s="630"/>
      <c r="G41" s="630" t="s">
        <v>887</v>
      </c>
      <c r="H41" s="630" t="s">
        <v>887</v>
      </c>
      <c r="I41" s="630"/>
      <c r="J41" s="744"/>
      <c r="K41" s="744"/>
      <c r="L41" s="630" t="s">
        <v>890</v>
      </c>
      <c r="M41" s="630">
        <v>1.7</v>
      </c>
      <c r="N41" s="630">
        <v>2.125</v>
      </c>
      <c r="O41" s="630">
        <v>3.0439189189189189</v>
      </c>
      <c r="P41" s="630">
        <v>5.743243243243243</v>
      </c>
      <c r="Q41" s="630">
        <v>0</v>
      </c>
      <c r="R41" s="630">
        <v>0</v>
      </c>
      <c r="S41" s="630">
        <v>0</v>
      </c>
      <c r="T41" s="630">
        <v>0</v>
      </c>
      <c r="U41" s="630">
        <v>0</v>
      </c>
      <c r="V41" s="630">
        <v>0</v>
      </c>
      <c r="W41" s="630">
        <v>0</v>
      </c>
      <c r="X41" s="630"/>
      <c r="Y41" s="630">
        <v>1500</v>
      </c>
      <c r="Z41" s="630" t="s">
        <v>50</v>
      </c>
      <c r="AA41" s="632" t="s">
        <v>149</v>
      </c>
    </row>
    <row r="42" spans="1:27" s="584" customFormat="1" ht="63.75" hidden="1">
      <c r="A42" s="583"/>
      <c r="B42" s="745">
        <v>12029</v>
      </c>
      <c r="C42" s="745">
        <v>2580</v>
      </c>
      <c r="D42" s="631"/>
      <c r="E42" s="630"/>
      <c r="F42" s="630"/>
      <c r="G42" s="630" t="s">
        <v>887</v>
      </c>
      <c r="H42" s="630" t="s">
        <v>887</v>
      </c>
      <c r="I42" s="630"/>
      <c r="J42" s="744"/>
      <c r="K42" s="744"/>
      <c r="L42" s="630" t="s">
        <v>890</v>
      </c>
      <c r="M42" s="630">
        <v>3.4</v>
      </c>
      <c r="N42" s="630">
        <v>4.25</v>
      </c>
      <c r="O42" s="630">
        <v>6.0878378378378377</v>
      </c>
      <c r="P42" s="630">
        <v>11.486486486486486</v>
      </c>
      <c r="Q42" s="630">
        <v>0</v>
      </c>
      <c r="R42" s="630">
        <v>0</v>
      </c>
      <c r="S42" s="630">
        <v>0</v>
      </c>
      <c r="T42" s="630">
        <v>0</v>
      </c>
      <c r="U42" s="630">
        <v>0</v>
      </c>
      <c r="V42" s="630">
        <v>0</v>
      </c>
      <c r="W42" s="630">
        <v>0</v>
      </c>
      <c r="X42" s="630"/>
      <c r="Y42" s="630">
        <v>1600</v>
      </c>
      <c r="Z42" s="630" t="s">
        <v>49</v>
      </c>
      <c r="AA42" s="632" t="s">
        <v>149</v>
      </c>
    </row>
    <row r="43" spans="1:27" s="584" customFormat="1" ht="12.75" hidden="1">
      <c r="A43" s="583"/>
      <c r="B43" s="745">
        <v>12029</v>
      </c>
      <c r="C43" s="745">
        <v>2580</v>
      </c>
      <c r="D43" s="631"/>
      <c r="E43" s="630"/>
      <c r="F43" s="630"/>
      <c r="G43" s="630" t="s">
        <v>887</v>
      </c>
      <c r="H43" s="630" t="s">
        <v>887</v>
      </c>
      <c r="I43" s="630"/>
      <c r="J43" s="744"/>
      <c r="K43" s="744"/>
      <c r="L43" s="630" t="s">
        <v>890</v>
      </c>
      <c r="M43" s="630">
        <v>3.4</v>
      </c>
      <c r="N43" s="630">
        <v>4.25</v>
      </c>
      <c r="O43" s="630">
        <v>6.0878378378378377</v>
      </c>
      <c r="P43" s="630">
        <v>11.486486486486486</v>
      </c>
      <c r="Q43" s="630">
        <v>0</v>
      </c>
      <c r="R43" s="630">
        <v>0</v>
      </c>
      <c r="S43" s="630">
        <v>0</v>
      </c>
      <c r="T43" s="630">
        <v>0</v>
      </c>
      <c r="U43" s="630">
        <v>0</v>
      </c>
      <c r="V43" s="630">
        <v>0</v>
      </c>
      <c r="W43" s="630">
        <v>0</v>
      </c>
      <c r="X43" s="630"/>
      <c r="Y43" s="630">
        <v>1100</v>
      </c>
      <c r="Z43" s="630" t="s">
        <v>154</v>
      </c>
      <c r="AA43" s="632" t="s">
        <v>149</v>
      </c>
    </row>
    <row r="44" spans="1:27" s="584" customFormat="1" ht="51" hidden="1">
      <c r="A44" s="583"/>
      <c r="B44" s="745">
        <v>12029</v>
      </c>
      <c r="C44" s="745">
        <v>2580</v>
      </c>
      <c r="D44" s="631"/>
      <c r="E44" s="630"/>
      <c r="F44" s="630"/>
      <c r="G44" s="630" t="s">
        <v>889</v>
      </c>
      <c r="H44" s="630" t="s">
        <v>884</v>
      </c>
      <c r="I44" s="630"/>
      <c r="J44" s="744"/>
      <c r="K44" s="744"/>
      <c r="L44" s="630" t="s">
        <v>890</v>
      </c>
      <c r="M44" s="630">
        <v>20</v>
      </c>
      <c r="N44" s="630">
        <v>7.5</v>
      </c>
      <c r="O44" s="630">
        <v>10.714285714285715</v>
      </c>
      <c r="P44" s="630">
        <v>21.428571428571431</v>
      </c>
      <c r="Q44" s="630">
        <v>0</v>
      </c>
      <c r="R44" s="630">
        <v>0</v>
      </c>
      <c r="S44" s="630">
        <v>0</v>
      </c>
      <c r="T44" s="630">
        <v>0</v>
      </c>
      <c r="U44" s="630">
        <v>0</v>
      </c>
      <c r="V44" s="630">
        <v>0</v>
      </c>
      <c r="W44" s="630">
        <v>0</v>
      </c>
      <c r="X44" s="630"/>
      <c r="Y44" s="630">
        <v>1500</v>
      </c>
      <c r="Z44" s="630" t="s">
        <v>892</v>
      </c>
      <c r="AA44" s="632" t="s">
        <v>149</v>
      </c>
    </row>
    <row r="45" spans="1:27" s="564" customFormat="1" hidden="1">
      <c r="A45" s="586" t="s">
        <v>268</v>
      </c>
      <c r="B45" s="587"/>
      <c r="C45" s="587"/>
      <c r="D45" s="587"/>
      <c r="E45" s="587"/>
      <c r="F45" s="587"/>
      <c r="G45" s="587"/>
      <c r="H45" s="587"/>
      <c r="I45" s="587"/>
      <c r="J45" s="587"/>
      <c r="K45" s="587"/>
      <c r="L45" s="588"/>
      <c r="M45" s="588">
        <f>SUM(M28:M44)</f>
        <v>20429.900000000005</v>
      </c>
      <c r="N45" s="588">
        <f>SUM(N28:N44)</f>
        <v>70956.791666666672</v>
      </c>
      <c r="O45" s="588">
        <f>SUM(O28:O44)</f>
        <v>98972.21774453028</v>
      </c>
      <c r="P45" s="588">
        <f>SUM(P28:P44)</f>
        <v>180191.29021879027</v>
      </c>
      <c r="Q45" s="588">
        <f>SUM(Q28:Q44)</f>
        <v>0</v>
      </c>
      <c r="R45" s="588">
        <f>SUM(R28:R44)</f>
        <v>0</v>
      </c>
      <c r="S45" s="588">
        <f>SUM(S28:S44)</f>
        <v>2975.625</v>
      </c>
      <c r="T45" s="588">
        <f>SUM(T28:T44)</f>
        <v>16745.625</v>
      </c>
      <c r="U45" s="588">
        <f>SUM(U28:U44)</f>
        <v>0</v>
      </c>
      <c r="V45" s="588">
        <f>SUM(V28:V44)</f>
        <v>0</v>
      </c>
      <c r="W45" s="588">
        <f>SUM(W28:W44)</f>
        <v>0</v>
      </c>
      <c r="X45" s="588"/>
      <c r="Y45" s="589"/>
      <c r="Z45" s="589"/>
      <c r="AA45" s="590"/>
    </row>
    <row r="46" spans="1:27" s="564" customFormat="1">
      <c r="A46" s="586" t="s">
        <v>275</v>
      </c>
      <c r="B46" s="587"/>
      <c r="C46" s="587"/>
      <c r="D46" s="587"/>
      <c r="E46" s="587"/>
      <c r="F46" s="587"/>
      <c r="G46" s="587"/>
      <c r="H46" s="587"/>
      <c r="I46" s="587"/>
      <c r="J46" s="587"/>
      <c r="K46" s="587"/>
      <c r="L46" s="588"/>
      <c r="M46" s="588">
        <f>SUMIF($AA$28:$AA$44,"industrie",M28:M44)</f>
        <v>1.7</v>
      </c>
      <c r="N46" s="588">
        <f>SUMIF($AA$28:$AA$44,"industrie",N28:N44)</f>
        <v>8.5</v>
      </c>
      <c r="O46" s="588">
        <f>SUMIF($AA$28:$AA$44,"industrie",O28:O44)</f>
        <v>12.175675675675675</v>
      </c>
      <c r="P46" s="588">
        <f>SUMIF($AA$28:$AA$44,"industrie",P28:P44)</f>
        <v>22.972972972972972</v>
      </c>
      <c r="Q46" s="588">
        <f>SUMIF($AA$28:$AA$44,"industrie",Q28:Q44)</f>
        <v>0</v>
      </c>
      <c r="R46" s="588">
        <f>SUMIF($AA$28:$AA$44,"industrie",R28:R44)</f>
        <v>0</v>
      </c>
      <c r="S46" s="588">
        <f>SUMIF($AA$28:$AA$44,"industrie",S28:S44)</f>
        <v>0</v>
      </c>
      <c r="T46" s="588">
        <f>SUMIF($AA$28:$AA$44,"industrie",T28:T44)</f>
        <v>0</v>
      </c>
      <c r="U46" s="588">
        <f>SUMIF($AA$28:$AA$44,"industrie",U28:U44)</f>
        <v>0</v>
      </c>
      <c r="V46" s="588">
        <f>SUMIF($AA$28:$AA$44,"industrie",V28:V44)</f>
        <v>0</v>
      </c>
      <c r="W46" s="588">
        <f>SUMIF($AA$28:$AA$44,"industrie",W28:W44)</f>
        <v>0</v>
      </c>
      <c r="X46" s="588"/>
      <c r="Y46" s="589"/>
      <c r="Z46" s="589"/>
      <c r="AA46" s="590"/>
    </row>
    <row r="47" spans="1:27" s="564" customFormat="1">
      <c r="A47" s="586" t="s">
        <v>276</v>
      </c>
      <c r="B47" s="587"/>
      <c r="C47" s="587"/>
      <c r="D47" s="587"/>
      <c r="E47" s="587"/>
      <c r="F47" s="587"/>
      <c r="G47" s="587"/>
      <c r="H47" s="587"/>
      <c r="I47" s="587"/>
      <c r="J47" s="587"/>
      <c r="K47" s="587"/>
      <c r="L47" s="588"/>
      <c r="M47" s="588">
        <f ca="1">SUMIF($AA$28:AD44,"tertiair",M28:M44)</f>
        <v>30.2</v>
      </c>
      <c r="N47" s="588">
        <f ca="1">SUMIF($AA$28:AE44,"tertiair",N28:N44)</f>
        <v>23.791666666666664</v>
      </c>
      <c r="O47" s="588">
        <f ca="1">SUMIF($AA$28:AF44,"tertiair",O28:O44)</f>
        <v>34.050997425997423</v>
      </c>
      <c r="P47" s="588">
        <f ca="1">SUMIF($AA$28:AG44,"tertiair",P28:P44)</f>
        <v>65.460102960102958</v>
      </c>
      <c r="Q47" s="588">
        <f ca="1">SUMIF($AA$28:AH44,"tertiair",Q28:Q44)</f>
        <v>0</v>
      </c>
      <c r="R47" s="588">
        <f ca="1">SUMIF($AA$28:AI44,"tertiair",R28:R44)</f>
        <v>0</v>
      </c>
      <c r="S47" s="588">
        <f ca="1">SUMIF($AA$28:AJ44,"tertiair",S28:S44)</f>
        <v>0</v>
      </c>
      <c r="T47" s="588">
        <f ca="1">SUMIF($AA$28:AK44,"tertiair",T28:T44)</f>
        <v>0</v>
      </c>
      <c r="U47" s="588">
        <f ca="1">SUMIF($AA$28:AL44,"tertiair",U28:U44)</f>
        <v>0</v>
      </c>
      <c r="V47" s="588">
        <f ca="1">SUMIF($AA$28:AM44,"tertiair",V28:V44)</f>
        <v>0</v>
      </c>
      <c r="W47" s="588">
        <f ca="1">SUMIF($AA$28:AN44,"tertiair",W28:W44)</f>
        <v>0</v>
      </c>
      <c r="X47" s="588"/>
      <c r="Y47" s="589"/>
      <c r="Z47" s="589"/>
      <c r="AA47" s="590"/>
    </row>
    <row r="48" spans="1:27" s="564" customFormat="1" ht="15.75" thickBot="1">
      <c r="A48" s="591" t="s">
        <v>277</v>
      </c>
      <c r="B48" s="592"/>
      <c r="C48" s="592"/>
      <c r="D48" s="592"/>
      <c r="E48" s="592"/>
      <c r="F48" s="592"/>
      <c r="G48" s="592"/>
      <c r="H48" s="592"/>
      <c r="I48" s="592"/>
      <c r="J48" s="592"/>
      <c r="K48" s="592"/>
      <c r="L48" s="593"/>
      <c r="M48" s="593">
        <f>SUMIF($AA$28:$AA$44,"landbouw",M28:M44)</f>
        <v>20398</v>
      </c>
      <c r="N48" s="593">
        <f>SUMIF($AA$28:$AA$44,"landbouw",N28:N44)</f>
        <v>70924.5</v>
      </c>
      <c r="O48" s="593">
        <f>SUMIF($AA$28:$AA$44,"landbouw",O28:O44)</f>
        <v>98925.991071428594</v>
      </c>
      <c r="P48" s="593">
        <f>SUMIF($AA$28:$AA$44,"landbouw",P28:P44)</f>
        <v>180102.85714285719</v>
      </c>
      <c r="Q48" s="593">
        <f>SUMIF($AA$28:$AA$44,"landbouw",Q28:Q44)</f>
        <v>0</v>
      </c>
      <c r="R48" s="593">
        <f>SUMIF($AA$28:$AA$44,"landbouw",R28:R44)</f>
        <v>0</v>
      </c>
      <c r="S48" s="593">
        <f>SUMIF($AA$28:$AA$44,"landbouw",S28:S44)</f>
        <v>2975.625</v>
      </c>
      <c r="T48" s="593">
        <f>SUMIF($AA$28:$AA$44,"landbouw",T28:T44)</f>
        <v>16745.625</v>
      </c>
      <c r="U48" s="593">
        <f>SUMIF($AA$28:$AA$44,"landbouw",U28:U44)</f>
        <v>0</v>
      </c>
      <c r="V48" s="593">
        <f>SUMIF($AA$28:$AA$44,"landbouw",V28:V44)</f>
        <v>0</v>
      </c>
      <c r="W48" s="593">
        <f>SUMIF($AA$28:$AA$44,"landbouw",W28:W44)</f>
        <v>0</v>
      </c>
      <c r="X48" s="593"/>
      <c r="Y48" s="594"/>
      <c r="Z48" s="594"/>
      <c r="AA48" s="595"/>
    </row>
    <row r="49" spans="1:28" s="525" customFormat="1" ht="15.75" thickBot="1">
      <c r="A49" s="596"/>
      <c r="B49" s="597"/>
      <c r="C49" s="597"/>
      <c r="D49" s="597"/>
      <c r="E49" s="597"/>
      <c r="F49" s="597"/>
      <c r="G49" s="597"/>
      <c r="H49" s="597"/>
      <c r="I49" s="597"/>
      <c r="J49" s="597"/>
      <c r="K49" s="597"/>
      <c r="L49" s="580"/>
      <c r="M49" s="580"/>
      <c r="N49" s="580"/>
      <c r="O49" s="581"/>
      <c r="P49" s="581"/>
    </row>
    <row r="50" spans="1:28" s="525" customFormat="1" ht="45">
      <c r="A50" s="598" t="s">
        <v>269</v>
      </c>
      <c r="B50" s="627" t="s">
        <v>89</v>
      </c>
      <c r="C50" s="627" t="s">
        <v>90</v>
      </c>
      <c r="D50" s="627"/>
      <c r="E50" s="627"/>
      <c r="F50" s="627"/>
      <c r="G50" s="627" t="s">
        <v>91</v>
      </c>
      <c r="H50" s="627" t="s">
        <v>92</v>
      </c>
      <c r="I50" s="627"/>
      <c r="J50" s="627"/>
      <c r="K50" s="627"/>
      <c r="L50" s="627" t="s">
        <v>93</v>
      </c>
      <c r="M50" s="628" t="s">
        <v>286</v>
      </c>
      <c r="N50" s="628" t="s">
        <v>94</v>
      </c>
      <c r="O50" s="628" t="s">
        <v>95</v>
      </c>
      <c r="P50" s="628" t="s">
        <v>509</v>
      </c>
      <c r="Q50" s="628" t="s">
        <v>96</v>
      </c>
      <c r="R50" s="628" t="s">
        <v>97</v>
      </c>
      <c r="S50" s="628" t="s">
        <v>98</v>
      </c>
      <c r="T50" s="628" t="s">
        <v>99</v>
      </c>
      <c r="U50" s="628" t="s">
        <v>100</v>
      </c>
      <c r="V50" s="628" t="s">
        <v>101</v>
      </c>
      <c r="W50" s="627" t="s">
        <v>102</v>
      </c>
      <c r="X50" s="627" t="s">
        <v>882</v>
      </c>
      <c r="Y50" s="627" t="s">
        <v>287</v>
      </c>
      <c r="Z50" s="627" t="s">
        <v>103</v>
      </c>
      <c r="AA50" s="629" t="s">
        <v>288</v>
      </c>
    </row>
    <row r="51" spans="1:28" s="599" customFormat="1" ht="12.75" hidden="1">
      <c r="A51" s="585"/>
      <c r="B51" s="745"/>
      <c r="C51" s="745"/>
      <c r="D51" s="633"/>
      <c r="E51" s="633"/>
      <c r="F51" s="633"/>
      <c r="G51" s="633"/>
      <c r="H51" s="633"/>
      <c r="I51" s="633"/>
      <c r="J51" s="744"/>
      <c r="K51" s="744"/>
      <c r="L51" s="633"/>
      <c r="M51" s="633"/>
      <c r="N51" s="633"/>
      <c r="O51" s="633"/>
      <c r="P51" s="633"/>
      <c r="Q51" s="633"/>
      <c r="R51" s="633"/>
      <c r="S51" s="633"/>
      <c r="T51" s="633"/>
      <c r="U51" s="633"/>
      <c r="V51" s="633"/>
      <c r="W51" s="633"/>
      <c r="X51" s="633"/>
      <c r="Y51" s="633"/>
      <c r="Z51" s="633"/>
      <c r="AA51" s="634"/>
    </row>
    <row r="52" spans="1:28" s="564" customFormat="1" hidden="1">
      <c r="A52" s="586" t="s">
        <v>268</v>
      </c>
      <c r="B52" s="587"/>
      <c r="C52" s="587"/>
      <c r="D52" s="587"/>
      <c r="E52" s="587"/>
      <c r="F52" s="587"/>
      <c r="G52" s="587"/>
      <c r="H52" s="587"/>
      <c r="I52" s="587"/>
      <c r="J52" s="587"/>
      <c r="K52" s="587"/>
      <c r="L52" s="588"/>
      <c r="M52" s="588">
        <f>SUM(M51:M51)</f>
        <v>0</v>
      </c>
      <c r="N52" s="588">
        <f>SUM(N51:N51)</f>
        <v>0</v>
      </c>
      <c r="O52" s="588">
        <f>SUM(O51:O51)</f>
        <v>0</v>
      </c>
      <c r="P52" s="588">
        <f>SUM(P51:P51)</f>
        <v>0</v>
      </c>
      <c r="Q52" s="588">
        <f>SUM(Q51:Q51)</f>
        <v>0</v>
      </c>
      <c r="R52" s="588">
        <f>SUM(R51:R51)</f>
        <v>0</v>
      </c>
      <c r="S52" s="588">
        <f>SUM(S51:S51)</f>
        <v>0</v>
      </c>
      <c r="T52" s="588">
        <f>SUM(T51:T51)</f>
        <v>0</v>
      </c>
      <c r="U52" s="588">
        <f>SUM(U51:U51)</f>
        <v>0</v>
      </c>
      <c r="V52" s="588">
        <f>SUM(V51:V51)</f>
        <v>0</v>
      </c>
      <c r="W52" s="588">
        <f>SUM(W51:W51)</f>
        <v>0</v>
      </c>
      <c r="X52" s="588"/>
      <c r="Y52" s="589"/>
      <c r="Z52" s="589"/>
      <c r="AA52" s="590"/>
    </row>
    <row r="53" spans="1:28" s="564" customFormat="1">
      <c r="A53" s="586" t="s">
        <v>275</v>
      </c>
      <c r="B53" s="587"/>
      <c r="C53" s="587"/>
      <c r="D53" s="587"/>
      <c r="E53" s="587"/>
      <c r="F53" s="587"/>
      <c r="G53" s="587"/>
      <c r="H53" s="587"/>
      <c r="I53" s="587"/>
      <c r="J53" s="587"/>
      <c r="K53" s="587"/>
      <c r="L53" s="588"/>
      <c r="M53" s="588">
        <f>SUMIF($AA$51:$AA$51,"industrie",M51:M51)</f>
        <v>0</v>
      </c>
      <c r="N53" s="588">
        <f>SUMIF($AA$51:$AA$51,"industrie",N51:N51)</f>
        <v>0</v>
      </c>
      <c r="O53" s="588">
        <f>SUMIF($AA$51:$AA$51,"industrie",O51:O51)</f>
        <v>0</v>
      </c>
      <c r="P53" s="588">
        <f>SUMIF($AA$51:$AA$51,"industrie",P51:P51)</f>
        <v>0</v>
      </c>
      <c r="Q53" s="588">
        <f>SUMIF($AA$51:$AA$51,"industrie",Q51:Q51)</f>
        <v>0</v>
      </c>
      <c r="R53" s="588">
        <f>SUMIF($AA$51:$AA$51,"industrie",R51:R51)</f>
        <v>0</v>
      </c>
      <c r="S53" s="588">
        <f>SUMIF($AA$51:$AA$51,"industrie",S51:S51)</f>
        <v>0</v>
      </c>
      <c r="T53" s="588">
        <f>SUMIF($AA$51:$AA$51,"industrie",T51:T51)</f>
        <v>0</v>
      </c>
      <c r="U53" s="588">
        <f>SUMIF($AA$51:$AA$51,"industrie",U51:U51)</f>
        <v>0</v>
      </c>
      <c r="V53" s="588">
        <f>SUMIF($AA$51:$AA$51,"industrie",V51:V51)</f>
        <v>0</v>
      </c>
      <c r="W53" s="588">
        <f>SUMIF($AA$51:$AA$51,"industrie",W51:W51)</f>
        <v>0</v>
      </c>
      <c r="X53" s="588"/>
      <c r="Y53" s="589"/>
      <c r="Z53" s="589"/>
      <c r="AA53" s="590"/>
    </row>
    <row r="54" spans="1:28" s="564" customFormat="1">
      <c r="A54" s="586" t="s">
        <v>276</v>
      </c>
      <c r="B54" s="587"/>
      <c r="C54" s="587"/>
      <c r="D54" s="587"/>
      <c r="E54" s="587"/>
      <c r="F54" s="587"/>
      <c r="G54" s="587"/>
      <c r="H54" s="587"/>
      <c r="I54" s="587"/>
      <c r="J54" s="587"/>
      <c r="K54" s="587"/>
      <c r="L54" s="588"/>
      <c r="M54" s="588">
        <f>SUMIF($AA$51:$AA$52,"tertiair",M51:M52)</f>
        <v>0</v>
      </c>
      <c r="N54" s="588">
        <f>SUMIF($AA$51:$AA$52,"tertiair",N51:N52)</f>
        <v>0</v>
      </c>
      <c r="O54" s="588">
        <f>SUMIF($AA$51:$AA$52,"tertiair",O51:O52)</f>
        <v>0</v>
      </c>
      <c r="P54" s="588">
        <f>SUMIF($AA$51:$AA$52,"tertiair",P51:P52)</f>
        <v>0</v>
      </c>
      <c r="Q54" s="588">
        <f>SUMIF($AA$51:$AA$52,"tertiair",Q51:Q52)</f>
        <v>0</v>
      </c>
      <c r="R54" s="588">
        <f>SUMIF($AA$51:$AA$52,"tertiair",R51:R52)</f>
        <v>0</v>
      </c>
      <c r="S54" s="588">
        <f>SUMIF($AA$51:$AA$52,"tertiair",S51:S52)</f>
        <v>0</v>
      </c>
      <c r="T54" s="588">
        <f>SUMIF($AA$51:$AA$52,"tertiair",T51:T52)</f>
        <v>0</v>
      </c>
      <c r="U54" s="588">
        <f>SUMIF($AA$51:$AA$52,"tertiair",U51:U52)</f>
        <v>0</v>
      </c>
      <c r="V54" s="588">
        <f>SUMIF($AA$51:$AA$52,"tertiair",V51:V52)</f>
        <v>0</v>
      </c>
      <c r="W54" s="588">
        <f>SUMIF($AA$51:$AA$52,"tertiair",W51:W52)</f>
        <v>0</v>
      </c>
      <c r="X54" s="588"/>
      <c r="Y54" s="589"/>
      <c r="Z54" s="589"/>
      <c r="AA54" s="590"/>
    </row>
    <row r="55" spans="1:28" s="564" customFormat="1" ht="15.75" thickBot="1">
      <c r="A55" s="591" t="s">
        <v>277</v>
      </c>
      <c r="B55" s="592"/>
      <c r="C55" s="592"/>
      <c r="D55" s="592"/>
      <c r="E55" s="592"/>
      <c r="F55" s="592"/>
      <c r="G55" s="592"/>
      <c r="H55" s="592"/>
      <c r="I55" s="592"/>
      <c r="J55" s="592"/>
      <c r="K55" s="592"/>
      <c r="L55" s="593"/>
      <c r="M55" s="593">
        <f>SUMIF($AA$51:$AA$53,"landbouw",M51:M53)</f>
        <v>0</v>
      </c>
      <c r="N55" s="593">
        <f>SUMIF($AA$51:$AA$53,"landbouw",N51:N53)</f>
        <v>0</v>
      </c>
      <c r="O55" s="593">
        <f>SUMIF($AA$51:$AA$53,"landbouw",O51:O53)</f>
        <v>0</v>
      </c>
      <c r="P55" s="593">
        <f>SUMIF($AA$51:$AA$53,"landbouw",P51:P53)</f>
        <v>0</v>
      </c>
      <c r="Q55" s="593">
        <f>SUMIF($AA$51:$AA$53,"landbouw",Q51:Q53)</f>
        <v>0</v>
      </c>
      <c r="R55" s="593">
        <f>SUMIF($AA$51:$AA$53,"landbouw",R51:R53)</f>
        <v>0</v>
      </c>
      <c r="S55" s="593">
        <f>SUMIF($AA$51:$AA$53,"landbouw",S51:S53)</f>
        <v>0</v>
      </c>
      <c r="T55" s="593">
        <f>SUMIF($AA$51:$AA$53,"landbouw",T51:T53)</f>
        <v>0</v>
      </c>
      <c r="U55" s="593">
        <f>SUMIF($AA$51:$AA$53,"landbouw",U51:U53)</f>
        <v>0</v>
      </c>
      <c r="V55" s="593">
        <f>SUMIF($AA$51:$AA$53,"landbouw",V51:V53)</f>
        <v>0</v>
      </c>
      <c r="W55" s="593">
        <f>SUMIF($AA$51:$AA$53,"landbouw",W51:W53)</f>
        <v>0</v>
      </c>
      <c r="X55" s="593"/>
      <c r="Y55" s="594"/>
      <c r="Z55" s="594"/>
      <c r="AA55" s="595"/>
    </row>
    <row r="56" spans="1:28" s="600" customFormat="1">
      <c r="A56" s="596"/>
      <c r="B56" s="580"/>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row>
    <row r="57" spans="1:28" s="600" customFormat="1" ht="15.75" thickBot="1">
      <c r="A57" s="596"/>
      <c r="B57" s="580"/>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row>
    <row r="58" spans="1:28">
      <c r="A58" s="601" t="s">
        <v>270</v>
      </c>
      <c r="B58" s="602"/>
      <c r="C58" s="602"/>
      <c r="D58" s="602"/>
      <c r="E58" s="602"/>
      <c r="F58" s="602"/>
      <c r="G58" s="602"/>
      <c r="H58" s="602"/>
      <c r="I58" s="603"/>
      <c r="J58" s="604"/>
      <c r="K58" s="604"/>
      <c r="L58" s="605"/>
      <c r="M58" s="605"/>
      <c r="N58" s="605"/>
      <c r="O58" s="605"/>
      <c r="P58" s="605"/>
    </row>
    <row r="59" spans="1:28">
      <c r="A59" s="607"/>
      <c r="B59" s="597"/>
      <c r="C59" s="597"/>
      <c r="D59" s="597"/>
      <c r="E59" s="597"/>
      <c r="F59" s="597"/>
      <c r="G59" s="597"/>
      <c r="H59" s="597"/>
      <c r="I59" s="608"/>
      <c r="J59" s="597"/>
      <c r="K59" s="597"/>
      <c r="L59" s="605"/>
      <c r="M59" s="605"/>
      <c r="N59" s="605"/>
      <c r="O59" s="605"/>
      <c r="P59" s="605"/>
    </row>
    <row r="60" spans="1:28">
      <c r="A60" s="609"/>
      <c r="B60" s="610" t="s">
        <v>271</v>
      </c>
      <c r="C60" s="610" t="s">
        <v>272</v>
      </c>
      <c r="D60" s="610"/>
      <c r="E60" s="610"/>
      <c r="F60" s="610"/>
      <c r="G60" s="610"/>
      <c r="H60" s="610"/>
      <c r="I60" s="611"/>
      <c r="J60" s="610"/>
      <c r="K60" s="610"/>
      <c r="L60" s="610"/>
      <c r="M60" s="610"/>
      <c r="N60" s="610"/>
      <c r="O60" s="610"/>
      <c r="P60" s="605"/>
    </row>
    <row r="61" spans="1:28">
      <c r="A61" s="607" t="s">
        <v>268</v>
      </c>
      <c r="B61" s="612">
        <f>IF(ISERROR(O45/(O45+N45)),0,O45/(O45+N45))</f>
        <v>0.58243273521965699</v>
      </c>
      <c r="C61" s="613">
        <f>IF(ISERROR(N45/(O45+N45)),0,N45/(N45+O45))</f>
        <v>0.41756726478034301</v>
      </c>
      <c r="D61" s="580"/>
      <c r="E61" s="580"/>
      <c r="F61" s="580"/>
      <c r="G61" s="580"/>
      <c r="H61" s="580"/>
      <c r="I61" s="614"/>
      <c r="J61" s="580"/>
      <c r="K61" s="580"/>
      <c r="L61" s="615"/>
      <c r="M61" s="615"/>
      <c r="N61" s="615"/>
      <c r="O61" s="615"/>
      <c r="P61" s="605"/>
    </row>
    <row r="62" spans="1:28">
      <c r="A62" s="607"/>
      <c r="B62" s="616"/>
      <c r="C62" s="616"/>
      <c r="D62" s="616"/>
      <c r="E62" s="616"/>
      <c r="F62" s="616"/>
      <c r="G62" s="616"/>
      <c r="H62" s="616"/>
      <c r="I62" s="617"/>
      <c r="J62" s="616"/>
      <c r="K62" s="616"/>
      <c r="L62" s="618"/>
      <c r="M62" s="618"/>
      <c r="N62" s="618"/>
      <c r="O62" s="618"/>
      <c r="P62" s="605"/>
    </row>
    <row r="63" spans="1:28" ht="30">
      <c r="A63" s="619"/>
      <c r="B63" s="620" t="s">
        <v>509</v>
      </c>
      <c r="C63" s="620" t="s">
        <v>96</v>
      </c>
      <c r="D63" s="620" t="s">
        <v>97</v>
      </c>
      <c r="E63" s="620" t="s">
        <v>98</v>
      </c>
      <c r="F63" s="620" t="s">
        <v>99</v>
      </c>
      <c r="G63" s="620" t="s">
        <v>100</v>
      </c>
      <c r="H63" s="620" t="s">
        <v>101</v>
      </c>
      <c r="I63" s="621" t="s">
        <v>102</v>
      </c>
      <c r="J63" s="610"/>
      <c r="K63" s="610"/>
      <c r="L63" s="618"/>
      <c r="M63" s="618"/>
      <c r="N63" s="618"/>
      <c r="O63" s="605"/>
      <c r="P63" s="605"/>
    </row>
    <row r="64" spans="1:28">
      <c r="A64" s="609" t="s">
        <v>273</v>
      </c>
      <c r="B64" s="622">
        <f t="shared" ref="B64:I64" si="2">$C$61*P45</f>
        <v>75241.984193901226</v>
      </c>
      <c r="C64" s="622">
        <f t="shared" si="2"/>
        <v>0</v>
      </c>
      <c r="D64" s="622">
        <f t="shared" si="2"/>
        <v>0</v>
      </c>
      <c r="E64" s="622">
        <f t="shared" si="2"/>
        <v>1242.5235922620082</v>
      </c>
      <c r="F64" s="622">
        <f t="shared" si="2"/>
        <v>6992.4248282873314</v>
      </c>
      <c r="G64" s="622">
        <f t="shared" si="2"/>
        <v>0</v>
      </c>
      <c r="H64" s="622">
        <f t="shared" si="2"/>
        <v>0</v>
      </c>
      <c r="I64" s="623">
        <f t="shared" si="2"/>
        <v>0</v>
      </c>
      <c r="J64" s="580"/>
      <c r="K64" s="580"/>
      <c r="L64" s="618"/>
      <c r="M64" s="618"/>
      <c r="N64" s="618"/>
      <c r="O64" s="605"/>
      <c r="P64" s="605"/>
    </row>
    <row r="65" spans="1:16" ht="15.75" thickBot="1">
      <c r="A65" s="624" t="s">
        <v>274</v>
      </c>
      <c r="B65" s="625">
        <f t="shared" ref="B65:I65" si="3">$B$61*P45</f>
        <v>104949.30602488904</v>
      </c>
      <c r="C65" s="625">
        <f t="shared" si="3"/>
        <v>0</v>
      </c>
      <c r="D65" s="625">
        <f t="shared" si="3"/>
        <v>0</v>
      </c>
      <c r="E65" s="625">
        <f t="shared" si="3"/>
        <v>1733.1014077379918</v>
      </c>
      <c r="F65" s="625">
        <f t="shared" si="3"/>
        <v>9753.2001717126695</v>
      </c>
      <c r="G65" s="625">
        <f t="shared" si="3"/>
        <v>0</v>
      </c>
      <c r="H65" s="625">
        <f t="shared" si="3"/>
        <v>0</v>
      </c>
      <c r="I65" s="626">
        <f t="shared" si="3"/>
        <v>0</v>
      </c>
      <c r="J65" s="580"/>
      <c r="K65" s="580"/>
      <c r="L65" s="618"/>
      <c r="M65" s="618"/>
      <c r="N65" s="618"/>
      <c r="O65" s="605"/>
      <c r="P65" s="605"/>
    </row>
    <row r="66" spans="1:16">
      <c r="J66" s="560"/>
      <c r="K66" s="560"/>
      <c r="L66" s="560"/>
      <c r="M66" s="560"/>
      <c r="N66" s="560"/>
    </row>
    <row r="67" spans="1:16">
      <c r="J67" s="560"/>
      <c r="K67" s="560"/>
      <c r="L67" s="560"/>
      <c r="M67" s="560"/>
      <c r="N67"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13066.364351666667</v>
      </c>
      <c r="D10" s="641">
        <f ca="1">tertiair!C16</f>
        <v>34.050997425997423</v>
      </c>
      <c r="E10" s="641">
        <f ca="1">tertiair!D16</f>
        <v>25561.759225563899</v>
      </c>
      <c r="F10" s="641">
        <f>tertiair!E16</f>
        <v>33.720771382339912</v>
      </c>
      <c r="G10" s="641">
        <f ca="1">tertiair!F16</f>
        <v>2126.2021630487861</v>
      </c>
      <c r="H10" s="641">
        <f>tertiair!G16</f>
        <v>0</v>
      </c>
      <c r="I10" s="641">
        <f>tertiair!H16</f>
        <v>0</v>
      </c>
      <c r="J10" s="641">
        <f>tertiair!I16</f>
        <v>0</v>
      </c>
      <c r="K10" s="641">
        <f>tertiair!J16</f>
        <v>1.4136429147158205E-2</v>
      </c>
      <c r="L10" s="641">
        <f>tertiair!K16</f>
        <v>0</v>
      </c>
      <c r="M10" s="641">
        <f ca="1">tertiair!L16</f>
        <v>0</v>
      </c>
      <c r="N10" s="641">
        <f>tertiair!M16</f>
        <v>0</v>
      </c>
      <c r="O10" s="641">
        <f ca="1">tertiair!N16</f>
        <v>532.24745216621216</v>
      </c>
      <c r="P10" s="641">
        <f>tertiair!O16</f>
        <v>9.7945215316823084</v>
      </c>
      <c r="Q10" s="642">
        <f>tertiair!P16</f>
        <v>210.15655322598008</v>
      </c>
      <c r="R10" s="644">
        <f ca="1">SUM(C10:Q10)</f>
        <v>41574.31017244071</v>
      </c>
      <c r="S10" s="67"/>
    </row>
    <row r="11" spans="1:19" s="440" customFormat="1">
      <c r="A11" s="761" t="s">
        <v>213</v>
      </c>
      <c r="B11" s="766"/>
      <c r="C11" s="641">
        <f>huishoudens!B8</f>
        <v>31473.619525241571</v>
      </c>
      <c r="D11" s="641">
        <f>huishoudens!C8</f>
        <v>0</v>
      </c>
      <c r="E11" s="641">
        <f>huishoudens!D8</f>
        <v>57235.501253039998</v>
      </c>
      <c r="F11" s="641">
        <f>huishoudens!E8</f>
        <v>2331.3751726909768</v>
      </c>
      <c r="G11" s="641">
        <f>huishoudens!F8</f>
        <v>44865.678865949769</v>
      </c>
      <c r="H11" s="641">
        <f>huishoudens!G8</f>
        <v>0</v>
      </c>
      <c r="I11" s="641">
        <f>huishoudens!H8</f>
        <v>0</v>
      </c>
      <c r="J11" s="641">
        <f>huishoudens!I8</f>
        <v>0</v>
      </c>
      <c r="K11" s="641">
        <f>huishoudens!J8</f>
        <v>229.58245410198458</v>
      </c>
      <c r="L11" s="641">
        <f>huishoudens!K8</f>
        <v>0</v>
      </c>
      <c r="M11" s="641">
        <f>huishoudens!L8</f>
        <v>0</v>
      </c>
      <c r="N11" s="641">
        <f>huishoudens!M8</f>
        <v>0</v>
      </c>
      <c r="O11" s="641">
        <f>huishoudens!N8</f>
        <v>10287.309761785093</v>
      </c>
      <c r="P11" s="641">
        <f>huishoudens!O8</f>
        <v>406.71143497434156</v>
      </c>
      <c r="Q11" s="642">
        <f>huishoudens!P8</f>
        <v>1221.9392796914628</v>
      </c>
      <c r="R11" s="644">
        <f>SUM(C11:Q11)</f>
        <v>148051.7177474752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6401.0303550000008</v>
      </c>
      <c r="D13" s="641">
        <f>industrie!C18</f>
        <v>12.175675675675675</v>
      </c>
      <c r="E13" s="641">
        <f>industrie!D18</f>
        <v>3560.8436466410271</v>
      </c>
      <c r="F13" s="641">
        <f>industrie!E18</f>
        <v>123.82448808896494</v>
      </c>
      <c r="G13" s="641">
        <f>industrie!F18</f>
        <v>1473.6399434635448</v>
      </c>
      <c r="H13" s="641">
        <f>industrie!G18</f>
        <v>0</v>
      </c>
      <c r="I13" s="641">
        <f>industrie!H18</f>
        <v>0</v>
      </c>
      <c r="J13" s="641">
        <f>industrie!I18</f>
        <v>0</v>
      </c>
      <c r="K13" s="641">
        <f>industrie!J18</f>
        <v>9.6924521225479854</v>
      </c>
      <c r="L13" s="641">
        <f>industrie!K18</f>
        <v>0</v>
      </c>
      <c r="M13" s="641">
        <f>industrie!L18</f>
        <v>0</v>
      </c>
      <c r="N13" s="641">
        <f>industrie!M18</f>
        <v>0</v>
      </c>
      <c r="O13" s="641">
        <f>industrie!N18</f>
        <v>264.41932933779412</v>
      </c>
      <c r="P13" s="641">
        <f>industrie!O18</f>
        <v>0</v>
      </c>
      <c r="Q13" s="642">
        <f>industrie!P18</f>
        <v>0</v>
      </c>
      <c r="R13" s="644">
        <f>SUM(C13:Q13)</f>
        <v>11845.625890329555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50941.014231908244</v>
      </c>
      <c r="D16" s="677">
        <f t="shared" ref="D16:R16" ca="1" si="0">SUM(D9:D15)</f>
        <v>46.2266731016731</v>
      </c>
      <c r="E16" s="677">
        <f t="shared" ca="1" si="0"/>
        <v>86358.104125244921</v>
      </c>
      <c r="F16" s="677">
        <f t="shared" si="0"/>
        <v>2488.9204321622819</v>
      </c>
      <c r="G16" s="677">
        <f t="shared" ca="1" si="0"/>
        <v>48465.520972462102</v>
      </c>
      <c r="H16" s="677">
        <f t="shared" si="0"/>
        <v>0</v>
      </c>
      <c r="I16" s="677">
        <f t="shared" si="0"/>
        <v>0</v>
      </c>
      <c r="J16" s="677">
        <f t="shared" si="0"/>
        <v>0</v>
      </c>
      <c r="K16" s="677">
        <f t="shared" si="0"/>
        <v>239.28904265367973</v>
      </c>
      <c r="L16" s="677">
        <f t="shared" si="0"/>
        <v>0</v>
      </c>
      <c r="M16" s="677">
        <f t="shared" ca="1" si="0"/>
        <v>0</v>
      </c>
      <c r="N16" s="677">
        <f t="shared" si="0"/>
        <v>0</v>
      </c>
      <c r="O16" s="677">
        <f t="shared" ca="1" si="0"/>
        <v>11083.976543289098</v>
      </c>
      <c r="P16" s="677">
        <f t="shared" si="0"/>
        <v>416.50595650602389</v>
      </c>
      <c r="Q16" s="677">
        <f t="shared" si="0"/>
        <v>1432.095832917443</v>
      </c>
      <c r="R16" s="677">
        <f t="shared" ca="1" si="0"/>
        <v>201471.65381024548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19.526864723391796</v>
      </c>
      <c r="D19" s="641">
        <f>transport!C54</f>
        <v>0</v>
      </c>
      <c r="E19" s="641">
        <f>transport!D54</f>
        <v>0</v>
      </c>
      <c r="F19" s="641">
        <f>transport!E54</f>
        <v>0</v>
      </c>
      <c r="G19" s="641">
        <f>transport!F54</f>
        <v>0</v>
      </c>
      <c r="H19" s="641">
        <f>transport!G54</f>
        <v>1414.7507799763728</v>
      </c>
      <c r="I19" s="641">
        <f>transport!H54</f>
        <v>0</v>
      </c>
      <c r="J19" s="641">
        <f>transport!I54</f>
        <v>0</v>
      </c>
      <c r="K19" s="641">
        <f>transport!J54</f>
        <v>0</v>
      </c>
      <c r="L19" s="641">
        <f>transport!K54</f>
        <v>0</v>
      </c>
      <c r="M19" s="641">
        <f>transport!L54</f>
        <v>0</v>
      </c>
      <c r="N19" s="641">
        <f>transport!M54</f>
        <v>80.022517290489674</v>
      </c>
      <c r="O19" s="641">
        <f>transport!N54</f>
        <v>0</v>
      </c>
      <c r="P19" s="641">
        <f>transport!O54</f>
        <v>0</v>
      </c>
      <c r="Q19" s="642">
        <f>transport!P54</f>
        <v>0</v>
      </c>
      <c r="R19" s="644">
        <f>SUM(C19:Q19)</f>
        <v>1514.3001619902543</v>
      </c>
      <c r="S19" s="67"/>
    </row>
    <row r="20" spans="1:19" s="440" customFormat="1">
      <c r="A20" s="761" t="s">
        <v>295</v>
      </c>
      <c r="B20" s="766"/>
      <c r="C20" s="641">
        <f>transport!B14</f>
        <v>119.1039113453476</v>
      </c>
      <c r="D20" s="641">
        <f>transport!C14</f>
        <v>0</v>
      </c>
      <c r="E20" s="641">
        <f>transport!D14</f>
        <v>213.39628684743099</v>
      </c>
      <c r="F20" s="641">
        <f>transport!E14</f>
        <v>182.58185127744002</v>
      </c>
      <c r="G20" s="641">
        <f>transport!F14</f>
        <v>0</v>
      </c>
      <c r="H20" s="641">
        <f>transport!G14</f>
        <v>74363.749997450737</v>
      </c>
      <c r="I20" s="641">
        <f>transport!H14</f>
        <v>20438.859860148936</v>
      </c>
      <c r="J20" s="641">
        <f>transport!I14</f>
        <v>0</v>
      </c>
      <c r="K20" s="641">
        <f>transport!J14</f>
        <v>0</v>
      </c>
      <c r="L20" s="641">
        <f>transport!K14</f>
        <v>0</v>
      </c>
      <c r="M20" s="641">
        <f>transport!L14</f>
        <v>0</v>
      </c>
      <c r="N20" s="641">
        <f>transport!M14</f>
        <v>5639.7277593712442</v>
      </c>
      <c r="O20" s="641">
        <f>transport!N14</f>
        <v>0</v>
      </c>
      <c r="P20" s="641">
        <f>transport!O14</f>
        <v>0</v>
      </c>
      <c r="Q20" s="642">
        <f>transport!P14</f>
        <v>0</v>
      </c>
      <c r="R20" s="644">
        <f>SUM(C20:Q20)</f>
        <v>100957.41966644114</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138.63077606873941</v>
      </c>
      <c r="D22" s="764">
        <f t="shared" ref="D22:R22" si="1">SUM(D18:D21)</f>
        <v>0</v>
      </c>
      <c r="E22" s="764">
        <f t="shared" si="1"/>
        <v>213.39628684743099</v>
      </c>
      <c r="F22" s="764">
        <f t="shared" si="1"/>
        <v>182.58185127744002</v>
      </c>
      <c r="G22" s="764">
        <f t="shared" si="1"/>
        <v>0</v>
      </c>
      <c r="H22" s="764">
        <f t="shared" si="1"/>
        <v>75778.500777427107</v>
      </c>
      <c r="I22" s="764">
        <f t="shared" si="1"/>
        <v>20438.859860148936</v>
      </c>
      <c r="J22" s="764">
        <f t="shared" si="1"/>
        <v>0</v>
      </c>
      <c r="K22" s="764">
        <f t="shared" si="1"/>
        <v>0</v>
      </c>
      <c r="L22" s="764">
        <f t="shared" si="1"/>
        <v>0</v>
      </c>
      <c r="M22" s="764">
        <f t="shared" si="1"/>
        <v>0</v>
      </c>
      <c r="N22" s="764">
        <f t="shared" si="1"/>
        <v>5719.7502766617336</v>
      </c>
      <c r="O22" s="764">
        <f t="shared" si="1"/>
        <v>0</v>
      </c>
      <c r="P22" s="764">
        <f t="shared" si="1"/>
        <v>0</v>
      </c>
      <c r="Q22" s="764">
        <f t="shared" si="1"/>
        <v>0</v>
      </c>
      <c r="R22" s="764">
        <f t="shared" si="1"/>
        <v>102471.71982843139</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2473.038395</v>
      </c>
      <c r="D24" s="641">
        <f>+landbouw!C8</f>
        <v>98925.991071428594</v>
      </c>
      <c r="E24" s="641">
        <f>+landbouw!D8</f>
        <v>0</v>
      </c>
      <c r="F24" s="641">
        <f>+landbouw!E8</f>
        <v>100.47077047354223</v>
      </c>
      <c r="G24" s="641">
        <f>+landbouw!F8</f>
        <v>5772.3771426614039</v>
      </c>
      <c r="H24" s="641">
        <f>+landbouw!G8</f>
        <v>0</v>
      </c>
      <c r="I24" s="641">
        <f>+landbouw!H8</f>
        <v>0</v>
      </c>
      <c r="J24" s="641">
        <f>+landbouw!I8</f>
        <v>0</v>
      </c>
      <c r="K24" s="641">
        <f>+landbouw!J8</f>
        <v>702.64147118206256</v>
      </c>
      <c r="L24" s="641">
        <f>+landbouw!K8</f>
        <v>0</v>
      </c>
      <c r="M24" s="641">
        <f>+landbouw!L8</f>
        <v>0</v>
      </c>
      <c r="N24" s="641">
        <f>+landbouw!M8</f>
        <v>0</v>
      </c>
      <c r="O24" s="641">
        <f>+landbouw!N8</f>
        <v>0</v>
      </c>
      <c r="P24" s="641">
        <f>+landbouw!O8</f>
        <v>0</v>
      </c>
      <c r="Q24" s="642">
        <f>+landbouw!P8</f>
        <v>0</v>
      </c>
      <c r="R24" s="644">
        <f>SUM(C24:Q24)</f>
        <v>107974.51885074562</v>
      </c>
      <c r="S24" s="67"/>
    </row>
    <row r="25" spans="1:19" s="440" customFormat="1" ht="15" thickBot="1">
      <c r="A25" s="783" t="s">
        <v>683</v>
      </c>
      <c r="B25" s="901"/>
      <c r="C25" s="902">
        <f>IF(Onbekend_ele_kWh="---",0,Onbekend_ele_kWh)/1000+IF(REST_rest_ele_kWh="---",0,REST_rest_ele_kWh)/1000</f>
        <v>972.26736399999993</v>
      </c>
      <c r="D25" s="902"/>
      <c r="E25" s="902">
        <f>IF(onbekend_gas_kWh="---",0,onbekend_gas_kWh)/1000+IF(REST_rest_gas_kWh="---",0,REST_rest_gas_kWh)/1000</f>
        <v>2132.5968250000001</v>
      </c>
      <c r="F25" s="902"/>
      <c r="G25" s="902"/>
      <c r="H25" s="902"/>
      <c r="I25" s="902"/>
      <c r="J25" s="902"/>
      <c r="K25" s="902"/>
      <c r="L25" s="902"/>
      <c r="M25" s="902"/>
      <c r="N25" s="902"/>
      <c r="O25" s="902"/>
      <c r="P25" s="902"/>
      <c r="Q25" s="903"/>
      <c r="R25" s="644">
        <f>SUM(C25:Q25)</f>
        <v>3104.8641889999999</v>
      </c>
      <c r="S25" s="67"/>
    </row>
    <row r="26" spans="1:19" s="440" customFormat="1" ht="15.75" thickBot="1">
      <c r="A26" s="649" t="s">
        <v>684</v>
      </c>
      <c r="B26" s="769"/>
      <c r="C26" s="764">
        <f>SUM(C24:C25)</f>
        <v>3445.3057589999999</v>
      </c>
      <c r="D26" s="764">
        <f t="shared" ref="D26:R26" si="2">SUM(D24:D25)</f>
        <v>98925.991071428594</v>
      </c>
      <c r="E26" s="764">
        <f t="shared" si="2"/>
        <v>2132.5968250000001</v>
      </c>
      <c r="F26" s="764">
        <f t="shared" si="2"/>
        <v>100.47077047354223</v>
      </c>
      <c r="G26" s="764">
        <f t="shared" si="2"/>
        <v>5772.3771426614039</v>
      </c>
      <c r="H26" s="764">
        <f t="shared" si="2"/>
        <v>0</v>
      </c>
      <c r="I26" s="764">
        <f t="shared" si="2"/>
        <v>0</v>
      </c>
      <c r="J26" s="764">
        <f t="shared" si="2"/>
        <v>0</v>
      </c>
      <c r="K26" s="764">
        <f t="shared" si="2"/>
        <v>702.64147118206256</v>
      </c>
      <c r="L26" s="764">
        <f t="shared" si="2"/>
        <v>0</v>
      </c>
      <c r="M26" s="764">
        <f t="shared" si="2"/>
        <v>0</v>
      </c>
      <c r="N26" s="764">
        <f t="shared" si="2"/>
        <v>0</v>
      </c>
      <c r="O26" s="764">
        <f t="shared" si="2"/>
        <v>0</v>
      </c>
      <c r="P26" s="764">
        <f t="shared" si="2"/>
        <v>0</v>
      </c>
      <c r="Q26" s="764">
        <f t="shared" si="2"/>
        <v>0</v>
      </c>
      <c r="R26" s="764">
        <f t="shared" si="2"/>
        <v>111079.38303974562</v>
      </c>
      <c r="S26" s="67"/>
    </row>
    <row r="27" spans="1:19" s="440" customFormat="1" ht="17.25" thickTop="1" thickBot="1">
      <c r="A27" s="650" t="s">
        <v>109</v>
      </c>
      <c r="B27" s="756"/>
      <c r="C27" s="651">
        <f ca="1">C22+C16+C26</f>
        <v>54524.950766976988</v>
      </c>
      <c r="D27" s="651">
        <f t="shared" ref="D27:R27" ca="1" si="3">D22+D16+D26</f>
        <v>98972.217744530266</v>
      </c>
      <c r="E27" s="651">
        <f t="shared" ca="1" si="3"/>
        <v>88704.097237092355</v>
      </c>
      <c r="F27" s="651">
        <f t="shared" si="3"/>
        <v>2771.9730539132643</v>
      </c>
      <c r="G27" s="651">
        <f t="shared" ca="1" si="3"/>
        <v>54237.898115123506</v>
      </c>
      <c r="H27" s="651">
        <f t="shared" si="3"/>
        <v>75778.500777427107</v>
      </c>
      <c r="I27" s="651">
        <f t="shared" si="3"/>
        <v>20438.859860148936</v>
      </c>
      <c r="J27" s="651">
        <f t="shared" si="3"/>
        <v>0</v>
      </c>
      <c r="K27" s="651">
        <f t="shared" si="3"/>
        <v>941.93051383574232</v>
      </c>
      <c r="L27" s="651">
        <f t="shared" si="3"/>
        <v>0</v>
      </c>
      <c r="M27" s="651">
        <f t="shared" ca="1" si="3"/>
        <v>0</v>
      </c>
      <c r="N27" s="651">
        <f t="shared" si="3"/>
        <v>5719.7502766617336</v>
      </c>
      <c r="O27" s="651">
        <f t="shared" ca="1" si="3"/>
        <v>11083.976543289098</v>
      </c>
      <c r="P27" s="651">
        <f t="shared" si="3"/>
        <v>416.50595650602389</v>
      </c>
      <c r="Q27" s="651">
        <f t="shared" si="3"/>
        <v>1432.095832917443</v>
      </c>
      <c r="R27" s="651">
        <f t="shared" ca="1" si="3"/>
        <v>415022.75667842251</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2685.3834339273517</v>
      </c>
      <c r="D40" s="641">
        <f ca="1">tertiair!C20</f>
        <v>7.4528961440026036</v>
      </c>
      <c r="E40" s="641">
        <f ca="1">tertiair!D20</f>
        <v>5163.4753635639081</v>
      </c>
      <c r="F40" s="641">
        <f>tertiair!E20</f>
        <v>7.6546151037911603</v>
      </c>
      <c r="G40" s="641">
        <f ca="1">tertiair!F20</f>
        <v>567.69597753402593</v>
      </c>
      <c r="H40" s="641">
        <f>tertiair!G20</f>
        <v>0</v>
      </c>
      <c r="I40" s="641">
        <f>tertiair!H20</f>
        <v>0</v>
      </c>
      <c r="J40" s="641">
        <f>tertiair!I20</f>
        <v>0</v>
      </c>
      <c r="K40" s="641">
        <f>tertiair!J20</f>
        <v>5.0042959180940042E-3</v>
      </c>
      <c r="L40" s="641">
        <f>tertiair!K20</f>
        <v>0</v>
      </c>
      <c r="M40" s="641">
        <f ca="1">tertiair!L20</f>
        <v>0</v>
      </c>
      <c r="N40" s="641">
        <f>tertiair!M20</f>
        <v>0</v>
      </c>
      <c r="O40" s="641">
        <f ca="1">tertiair!N20</f>
        <v>0</v>
      </c>
      <c r="P40" s="641">
        <f>tertiair!O20</f>
        <v>0</v>
      </c>
      <c r="Q40" s="724">
        <f>tertiair!P20</f>
        <v>0</v>
      </c>
      <c r="R40" s="802">
        <f t="shared" ca="1" si="4"/>
        <v>8431.6672905689975</v>
      </c>
    </row>
    <row r="41" spans="1:18">
      <c r="A41" s="774" t="s">
        <v>213</v>
      </c>
      <c r="B41" s="781"/>
      <c r="C41" s="641">
        <f ca="1">huishoudens!B12</f>
        <v>6468.4203045383056</v>
      </c>
      <c r="D41" s="641">
        <f ca="1">huishoudens!C12</f>
        <v>0</v>
      </c>
      <c r="E41" s="641">
        <f>huishoudens!D12</f>
        <v>11561.57125311408</v>
      </c>
      <c r="F41" s="641">
        <f>huishoudens!E12</f>
        <v>529.22216420085169</v>
      </c>
      <c r="G41" s="641">
        <f>huishoudens!F12</f>
        <v>11979.136257208589</v>
      </c>
      <c r="H41" s="641">
        <f>huishoudens!G12</f>
        <v>0</v>
      </c>
      <c r="I41" s="641">
        <f>huishoudens!H12</f>
        <v>0</v>
      </c>
      <c r="J41" s="641">
        <f>huishoudens!I12</f>
        <v>0</v>
      </c>
      <c r="K41" s="641">
        <f>huishoudens!J12</f>
        <v>81.272188752102537</v>
      </c>
      <c r="L41" s="641">
        <f>huishoudens!K12</f>
        <v>0</v>
      </c>
      <c r="M41" s="641">
        <f>huishoudens!L12</f>
        <v>0</v>
      </c>
      <c r="N41" s="641">
        <f>huishoudens!M12</f>
        <v>0</v>
      </c>
      <c r="O41" s="641">
        <f>huishoudens!N12</f>
        <v>0</v>
      </c>
      <c r="P41" s="641">
        <f>huishoudens!O12</f>
        <v>0</v>
      </c>
      <c r="Q41" s="724">
        <f>huishoudens!P12</f>
        <v>0</v>
      </c>
      <c r="R41" s="802">
        <f t="shared" ca="1" si="4"/>
        <v>30619.62216781393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1315.5320342181155</v>
      </c>
      <c r="D43" s="641">
        <f ca="1">industrie!C22</f>
        <v>2.6649453218244883</v>
      </c>
      <c r="E43" s="641">
        <f>industrie!D22</f>
        <v>719.29041662148757</v>
      </c>
      <c r="F43" s="641">
        <f>industrie!E22</f>
        <v>28.108158796195042</v>
      </c>
      <c r="G43" s="641">
        <f>industrie!F22</f>
        <v>393.46186490476646</v>
      </c>
      <c r="H43" s="641">
        <f>industrie!G22</f>
        <v>0</v>
      </c>
      <c r="I43" s="641">
        <f>industrie!H22</f>
        <v>0</v>
      </c>
      <c r="J43" s="641">
        <f>industrie!I22</f>
        <v>0</v>
      </c>
      <c r="K43" s="641">
        <f>industrie!J22</f>
        <v>3.4311280513819868</v>
      </c>
      <c r="L43" s="641">
        <f>industrie!K22</f>
        <v>0</v>
      </c>
      <c r="M43" s="641">
        <f>industrie!L22</f>
        <v>0</v>
      </c>
      <c r="N43" s="641">
        <f>industrie!M22</f>
        <v>0</v>
      </c>
      <c r="O43" s="641">
        <f>industrie!N22</f>
        <v>0</v>
      </c>
      <c r="P43" s="641">
        <f>industrie!O22</f>
        <v>0</v>
      </c>
      <c r="Q43" s="724">
        <f>industrie!P22</f>
        <v>0</v>
      </c>
      <c r="R43" s="801">
        <f t="shared" ca="1" si="4"/>
        <v>2462.4885479137711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10469.335772683771</v>
      </c>
      <c r="D46" s="677">
        <f t="shared" ref="D46:Q46" ca="1" si="5">SUM(D39:D45)</f>
        <v>10.117841465827091</v>
      </c>
      <c r="E46" s="677">
        <f t="shared" ca="1" si="5"/>
        <v>17444.337033299475</v>
      </c>
      <c r="F46" s="677">
        <f t="shared" si="5"/>
        <v>564.98493810083789</v>
      </c>
      <c r="G46" s="677">
        <f t="shared" ca="1" si="5"/>
        <v>12940.294099647381</v>
      </c>
      <c r="H46" s="677">
        <f t="shared" si="5"/>
        <v>0</v>
      </c>
      <c r="I46" s="677">
        <f t="shared" si="5"/>
        <v>0</v>
      </c>
      <c r="J46" s="677">
        <f t="shared" si="5"/>
        <v>0</v>
      </c>
      <c r="K46" s="677">
        <f t="shared" si="5"/>
        <v>84.708321099402625</v>
      </c>
      <c r="L46" s="677">
        <f t="shared" si="5"/>
        <v>0</v>
      </c>
      <c r="M46" s="677">
        <f t="shared" ca="1" si="5"/>
        <v>0</v>
      </c>
      <c r="N46" s="677">
        <f t="shared" si="5"/>
        <v>0</v>
      </c>
      <c r="O46" s="677">
        <f t="shared" ca="1" si="5"/>
        <v>0</v>
      </c>
      <c r="P46" s="677">
        <f t="shared" si="5"/>
        <v>0</v>
      </c>
      <c r="Q46" s="677">
        <f t="shared" si="5"/>
        <v>0</v>
      </c>
      <c r="R46" s="677">
        <f ca="1">SUM(R39:R45)</f>
        <v>41513.778006296699</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4.0131376742183198</v>
      </c>
      <c r="D49" s="641">
        <f ca="1">transport!C58</f>
        <v>0</v>
      </c>
      <c r="E49" s="641">
        <f>transport!D58</f>
        <v>0</v>
      </c>
      <c r="F49" s="641">
        <f>transport!E58</f>
        <v>0</v>
      </c>
      <c r="G49" s="641">
        <f>transport!F58</f>
        <v>0</v>
      </c>
      <c r="H49" s="641">
        <f>transport!G58</f>
        <v>377.73845825369153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381.75159592790988</v>
      </c>
    </row>
    <row r="50" spans="1:18">
      <c r="A50" s="777" t="s">
        <v>295</v>
      </c>
      <c r="B50" s="787"/>
      <c r="C50" s="647">
        <f ca="1">transport!B18</f>
        <v>24.478092132946806</v>
      </c>
      <c r="D50" s="647">
        <f>transport!C18</f>
        <v>0</v>
      </c>
      <c r="E50" s="647">
        <f>transport!D18</f>
        <v>43.106049943181063</v>
      </c>
      <c r="F50" s="647">
        <f>transport!E18</f>
        <v>41.446080239978883</v>
      </c>
      <c r="G50" s="647">
        <f>transport!F18</f>
        <v>0</v>
      </c>
      <c r="H50" s="647">
        <f>transport!G18</f>
        <v>19855.121249319349</v>
      </c>
      <c r="I50" s="647">
        <f>transport!H18</f>
        <v>5089.2761051770849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25053.427576812537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28.491229807165126</v>
      </c>
      <c r="D52" s="677">
        <f t="shared" ref="D52:Q52" ca="1" si="6">SUM(D48:D51)</f>
        <v>0</v>
      </c>
      <c r="E52" s="677">
        <f t="shared" si="6"/>
        <v>43.106049943181063</v>
      </c>
      <c r="F52" s="677">
        <f t="shared" si="6"/>
        <v>41.446080239978883</v>
      </c>
      <c r="G52" s="677">
        <f t="shared" si="6"/>
        <v>0</v>
      </c>
      <c r="H52" s="677">
        <f t="shared" si="6"/>
        <v>20232.859707573039</v>
      </c>
      <c r="I52" s="677">
        <f t="shared" si="6"/>
        <v>5089.2761051770849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25435.179172740449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508.25586664068447</v>
      </c>
      <c r="D54" s="647">
        <f ca="1">+landbouw!C12</f>
        <v>21652.380051427805</v>
      </c>
      <c r="E54" s="647">
        <f>+landbouw!D12</f>
        <v>0</v>
      </c>
      <c r="F54" s="647">
        <f>+landbouw!E12</f>
        <v>22.806864897494087</v>
      </c>
      <c r="G54" s="647">
        <f>+landbouw!F12</f>
        <v>1541.2246970905949</v>
      </c>
      <c r="H54" s="647">
        <f>+landbouw!G12</f>
        <v>0</v>
      </c>
      <c r="I54" s="647">
        <f>+landbouw!H12</f>
        <v>0</v>
      </c>
      <c r="J54" s="647">
        <f>+landbouw!I12</f>
        <v>0</v>
      </c>
      <c r="K54" s="647">
        <f>+landbouw!J12</f>
        <v>248.73508079845013</v>
      </c>
      <c r="L54" s="647">
        <f>+landbouw!K12</f>
        <v>0</v>
      </c>
      <c r="M54" s="647">
        <f>+landbouw!L12</f>
        <v>0</v>
      </c>
      <c r="N54" s="647">
        <f>+landbouw!M12</f>
        <v>0</v>
      </c>
      <c r="O54" s="647">
        <f>+landbouw!N12</f>
        <v>0</v>
      </c>
      <c r="P54" s="647">
        <f>+landbouw!O12</f>
        <v>0</v>
      </c>
      <c r="Q54" s="648">
        <f>+landbouw!P12</f>
        <v>0</v>
      </c>
      <c r="R54" s="676">
        <f ca="1">SUM(C54:Q54)</f>
        <v>23973.402560855029</v>
      </c>
    </row>
    <row r="55" spans="1:18" ht="15" thickBot="1">
      <c r="A55" s="777" t="s">
        <v>683</v>
      </c>
      <c r="B55" s="787"/>
      <c r="C55" s="647">
        <f ca="1">C25*'EF ele_warmte'!B12</f>
        <v>199.81921538111575</v>
      </c>
      <c r="D55" s="647"/>
      <c r="E55" s="647">
        <f>E25*EF_CO2_aardgas</f>
        <v>430.78455865000006</v>
      </c>
      <c r="F55" s="647"/>
      <c r="G55" s="647"/>
      <c r="H55" s="647"/>
      <c r="I55" s="647"/>
      <c r="J55" s="647"/>
      <c r="K55" s="647"/>
      <c r="L55" s="647"/>
      <c r="M55" s="647"/>
      <c r="N55" s="647"/>
      <c r="O55" s="647"/>
      <c r="P55" s="647"/>
      <c r="Q55" s="648"/>
      <c r="R55" s="676">
        <f ca="1">SUM(C55:Q55)</f>
        <v>630.60377403111579</v>
      </c>
    </row>
    <row r="56" spans="1:18" ht="15.75" thickBot="1">
      <c r="A56" s="775" t="s">
        <v>684</v>
      </c>
      <c r="B56" s="788"/>
      <c r="C56" s="677">
        <f ca="1">SUM(C54:C55)</f>
        <v>708.0750820218002</v>
      </c>
      <c r="D56" s="677">
        <f t="shared" ref="D56:Q56" ca="1" si="7">SUM(D54:D55)</f>
        <v>21652.380051427805</v>
      </c>
      <c r="E56" s="677">
        <f t="shared" si="7"/>
        <v>430.78455865000006</v>
      </c>
      <c r="F56" s="677">
        <f t="shared" si="7"/>
        <v>22.806864897494087</v>
      </c>
      <c r="G56" s="677">
        <f t="shared" si="7"/>
        <v>1541.2246970905949</v>
      </c>
      <c r="H56" s="677">
        <f t="shared" si="7"/>
        <v>0</v>
      </c>
      <c r="I56" s="677">
        <f t="shared" si="7"/>
        <v>0</v>
      </c>
      <c r="J56" s="677">
        <f t="shared" si="7"/>
        <v>0</v>
      </c>
      <c r="K56" s="677">
        <f t="shared" si="7"/>
        <v>248.73508079845013</v>
      </c>
      <c r="L56" s="677">
        <f t="shared" si="7"/>
        <v>0</v>
      </c>
      <c r="M56" s="677">
        <f t="shared" si="7"/>
        <v>0</v>
      </c>
      <c r="N56" s="677">
        <f t="shared" si="7"/>
        <v>0</v>
      </c>
      <c r="O56" s="677">
        <f t="shared" si="7"/>
        <v>0</v>
      </c>
      <c r="P56" s="677">
        <f t="shared" si="7"/>
        <v>0</v>
      </c>
      <c r="Q56" s="678">
        <f t="shared" si="7"/>
        <v>0</v>
      </c>
      <c r="R56" s="679">
        <f ca="1">SUM(R54:R55)</f>
        <v>24604.006334886144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11205.902084512736</v>
      </c>
      <c r="D61" s="685">
        <f t="shared" ref="D61:Q61" ca="1" si="8">D46+D52+D56</f>
        <v>21662.497892893633</v>
      </c>
      <c r="E61" s="685">
        <f t="shared" ca="1" si="8"/>
        <v>17918.227641892656</v>
      </c>
      <c r="F61" s="685">
        <f t="shared" si="8"/>
        <v>629.23788323831081</v>
      </c>
      <c r="G61" s="685">
        <f t="shared" ca="1" si="8"/>
        <v>14481.518796737975</v>
      </c>
      <c r="H61" s="685">
        <f t="shared" si="8"/>
        <v>20232.859707573039</v>
      </c>
      <c r="I61" s="685">
        <f t="shared" si="8"/>
        <v>5089.2761051770849</v>
      </c>
      <c r="J61" s="685">
        <f t="shared" si="8"/>
        <v>0</v>
      </c>
      <c r="K61" s="685">
        <f t="shared" si="8"/>
        <v>333.44340189785277</v>
      </c>
      <c r="L61" s="685">
        <f t="shared" si="8"/>
        <v>0</v>
      </c>
      <c r="M61" s="685">
        <f t="shared" ca="1" si="8"/>
        <v>0</v>
      </c>
      <c r="N61" s="685">
        <f t="shared" si="8"/>
        <v>0</v>
      </c>
      <c r="O61" s="685">
        <f t="shared" ca="1" si="8"/>
        <v>0</v>
      </c>
      <c r="P61" s="685">
        <f t="shared" si="8"/>
        <v>0</v>
      </c>
      <c r="Q61" s="685">
        <f t="shared" si="8"/>
        <v>0</v>
      </c>
      <c r="R61" s="685">
        <f ca="1">R46+R52+R56</f>
        <v>91552.9635139233</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0.20551879326591865</v>
      </c>
      <c r="D63" s="731">
        <f t="shared" ca="1" si="9"/>
        <v>0.21887453253608452</v>
      </c>
      <c r="E63" s="927">
        <f t="shared" ca="1" si="9"/>
        <v>0.20200000000000001</v>
      </c>
      <c r="F63" s="731">
        <f t="shared" si="9"/>
        <v>0.22699999999999992</v>
      </c>
      <c r="G63" s="731">
        <f t="shared" ca="1" si="9"/>
        <v>0.26699999999999996</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4611.1618012532726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5943.678286278121</v>
      </c>
      <c r="C76" s="698">
        <f>'lokale energieproductie'!B8*IFERROR(SUM(D76:H76)/SUM(D76:O76),0)</f>
        <v>65013.113380388553</v>
      </c>
      <c r="D76" s="910">
        <f>'lokale energieproductie'!C8</f>
        <v>75241.984193901226</v>
      </c>
      <c r="E76" s="911">
        <f>'lokale energieproductie'!D8</f>
        <v>0</v>
      </c>
      <c r="F76" s="911">
        <f>'lokale energieproductie'!E8</f>
        <v>1242.5235922620082</v>
      </c>
      <c r="G76" s="911">
        <f>'lokale energieproductie'!F8</f>
        <v>0</v>
      </c>
      <c r="H76" s="911">
        <f>'lokale energieproductie'!G8</f>
        <v>0</v>
      </c>
      <c r="I76" s="911">
        <f>'lokale energieproductie'!I8</f>
        <v>6992.4248282873314</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15530.634606302005</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10554.840087531393</v>
      </c>
      <c r="C78" s="703">
        <f>SUM(C72:C77)</f>
        <v>65013.113380388553</v>
      </c>
      <c r="D78" s="704">
        <f t="shared" ref="D78:H78" si="10">SUM(D76:D77)</f>
        <v>75241.984193901226</v>
      </c>
      <c r="E78" s="704">
        <f t="shared" si="10"/>
        <v>0</v>
      </c>
      <c r="F78" s="704">
        <f t="shared" si="10"/>
        <v>1242.5235922620082</v>
      </c>
      <c r="G78" s="704">
        <f t="shared" si="10"/>
        <v>0</v>
      </c>
      <c r="H78" s="704">
        <f t="shared" si="10"/>
        <v>0</v>
      </c>
      <c r="I78" s="704">
        <f>SUM(I76:I77)</f>
        <v>6992.4248282873314</v>
      </c>
      <c r="J78" s="704">
        <f>SUM(J76:J77)</f>
        <v>0</v>
      </c>
      <c r="K78" s="704">
        <f t="shared" ref="K78:L78" si="11">SUM(K76:K77)</f>
        <v>0</v>
      </c>
      <c r="L78" s="704">
        <f t="shared" si="11"/>
        <v>0</v>
      </c>
      <c r="M78" s="704">
        <f>SUM(M76:M77)</f>
        <v>0</v>
      </c>
      <c r="N78" s="704">
        <f>SUM(N76:N77)</f>
        <v>0</v>
      </c>
      <c r="O78" s="812">
        <f>SUM(O76:O77)</f>
        <v>0</v>
      </c>
      <c r="P78" s="705">
        <v>0</v>
      </c>
      <c r="Q78" s="705">
        <f>SUM(Q76:Q77)</f>
        <v>15530.634606302005</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8290.3835945178562</v>
      </c>
      <c r="C87" s="716">
        <f>'lokale energieproductie'!B17*IFERROR(SUM(D87:H87)/SUM(D87:O87),0)</f>
        <v>90681.834150012422</v>
      </c>
      <c r="D87" s="727">
        <f>'lokale energieproductie'!C17</f>
        <v>104949.30602488904</v>
      </c>
      <c r="E87" s="727">
        <f>'lokale energieproductie'!D17</f>
        <v>0</v>
      </c>
      <c r="F87" s="727">
        <f>'lokale energieproductie'!E17</f>
        <v>1733.1014077379918</v>
      </c>
      <c r="G87" s="727">
        <f>'lokale energieproductie'!F17</f>
        <v>0</v>
      </c>
      <c r="H87" s="727">
        <f>'lokale energieproductie'!G17</f>
        <v>0</v>
      </c>
      <c r="I87" s="727">
        <f>'lokale energieproductie'!I17</f>
        <v>9753.2001717126695</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21662.497892893633</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8290.3835945178562</v>
      </c>
      <c r="C90" s="703">
        <f>SUM(C87:C89)</f>
        <v>90681.834150012422</v>
      </c>
      <c r="D90" s="703">
        <f t="shared" ref="D90:H90" si="12">SUM(D87:D89)</f>
        <v>104949.30602488904</v>
      </c>
      <c r="E90" s="703">
        <f t="shared" si="12"/>
        <v>0</v>
      </c>
      <c r="F90" s="703">
        <f t="shared" si="12"/>
        <v>1733.1014077379918</v>
      </c>
      <c r="G90" s="703">
        <f t="shared" si="12"/>
        <v>0</v>
      </c>
      <c r="H90" s="703">
        <f t="shared" si="12"/>
        <v>0</v>
      </c>
      <c r="I90" s="703">
        <f>SUM(I87:I89)</f>
        <v>9753.2001717126695</v>
      </c>
      <c r="J90" s="703">
        <f>SUM(J87:J89)</f>
        <v>0</v>
      </c>
      <c r="K90" s="703">
        <f t="shared" ref="K90:L90" si="13">SUM(K87:K89)</f>
        <v>0</v>
      </c>
      <c r="L90" s="703">
        <f t="shared" si="13"/>
        <v>0</v>
      </c>
      <c r="M90" s="703">
        <f>SUM(M87:M89)</f>
        <v>0</v>
      </c>
      <c r="N90" s="703">
        <f>SUM(N87:N89)</f>
        <v>0</v>
      </c>
      <c r="O90" s="703">
        <f>SUM(O87:O89)</f>
        <v>0</v>
      </c>
      <c r="P90" s="703">
        <v>0</v>
      </c>
      <c r="Q90" s="703">
        <f>SUM(Q87:Q89)</f>
        <v>21662.497892893633</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31473.619525241571</v>
      </c>
      <c r="C4" s="444">
        <f>huishoudens!C8</f>
        <v>0</v>
      </c>
      <c r="D4" s="444">
        <f>huishoudens!D8</f>
        <v>57235.501253039998</v>
      </c>
      <c r="E4" s="444">
        <f>huishoudens!E8</f>
        <v>2331.3751726909768</v>
      </c>
      <c r="F4" s="444">
        <f>huishoudens!F8</f>
        <v>44865.678865949769</v>
      </c>
      <c r="G4" s="444">
        <f>huishoudens!G8</f>
        <v>0</v>
      </c>
      <c r="H4" s="444">
        <f>huishoudens!H8</f>
        <v>0</v>
      </c>
      <c r="I4" s="444">
        <f>huishoudens!I8</f>
        <v>0</v>
      </c>
      <c r="J4" s="444">
        <f>huishoudens!J8</f>
        <v>229.58245410198458</v>
      </c>
      <c r="K4" s="444">
        <f>huishoudens!K8</f>
        <v>0</v>
      </c>
      <c r="L4" s="444">
        <f>huishoudens!L8</f>
        <v>0</v>
      </c>
      <c r="M4" s="444">
        <f>huishoudens!M8</f>
        <v>0</v>
      </c>
      <c r="N4" s="444">
        <f>huishoudens!N8</f>
        <v>10287.309761785093</v>
      </c>
      <c r="O4" s="444">
        <f>huishoudens!O8</f>
        <v>406.71143497434156</v>
      </c>
      <c r="P4" s="445">
        <f>huishoudens!P8</f>
        <v>1221.9392796914628</v>
      </c>
      <c r="Q4" s="446">
        <f>SUM(B4:P4)</f>
        <v>148051.7177474752</v>
      </c>
    </row>
    <row r="5" spans="1:17">
      <c r="A5" s="443" t="s">
        <v>149</v>
      </c>
      <c r="B5" s="444">
        <f ca="1">tertiair!B16</f>
        <v>12079.789351666666</v>
      </c>
      <c r="C5" s="444">
        <f ca="1">tertiair!C16</f>
        <v>34.050997425997423</v>
      </c>
      <c r="D5" s="444">
        <f ca="1">tertiair!D16</f>
        <v>25561.759225563899</v>
      </c>
      <c r="E5" s="444">
        <f>tertiair!E16</f>
        <v>33.720771382339912</v>
      </c>
      <c r="F5" s="444">
        <f ca="1">tertiair!F16</f>
        <v>2126.2021630487861</v>
      </c>
      <c r="G5" s="444">
        <f>tertiair!G16</f>
        <v>0</v>
      </c>
      <c r="H5" s="444">
        <f>tertiair!H16</f>
        <v>0</v>
      </c>
      <c r="I5" s="444">
        <f>tertiair!I16</f>
        <v>0</v>
      </c>
      <c r="J5" s="444">
        <f>tertiair!J16</f>
        <v>1.4136429147158205E-2</v>
      </c>
      <c r="K5" s="444">
        <f>tertiair!K16</f>
        <v>0</v>
      </c>
      <c r="L5" s="444">
        <f ca="1">tertiair!L16</f>
        <v>0</v>
      </c>
      <c r="M5" s="444">
        <f>tertiair!M16</f>
        <v>0</v>
      </c>
      <c r="N5" s="444">
        <f ca="1">tertiair!N16</f>
        <v>532.24745216621216</v>
      </c>
      <c r="O5" s="444">
        <f>tertiair!O16</f>
        <v>9.7945215316823084</v>
      </c>
      <c r="P5" s="445">
        <f>tertiair!P16</f>
        <v>210.15655322598008</v>
      </c>
      <c r="Q5" s="443">
        <f t="shared" ref="Q5:Q14" ca="1" si="0">SUM(B5:P5)</f>
        <v>40587.735172440705</v>
      </c>
    </row>
    <row r="6" spans="1:17">
      <c r="A6" s="443" t="s">
        <v>187</v>
      </c>
      <c r="B6" s="444">
        <f>'openbare verlichting'!B8</f>
        <v>986.57500000000005</v>
      </c>
      <c r="C6" s="444"/>
      <c r="D6" s="444"/>
      <c r="E6" s="444"/>
      <c r="F6" s="444"/>
      <c r="G6" s="444"/>
      <c r="H6" s="444"/>
      <c r="I6" s="444"/>
      <c r="J6" s="444"/>
      <c r="K6" s="444"/>
      <c r="L6" s="444"/>
      <c r="M6" s="444"/>
      <c r="N6" s="444"/>
      <c r="O6" s="444"/>
      <c r="P6" s="445"/>
      <c r="Q6" s="443">
        <f t="shared" si="0"/>
        <v>986.57500000000005</v>
      </c>
    </row>
    <row r="7" spans="1:17">
      <c r="A7" s="443" t="s">
        <v>105</v>
      </c>
      <c r="B7" s="444">
        <f>landbouw!B8</f>
        <v>2473.038395</v>
      </c>
      <c r="C7" s="444">
        <f>landbouw!C8</f>
        <v>98925.991071428594</v>
      </c>
      <c r="D7" s="444">
        <f>landbouw!D8</f>
        <v>0</v>
      </c>
      <c r="E7" s="444">
        <f>landbouw!E8</f>
        <v>100.47077047354223</v>
      </c>
      <c r="F7" s="444">
        <f>landbouw!F8</f>
        <v>5772.3771426614039</v>
      </c>
      <c r="G7" s="444">
        <f>landbouw!G8</f>
        <v>0</v>
      </c>
      <c r="H7" s="444">
        <f>landbouw!H8</f>
        <v>0</v>
      </c>
      <c r="I7" s="444">
        <f>landbouw!I8</f>
        <v>0</v>
      </c>
      <c r="J7" s="444">
        <f>landbouw!J8</f>
        <v>702.64147118206256</v>
      </c>
      <c r="K7" s="444">
        <f>landbouw!K8</f>
        <v>0</v>
      </c>
      <c r="L7" s="444">
        <f>landbouw!L8</f>
        <v>0</v>
      </c>
      <c r="M7" s="444">
        <f>landbouw!M8</f>
        <v>0</v>
      </c>
      <c r="N7" s="444">
        <f>landbouw!N8</f>
        <v>0</v>
      </c>
      <c r="O7" s="444">
        <f>landbouw!O8</f>
        <v>0</v>
      </c>
      <c r="P7" s="445">
        <f>landbouw!P8</f>
        <v>0</v>
      </c>
      <c r="Q7" s="443">
        <f t="shared" si="0"/>
        <v>107974.51885074562</v>
      </c>
    </row>
    <row r="8" spans="1:17">
      <c r="A8" s="443" t="s">
        <v>587</v>
      </c>
      <c r="B8" s="444">
        <f>industrie!B18</f>
        <v>6401.0303550000008</v>
      </c>
      <c r="C8" s="444">
        <f>industrie!C18</f>
        <v>12.175675675675675</v>
      </c>
      <c r="D8" s="444">
        <f>industrie!D18</f>
        <v>3560.8436466410271</v>
      </c>
      <c r="E8" s="444">
        <f>industrie!E18</f>
        <v>123.82448808896494</v>
      </c>
      <c r="F8" s="444">
        <f>industrie!F18</f>
        <v>1473.6399434635448</v>
      </c>
      <c r="G8" s="444">
        <f>industrie!G18</f>
        <v>0</v>
      </c>
      <c r="H8" s="444">
        <f>industrie!H18</f>
        <v>0</v>
      </c>
      <c r="I8" s="444">
        <f>industrie!I18</f>
        <v>0</v>
      </c>
      <c r="J8" s="444">
        <f>industrie!J18</f>
        <v>9.6924521225479854</v>
      </c>
      <c r="K8" s="444">
        <f>industrie!K18</f>
        <v>0</v>
      </c>
      <c r="L8" s="444">
        <f>industrie!L18</f>
        <v>0</v>
      </c>
      <c r="M8" s="444">
        <f>industrie!M18</f>
        <v>0</v>
      </c>
      <c r="N8" s="444">
        <f>industrie!N18</f>
        <v>264.41932933779412</v>
      </c>
      <c r="O8" s="444">
        <f>industrie!O18</f>
        <v>0</v>
      </c>
      <c r="P8" s="445">
        <f>industrie!P18</f>
        <v>0</v>
      </c>
      <c r="Q8" s="443">
        <f t="shared" si="0"/>
        <v>11845.625890329555</v>
      </c>
    </row>
    <row r="9" spans="1:17" s="449" customFormat="1">
      <c r="A9" s="447" t="s">
        <v>536</v>
      </c>
      <c r="B9" s="448">
        <f>transport!B14</f>
        <v>119.1039113453476</v>
      </c>
      <c r="C9" s="448">
        <f>transport!C14</f>
        <v>0</v>
      </c>
      <c r="D9" s="448">
        <f>transport!D14</f>
        <v>213.39628684743099</v>
      </c>
      <c r="E9" s="448">
        <f>transport!E14</f>
        <v>182.58185127744002</v>
      </c>
      <c r="F9" s="448">
        <f>transport!F14</f>
        <v>0</v>
      </c>
      <c r="G9" s="448">
        <f>transport!G14</f>
        <v>74363.749997450737</v>
      </c>
      <c r="H9" s="448">
        <f>transport!H14</f>
        <v>20438.859860148936</v>
      </c>
      <c r="I9" s="448">
        <f>transport!I14</f>
        <v>0</v>
      </c>
      <c r="J9" s="448">
        <f>transport!J14</f>
        <v>0</v>
      </c>
      <c r="K9" s="448">
        <f>transport!K14</f>
        <v>0</v>
      </c>
      <c r="L9" s="448">
        <f>transport!L14</f>
        <v>0</v>
      </c>
      <c r="M9" s="448">
        <f>transport!M14</f>
        <v>5639.7277593712442</v>
      </c>
      <c r="N9" s="448">
        <f>transport!N14</f>
        <v>0</v>
      </c>
      <c r="O9" s="448">
        <f>transport!O14</f>
        <v>0</v>
      </c>
      <c r="P9" s="448">
        <f>transport!P14</f>
        <v>0</v>
      </c>
      <c r="Q9" s="447">
        <f>SUM(B9:P9)</f>
        <v>100957.41966644114</v>
      </c>
    </row>
    <row r="10" spans="1:17">
      <c r="A10" s="443" t="s">
        <v>526</v>
      </c>
      <c r="B10" s="444">
        <f>transport!B54</f>
        <v>19.526864723391796</v>
      </c>
      <c r="C10" s="444">
        <f>transport!C54</f>
        <v>0</v>
      </c>
      <c r="D10" s="444">
        <f>transport!D54</f>
        <v>0</v>
      </c>
      <c r="E10" s="444">
        <f>transport!E54</f>
        <v>0</v>
      </c>
      <c r="F10" s="444">
        <f>transport!F54</f>
        <v>0</v>
      </c>
      <c r="G10" s="444">
        <f>transport!G54</f>
        <v>1414.7507799763728</v>
      </c>
      <c r="H10" s="444">
        <f>transport!H54</f>
        <v>0</v>
      </c>
      <c r="I10" s="444">
        <f>transport!I54</f>
        <v>0</v>
      </c>
      <c r="J10" s="444">
        <f>transport!J54</f>
        <v>0</v>
      </c>
      <c r="K10" s="444">
        <f>transport!K54</f>
        <v>0</v>
      </c>
      <c r="L10" s="444">
        <f>transport!L54</f>
        <v>0</v>
      </c>
      <c r="M10" s="444">
        <f>transport!M54</f>
        <v>80.022517290489674</v>
      </c>
      <c r="N10" s="444">
        <f>transport!N54</f>
        <v>0</v>
      </c>
      <c r="O10" s="444">
        <f>transport!O54</f>
        <v>0</v>
      </c>
      <c r="P10" s="445">
        <f>transport!P54</f>
        <v>0</v>
      </c>
      <c r="Q10" s="443">
        <f t="shared" si="0"/>
        <v>1514.3001619902543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972.26736399999993</v>
      </c>
      <c r="C14" s="451"/>
      <c r="D14" s="451">
        <f>'SEAP template'!E25</f>
        <v>2132.5968250000001</v>
      </c>
      <c r="E14" s="451"/>
      <c r="F14" s="451"/>
      <c r="G14" s="451"/>
      <c r="H14" s="451"/>
      <c r="I14" s="451"/>
      <c r="J14" s="451"/>
      <c r="K14" s="451"/>
      <c r="L14" s="451"/>
      <c r="M14" s="451"/>
      <c r="N14" s="451"/>
      <c r="O14" s="451"/>
      <c r="P14" s="452"/>
      <c r="Q14" s="443">
        <f t="shared" si="0"/>
        <v>3104.8641889999999</v>
      </c>
    </row>
    <row r="15" spans="1:17" s="455" customFormat="1">
      <c r="A15" s="453" t="s">
        <v>530</v>
      </c>
      <c r="B15" s="454">
        <f ca="1">SUM(B4:B14)</f>
        <v>54524.950766976974</v>
      </c>
      <c r="C15" s="454">
        <f t="shared" ref="C15:Q15" ca="1" si="1">SUM(C4:C14)</f>
        <v>98972.217744530266</v>
      </c>
      <c r="D15" s="454">
        <f t="shared" ca="1" si="1"/>
        <v>88704.097237092355</v>
      </c>
      <c r="E15" s="454">
        <f t="shared" si="1"/>
        <v>2771.9730539132643</v>
      </c>
      <c r="F15" s="454">
        <f t="shared" ca="1" si="1"/>
        <v>54237.898115123506</v>
      </c>
      <c r="G15" s="454">
        <f t="shared" si="1"/>
        <v>75778.500777427107</v>
      </c>
      <c r="H15" s="454">
        <f t="shared" si="1"/>
        <v>20438.859860148936</v>
      </c>
      <c r="I15" s="454">
        <f t="shared" si="1"/>
        <v>0</v>
      </c>
      <c r="J15" s="454">
        <f t="shared" si="1"/>
        <v>941.9305138357422</v>
      </c>
      <c r="K15" s="454">
        <f t="shared" si="1"/>
        <v>0</v>
      </c>
      <c r="L15" s="454">
        <f t="shared" ca="1" si="1"/>
        <v>0</v>
      </c>
      <c r="M15" s="454">
        <f t="shared" si="1"/>
        <v>5719.7502766617336</v>
      </c>
      <c r="N15" s="454">
        <f t="shared" ca="1" si="1"/>
        <v>11083.976543289098</v>
      </c>
      <c r="O15" s="454">
        <f t="shared" si="1"/>
        <v>416.50595650602389</v>
      </c>
      <c r="P15" s="454">
        <f t="shared" si="1"/>
        <v>1432.095832917443</v>
      </c>
      <c r="Q15" s="454">
        <f t="shared" ca="1" si="1"/>
        <v>415022.75667842251</v>
      </c>
    </row>
    <row r="17" spans="1:17">
      <c r="A17" s="456" t="s">
        <v>531</v>
      </c>
      <c r="B17" s="736">
        <f ca="1">huishoudens!B10</f>
        <v>0.20551879326591874</v>
      </c>
      <c r="C17" s="736">
        <f ca="1">huishoudens!C10</f>
        <v>0.21887453253608452</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6468.4203045383056</v>
      </c>
      <c r="C22" s="444">
        <f t="shared" ref="C22:C32" ca="1" si="3">C4*$C$17</f>
        <v>0</v>
      </c>
      <c r="D22" s="444">
        <f t="shared" ref="D22:D32" si="4">D4*$D$17</f>
        <v>11561.57125311408</v>
      </c>
      <c r="E22" s="444">
        <f t="shared" ref="E22:E32" si="5">E4*$E$17</f>
        <v>529.22216420085169</v>
      </c>
      <c r="F22" s="444">
        <f t="shared" ref="F22:F32" si="6">F4*$F$17</f>
        <v>11979.136257208589</v>
      </c>
      <c r="G22" s="444">
        <f t="shared" ref="G22:G32" si="7">G4*$G$17</f>
        <v>0</v>
      </c>
      <c r="H22" s="444">
        <f t="shared" ref="H22:H32" si="8">H4*$H$17</f>
        <v>0</v>
      </c>
      <c r="I22" s="444">
        <f t="shared" ref="I22:I32" si="9">I4*$I$17</f>
        <v>0</v>
      </c>
      <c r="J22" s="444">
        <f t="shared" ref="J22:J32" si="10">J4*$J$17</f>
        <v>81.272188752102537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30619.62216781393</v>
      </c>
    </row>
    <row r="23" spans="1:17">
      <c r="A23" s="443" t="s">
        <v>149</v>
      </c>
      <c r="B23" s="444">
        <f t="shared" ca="1" si="2"/>
        <v>2482.6237304610281</v>
      </c>
      <c r="C23" s="444">
        <f t="shared" ca="1" si="3"/>
        <v>7.4528961440026036</v>
      </c>
      <c r="D23" s="444">
        <f t="shared" ca="1" si="4"/>
        <v>5163.4753635639081</v>
      </c>
      <c r="E23" s="444">
        <f t="shared" si="5"/>
        <v>7.6546151037911603</v>
      </c>
      <c r="F23" s="444">
        <f t="shared" ca="1" si="6"/>
        <v>567.69597753402593</v>
      </c>
      <c r="G23" s="444">
        <f t="shared" si="7"/>
        <v>0</v>
      </c>
      <c r="H23" s="444">
        <f t="shared" si="8"/>
        <v>0</v>
      </c>
      <c r="I23" s="444">
        <f t="shared" si="9"/>
        <v>0</v>
      </c>
      <c r="J23" s="444">
        <f t="shared" si="10"/>
        <v>5.0042959180940042E-3</v>
      </c>
      <c r="K23" s="444">
        <f t="shared" si="11"/>
        <v>0</v>
      </c>
      <c r="L23" s="444">
        <f t="shared" ca="1" si="12"/>
        <v>0</v>
      </c>
      <c r="M23" s="444">
        <f t="shared" si="13"/>
        <v>0</v>
      </c>
      <c r="N23" s="444">
        <f t="shared" ca="1" si="14"/>
        <v>0</v>
      </c>
      <c r="O23" s="444">
        <f t="shared" si="15"/>
        <v>0</v>
      </c>
      <c r="P23" s="445">
        <f t="shared" si="16"/>
        <v>0</v>
      </c>
      <c r="Q23" s="443">
        <f t="shared" ref="Q23:Q31" ca="1" si="17">SUM(B23:P23)</f>
        <v>8228.9075871026726</v>
      </c>
    </row>
    <row r="24" spans="1:17">
      <c r="A24" s="443" t="s">
        <v>187</v>
      </c>
      <c r="B24" s="444">
        <f t="shared" ca="1" si="2"/>
        <v>202.7597034663238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202.7597034663238</v>
      </c>
    </row>
    <row r="25" spans="1:17">
      <c r="A25" s="443" t="s">
        <v>105</v>
      </c>
      <c r="B25" s="444">
        <f t="shared" ca="1" si="2"/>
        <v>508.25586664068447</v>
      </c>
      <c r="C25" s="444">
        <f t="shared" ca="1" si="3"/>
        <v>21652.380051427805</v>
      </c>
      <c r="D25" s="444">
        <f t="shared" si="4"/>
        <v>0</v>
      </c>
      <c r="E25" s="444">
        <f t="shared" si="5"/>
        <v>22.806864897494087</v>
      </c>
      <c r="F25" s="444">
        <f t="shared" si="6"/>
        <v>1541.2246970905949</v>
      </c>
      <c r="G25" s="444">
        <f t="shared" si="7"/>
        <v>0</v>
      </c>
      <c r="H25" s="444">
        <f t="shared" si="8"/>
        <v>0</v>
      </c>
      <c r="I25" s="444">
        <f t="shared" si="9"/>
        <v>0</v>
      </c>
      <c r="J25" s="444">
        <f t="shared" si="10"/>
        <v>248.73508079845013</v>
      </c>
      <c r="K25" s="444">
        <f t="shared" si="11"/>
        <v>0</v>
      </c>
      <c r="L25" s="444">
        <f t="shared" si="12"/>
        <v>0</v>
      </c>
      <c r="M25" s="444">
        <f t="shared" si="13"/>
        <v>0</v>
      </c>
      <c r="N25" s="444">
        <f t="shared" si="14"/>
        <v>0</v>
      </c>
      <c r="O25" s="444">
        <f t="shared" si="15"/>
        <v>0</v>
      </c>
      <c r="P25" s="445">
        <f t="shared" si="16"/>
        <v>0</v>
      </c>
      <c r="Q25" s="443">
        <f t="shared" ca="1" si="17"/>
        <v>23973.402560855029</v>
      </c>
    </row>
    <row r="26" spans="1:17">
      <c r="A26" s="443" t="s">
        <v>587</v>
      </c>
      <c r="B26" s="444">
        <f t="shared" ca="1" si="2"/>
        <v>1315.5320342181155</v>
      </c>
      <c r="C26" s="444">
        <f t="shared" ca="1" si="3"/>
        <v>2.6649453218244883</v>
      </c>
      <c r="D26" s="444">
        <f t="shared" si="4"/>
        <v>719.29041662148757</v>
      </c>
      <c r="E26" s="444">
        <f t="shared" si="5"/>
        <v>28.108158796195042</v>
      </c>
      <c r="F26" s="444">
        <f t="shared" si="6"/>
        <v>393.46186490476646</v>
      </c>
      <c r="G26" s="444">
        <f t="shared" si="7"/>
        <v>0</v>
      </c>
      <c r="H26" s="444">
        <f t="shared" si="8"/>
        <v>0</v>
      </c>
      <c r="I26" s="444">
        <f t="shared" si="9"/>
        <v>0</v>
      </c>
      <c r="J26" s="444">
        <f t="shared" si="10"/>
        <v>3.4311280513819868</v>
      </c>
      <c r="K26" s="444">
        <f t="shared" si="11"/>
        <v>0</v>
      </c>
      <c r="L26" s="444">
        <f t="shared" si="12"/>
        <v>0</v>
      </c>
      <c r="M26" s="444">
        <f t="shared" si="13"/>
        <v>0</v>
      </c>
      <c r="N26" s="444">
        <f t="shared" si="14"/>
        <v>0</v>
      </c>
      <c r="O26" s="444">
        <f t="shared" si="15"/>
        <v>0</v>
      </c>
      <c r="P26" s="445">
        <f t="shared" si="16"/>
        <v>0</v>
      </c>
      <c r="Q26" s="443">
        <f t="shared" ca="1" si="17"/>
        <v>2462.4885479137711</v>
      </c>
    </row>
    <row r="27" spans="1:17" s="449" customFormat="1">
      <c r="A27" s="447" t="s">
        <v>536</v>
      </c>
      <c r="B27" s="730">
        <f t="shared" ca="1" si="2"/>
        <v>24.478092132946806</v>
      </c>
      <c r="C27" s="448">
        <f t="shared" ca="1" si="3"/>
        <v>0</v>
      </c>
      <c r="D27" s="448">
        <f t="shared" si="4"/>
        <v>43.106049943181063</v>
      </c>
      <c r="E27" s="448">
        <f t="shared" si="5"/>
        <v>41.446080239978883</v>
      </c>
      <c r="F27" s="448">
        <f t="shared" si="6"/>
        <v>0</v>
      </c>
      <c r="G27" s="448">
        <f t="shared" si="7"/>
        <v>19855.121249319349</v>
      </c>
      <c r="H27" s="448">
        <f t="shared" si="8"/>
        <v>5089.2761051770849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25053.427576812537</v>
      </c>
    </row>
    <row r="28" spans="1:17" ht="16.5" customHeight="1">
      <c r="A28" s="443" t="s">
        <v>526</v>
      </c>
      <c r="B28" s="444">
        <f t="shared" ca="1" si="2"/>
        <v>4.0131376742183198</v>
      </c>
      <c r="C28" s="444">
        <f t="shared" ca="1" si="3"/>
        <v>0</v>
      </c>
      <c r="D28" s="444">
        <f t="shared" si="4"/>
        <v>0</v>
      </c>
      <c r="E28" s="444">
        <f t="shared" si="5"/>
        <v>0</v>
      </c>
      <c r="F28" s="444">
        <f t="shared" si="6"/>
        <v>0</v>
      </c>
      <c r="G28" s="444">
        <f t="shared" si="7"/>
        <v>377.73845825369153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381.75159592790988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199.81921538111575</v>
      </c>
      <c r="C32" s="444">
        <f t="shared" ca="1" si="3"/>
        <v>0</v>
      </c>
      <c r="D32" s="444">
        <f t="shared" si="4"/>
        <v>430.78455865000006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630.60377403111579</v>
      </c>
    </row>
    <row r="33" spans="1:17" s="455" customFormat="1">
      <c r="A33" s="453" t="s">
        <v>530</v>
      </c>
      <c r="B33" s="454">
        <f ca="1">SUM(B22:B32)</f>
        <v>11205.902084512736</v>
      </c>
      <c r="C33" s="454">
        <f t="shared" ref="C33:Q33" ca="1" si="19">SUM(C22:C32)</f>
        <v>21662.497892893629</v>
      </c>
      <c r="D33" s="454">
        <f t="shared" ca="1" si="19"/>
        <v>17918.227641892656</v>
      </c>
      <c r="E33" s="454">
        <f t="shared" si="19"/>
        <v>629.23788323831081</v>
      </c>
      <c r="F33" s="454">
        <f t="shared" ca="1" si="19"/>
        <v>14481.518796737975</v>
      </c>
      <c r="G33" s="454">
        <f t="shared" si="19"/>
        <v>20232.859707573039</v>
      </c>
      <c r="H33" s="454">
        <f t="shared" si="19"/>
        <v>5089.2761051770849</v>
      </c>
      <c r="I33" s="454">
        <f t="shared" si="19"/>
        <v>0</v>
      </c>
      <c r="J33" s="454">
        <f t="shared" si="19"/>
        <v>333.44340189785271</v>
      </c>
      <c r="K33" s="454">
        <f t="shared" si="19"/>
        <v>0</v>
      </c>
      <c r="L33" s="454">
        <f t="shared" ca="1" si="19"/>
        <v>0</v>
      </c>
      <c r="M33" s="454">
        <f t="shared" si="19"/>
        <v>0</v>
      </c>
      <c r="N33" s="454">
        <f t="shared" ca="1" si="19"/>
        <v>0</v>
      </c>
      <c r="O33" s="454">
        <f t="shared" si="19"/>
        <v>0</v>
      </c>
      <c r="P33" s="454">
        <f t="shared" si="19"/>
        <v>0</v>
      </c>
      <c r="Q33" s="454">
        <f t="shared" ca="1" si="19"/>
        <v>91552.963513923285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4611.1618012532726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5943.678286278121</v>
      </c>
      <c r="C8" s="979">
        <f>'SEAP template'!C76</f>
        <v>65013.113380388553</v>
      </c>
      <c r="D8" s="979">
        <f>'SEAP template'!D76</f>
        <v>75241.984193901226</v>
      </c>
      <c r="E8" s="979">
        <f>'SEAP template'!E76</f>
        <v>0</v>
      </c>
      <c r="F8" s="979">
        <f>'SEAP template'!F76</f>
        <v>1242.5235922620082</v>
      </c>
      <c r="G8" s="979">
        <f>'SEAP template'!G76</f>
        <v>0</v>
      </c>
      <c r="H8" s="979">
        <f>'SEAP template'!H76</f>
        <v>0</v>
      </c>
      <c r="I8" s="979">
        <f>'SEAP template'!I76</f>
        <v>6992.4248282873314</v>
      </c>
      <c r="J8" s="979">
        <f>'SEAP template'!J76</f>
        <v>0</v>
      </c>
      <c r="K8" s="979">
        <f>'SEAP template'!K76</f>
        <v>0</v>
      </c>
      <c r="L8" s="979">
        <f>'SEAP template'!L76</f>
        <v>0</v>
      </c>
      <c r="M8" s="979">
        <f>'SEAP template'!M76</f>
        <v>0</v>
      </c>
      <c r="N8" s="979">
        <f>'SEAP template'!N76</f>
        <v>0</v>
      </c>
      <c r="O8" s="979">
        <f>'SEAP template'!O76</f>
        <v>0</v>
      </c>
      <c r="P8" s="980">
        <f>'SEAP template'!Q76</f>
        <v>15530.634606302005</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10554.840087531393</v>
      </c>
      <c r="C10" s="981">
        <f>SUM(C4:C9)</f>
        <v>65013.113380388553</v>
      </c>
      <c r="D10" s="981">
        <f t="shared" ref="D10:H10" si="0">SUM(D8:D9)</f>
        <v>75241.984193901226</v>
      </c>
      <c r="E10" s="981">
        <f t="shared" si="0"/>
        <v>0</v>
      </c>
      <c r="F10" s="981">
        <f t="shared" si="0"/>
        <v>1242.5235922620082</v>
      </c>
      <c r="G10" s="981">
        <f t="shared" si="0"/>
        <v>0</v>
      </c>
      <c r="H10" s="981">
        <f t="shared" si="0"/>
        <v>0</v>
      </c>
      <c r="I10" s="981">
        <f>SUM(I8:I9)</f>
        <v>6992.4248282873314</v>
      </c>
      <c r="J10" s="981">
        <f>SUM(J8:J9)</f>
        <v>0</v>
      </c>
      <c r="K10" s="981">
        <f t="shared" ref="K10:L10" si="1">SUM(K8:K9)</f>
        <v>0</v>
      </c>
      <c r="L10" s="981">
        <f t="shared" si="1"/>
        <v>0</v>
      </c>
      <c r="M10" s="981">
        <f>SUM(M8:M9)</f>
        <v>0</v>
      </c>
      <c r="N10" s="981">
        <f>SUM(N8:N9)</f>
        <v>0</v>
      </c>
      <c r="O10" s="981">
        <f>SUM(O8:O9)</f>
        <v>0</v>
      </c>
      <c r="P10" s="981">
        <f>SUM(P8:P9)</f>
        <v>15530.634606302005</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0.20551879326591874</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8290.3835945178562</v>
      </c>
      <c r="C17" s="982">
        <f>'SEAP template'!C87</f>
        <v>90681.834150012422</v>
      </c>
      <c r="D17" s="980">
        <f>'SEAP template'!D87</f>
        <v>104949.30602488904</v>
      </c>
      <c r="E17" s="980">
        <f>'SEAP template'!E87</f>
        <v>0</v>
      </c>
      <c r="F17" s="980">
        <f>'SEAP template'!F87</f>
        <v>1733.1014077379918</v>
      </c>
      <c r="G17" s="980">
        <f>'SEAP template'!G87</f>
        <v>0</v>
      </c>
      <c r="H17" s="980">
        <f>'SEAP template'!H87</f>
        <v>0</v>
      </c>
      <c r="I17" s="980">
        <f>'SEAP template'!I87</f>
        <v>9753.2001717126695</v>
      </c>
      <c r="J17" s="980">
        <f>'SEAP template'!J87</f>
        <v>0</v>
      </c>
      <c r="K17" s="980">
        <f>'SEAP template'!K87</f>
        <v>0</v>
      </c>
      <c r="L17" s="980">
        <f>'SEAP template'!L87</f>
        <v>0</v>
      </c>
      <c r="M17" s="980">
        <f>'SEAP template'!M87</f>
        <v>0</v>
      </c>
      <c r="N17" s="980">
        <f>'SEAP template'!N87</f>
        <v>0</v>
      </c>
      <c r="O17" s="980">
        <f>'SEAP template'!O87</f>
        <v>0</v>
      </c>
      <c r="P17" s="980">
        <f>'SEAP template'!Q87</f>
        <v>21662.497892893633</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8290.3835945178562</v>
      </c>
      <c r="C20" s="981">
        <f>SUM(C17:C19)</f>
        <v>90681.834150012422</v>
      </c>
      <c r="D20" s="981">
        <f t="shared" ref="D20:H20" si="2">SUM(D17:D19)</f>
        <v>104949.30602488904</v>
      </c>
      <c r="E20" s="981">
        <f t="shared" si="2"/>
        <v>0</v>
      </c>
      <c r="F20" s="981">
        <f t="shared" si="2"/>
        <v>1733.1014077379918</v>
      </c>
      <c r="G20" s="981">
        <f t="shared" si="2"/>
        <v>0</v>
      </c>
      <c r="H20" s="981">
        <f t="shared" si="2"/>
        <v>0</v>
      </c>
      <c r="I20" s="981">
        <f>SUM(I17:I19)</f>
        <v>9753.2001717126695</v>
      </c>
      <c r="J20" s="981">
        <f>SUM(J17:J19)</f>
        <v>0</v>
      </c>
      <c r="K20" s="981">
        <f t="shared" ref="K20:L20" si="3">SUM(K17:K19)</f>
        <v>0</v>
      </c>
      <c r="L20" s="981">
        <f t="shared" si="3"/>
        <v>0</v>
      </c>
      <c r="M20" s="981">
        <f>SUM(M17:M19)</f>
        <v>0</v>
      </c>
      <c r="N20" s="981">
        <f>SUM(N17:N19)</f>
        <v>0</v>
      </c>
      <c r="O20" s="981">
        <f>SUM(O17:O19)</f>
        <v>0</v>
      </c>
      <c r="P20" s="981">
        <f>SUM(P17:P19)</f>
        <v>21662.497892893633</v>
      </c>
    </row>
    <row r="21" spans="1:16">
      <c r="B21" s="840"/>
    </row>
    <row r="22" spans="1:16">
      <c r="A22" s="456" t="s">
        <v>754</v>
      </c>
      <c r="B22" s="736" t="s">
        <v>752</v>
      </c>
      <c r="C22" s="736">
        <f ca="1">'EF ele_warmte'!B22</f>
        <v>0.21887453253608452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0.20551879326591874</v>
      </c>
      <c r="C17" s="492">
        <f ca="1">'EF ele_warmte'!B22</f>
        <v>0.21887453253608452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2</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9.7945215316823084</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2022-07-26T10:06:48Z</dcterms:modified>
</cp:coreProperties>
</file>