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58327699-6C3E-4A3B-9B7F-FDFF9DC74E4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<sst xmlns="http://schemas.openxmlformats.org/spreadsheetml/2006/main" count="2410" uniqueCount="886">
  <si>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</si>
  <si>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</si>
  <si>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</si>
  <si>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</si>
  <si>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</si>
  <si>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</si>
  <si>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</si>
  <si>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</si>
  <si>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</si>
  <si>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</si>
  <si>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</si>
  <si>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</si>
  <si>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</si>
  <si>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</si>
  <si>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</si>
  <si>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</si>
  <si>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</si>
  <si>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</si>
  <si>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</si>
  <si>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</si>
  <si>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</si>
  <si>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</si>
  <si>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</si>
  <si>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</si>
  <si>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</si>
  <si>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</si>
  <si>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</si>
  <si>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</si>
  <si>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</si>
  <si>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</si>
  <si>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</si>
  <si>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</si>
  <si>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</si>
  <si>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</si>
  <si>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</si>
  <si>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</si>
  <si>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</si>
  <si>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</si>
  <si>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</si>
  <si>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</si>
  <si>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</si>
  <si>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</si>
  <si>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</si>
  <si>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</si>
  <si>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</si>
  <si>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</si>
  <si>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</si>
  <si>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</si>
  <si>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</si>
  <si>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</si>
  <si>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</si>
  <si>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</si>
  <si>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</si>
  <si>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</si>
  <si>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</si>
  <si>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</si>
  <si>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</si>
  <si>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</si>
  <si>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</si>
  <si>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</si>
  <si>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</si>
  <si>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</si>
  <si>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</si>
  <si>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</si>
  <si>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</si>
  <si>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</si>
  <si>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</si>
  <si>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</si>
  <si>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</si>
  <si>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</si>
  <si>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</si>
  <si>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</si>
  <si>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</si>
  <si>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</si>
  <si>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</si>
  <si>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</si>
  <si>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</si>
  <si>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</si>
  <si>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</si>
  <si>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</si>
  <si>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</si>
  <si>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</si>
  <si>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</si>
  <si>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</si>
  <si>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</si>
  <si>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</si>
  <si>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</si>
  <si>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</si>
  <si>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</si>
  <si>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</si>
  <si>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</si>
  <si>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</si>
  <si>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</si>
  <si>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</si>
  <si>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</si>
  <si>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</si>
  <si>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</si>
  <si>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</si>
  <si>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</si>
  <si>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</si>
  <si>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</si>
  <si>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</si>
  <si>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</si>
  <si>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</si>
  <si>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</si>
  <si>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</si>
  <si>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</si>
  <si>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</si>
  <si>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</si>
  <si>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</si>
  <si>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</si>
  <si>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</si>
  <si>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</si>
  <si>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</si>
  <si>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</si>
  <si>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</si>
  <si>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</si>
  <si>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</si>
  <si>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</si>
  <si>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</si>
  <si>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</si>
  <si>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</si>
  <si>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</si>
  <si>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</si>
  <si>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</si>
  <si>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</si>
  <si>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</si>
  <si>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</si>
  <si>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</si>
  <si>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</si>
  <si>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</si>
  <si>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</si>
  <si>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</si>
  <si>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</si>
  <si>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</si>
  <si>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</si>
  <si>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</si>
  <si>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</si>
  <si>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</si>
  <si>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</si>
  <si>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</si>
  <si>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</si>
  <si>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</si>
  <si>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</si>
  <si>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</si>
  <si>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</si>
  <si>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</si>
  <si>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</si>
  <si>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</si>
  <si>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</si>
  <si>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</si>
  <si>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</si>
  <si>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</si>
  <si>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</si>
  <si>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</si>
  <si>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</si>
  <si>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</si>
  <si>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</si>
  <si>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</si>
  <si>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</si>
  <si>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</si>
  <si>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</si>
  <si>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</si>
  <si>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</si>
  <si>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</si>
  <si>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</si>
  <si>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</si>
  <si>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</si>
  <si>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</si>
  <si>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</si>
  <si>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</si>
  <si>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</si>
  <si>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</si>
  <si>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</si>
  <si>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</si>
  <si>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</si>
  <si>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</si>
  <si>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</si>
  <si>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</si>
  <si>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</si>
  <si>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</si>
  <si>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</si>
  <si>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</si>
  <si>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</si>
  <si>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</si>
  <si>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</si>
  <si>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</si>
  <si>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</si>
  <si>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</si>
  <si>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</si>
  <si>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</si>
  <si>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</si>
  <si>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</si>
  <si>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</si>
  <si>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</si>
  <si>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</si>
  <si>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</si>
  <si>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</si>
  <si>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</si>
  <si>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</si>
  <si>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</si>
  <si>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</si>
  <si>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</si>
  <si>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</si>
  <si>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</si>
  <si>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</si>
  <si>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</si>
  <si>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</si>
  <si>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</si>
  <si>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</si>
  <si>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</si>
  <si>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</si>
  <si>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</si>
  <si>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</si>
  <si>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</si>
  <si>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</si>
  <si>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</si>
  <si>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</si>
  <si>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</si>
  <si>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</si>
  <si>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</si>
  <si>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</si>
  <si>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</si>
  <si>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</si>
  <si>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</si>
  <si>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</si>
  <si>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</si>
  <si>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</si>
  <si>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</si>
  <si>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</si>
  <si>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</si>
  <si>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</si>
  <si>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</si>
  <si>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</si>
  <si>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</si>
  <si>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</si>
  <si>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</si>
  <si>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</si>
  <si>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</si>
  <si>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</si>
  <si>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</si>
  <si>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</si>
  <si>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</si>
  <si>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</si>
  <si>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</si>
  <si>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</si>
  <si>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</si>
  <si>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</si>
  <si>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</si>
  <si>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</si>
  <si>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</si>
  <si>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</si>
  <si>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</si>
  <si>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</si>
  <si>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</si>
  <si>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</si>
  <si>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</si>
  <si>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</si>
  <si>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</si>
  <si>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</si>
  <si>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</si>
  <si>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</si>
  <si>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</si>
  <si>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</si>
  <si>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</si>
  <si>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</si>
  <si>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</si>
  <si>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</si>
  <si>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</si>
  <si>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</si>
  <si>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</si>
  <si>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</si>
  <si>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</si>
  <si>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</si>
  <si>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</si>
  <si>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</si>
  <si>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</si>
  <si>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</si>
  <si>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</si>
  <si>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</si>
  <si>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</si>
  <si>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</si>
  <si>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</si>
  <si>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</si>
  <si>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</si>
  <si>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</si>
  <si>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</si>
  <si>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</si>
  <si>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</si>
  <si>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</si>
  <si>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</si>
  <si>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</si>
  <si>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</si>
  <si>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</si>
  <si>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</si>
  <si>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</si>
  <si>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</si>
  <si>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</si>
  <si>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</si>
  <si>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</si>
  <si>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</si>
  <si>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</si>
  <si>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</si>
  <si>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</si>
  <si>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</si>
  <si>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</si>
  <si>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</si>
  <si>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</si>
  <si>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</si>
  <si>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</si>
  <si>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</si>
  <si>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</si>
  <si>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</si>
  <si>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</si>
  <si>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</si>
  <si>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</si>
  <si>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</si>
  <si>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</si>
  <si>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</si>
  <si>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</si>
  <si>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</si>
  <si>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</si>
  <si>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</si>
  <si>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</si>
  <si>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</si>
  <si>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</si>
  <si>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</si>
  <si>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</si>
  <si>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</si>
  <si>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</si>
  <si>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</si>
  <si>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</si>
  <si>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</si>
  <si>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</si>
  <si>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</si>
  <si>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</si>
  <si>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</si>
  <si>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</si>
  <si>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</si>
  <si>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</si>
  <si>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</si>
  <si>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</si>
  <si>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</si>
  <si>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</si>
  <si>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</si>
  <si>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</si>
  <si>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</si>
  <si>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</si>
  <si>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</si>
  <si>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</si>
  <si>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</si>
  <si>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</si>
  <si>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</si>
  <si>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</si>
  <si>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</si>
  <si>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</si>
  <si>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</si>
  <si>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</si>
  <si>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</si>
  <si>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</si>
  <si>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</si>
  <si>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</si>
  <si>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</si>
  <si>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</si>
  <si>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</si>
  <si>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</si>
  <si>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</si>
  <si>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</si>
  <si>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</si>
  <si>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</si>
  <si>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</si>
  <si>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</si>
  <si>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</si>
  <si>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</si>
  <si>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</si>
  <si>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</si>
  <si>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</si>
  <si>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</si>
  <si>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</si>
  <si>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</si>
  <si>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</si>
  <si>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</si>
  <si>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</si>
  <si>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</si>
  <si>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</si>
  <si>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</si>
  <si>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</si>
  <si>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</si>
  <si>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</si>
  <si>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</si>
  <si>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</si>
  <si>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</si>
  <si>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</si>
  <si>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</si>
  <si>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</si>
  <si>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</si>
  <si>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</si>
  <si>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</si>
  <si>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</si>
  <si>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</si>
  <si>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</si>
  <si>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</si>
  <si>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</si>
  <si>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</si>
  <si>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</si>
  <si>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</si>
  <si>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</si>
  <si>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</si>
  <si>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</si>
  <si>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</si>
  <si>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</si>
  <si>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</si>
  <si>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</si>
  <si>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</si>
  <si>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</si>
  <si>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</si>
  <si>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</si>
  <si>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</si>
  <si>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</si>
  <si>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</si>
  <si>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</si>
  <si>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</si>
  <si>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</si>
  <si>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</si>
  <si>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</si>
  <si>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</si>
  <si>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</si>
  <si>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</si>
  <si>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</si>
  <si>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</si>
  <si>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</si>
  <si>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</si>
  <si>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</si>
  <si>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</si>
  <si>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</si>
  <si>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</si>
  <si>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</si>
  <si>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</si>
  <si>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</si>
  <si>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</si>
  <si>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</si>
  <si>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</si>
  <si>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</si>
  <si>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</si>
  <si>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</si>
  <si>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</si>
  <si>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</si>
  <si>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</si>
  <si>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</si>
  <si>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</si>
  <si>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</si>
  <si>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</si>
  <si>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</si>
  <si>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</si>
  <si>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</si>
  <si>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</si>
  <si>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</si>
  <si>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</si>
  <si>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</si>
  <si>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</si>
  <si>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</si>
  <si>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</si>
  <si>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</si>
  <si>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</si>
  <si>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</si>
  <si>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</si>
  <si>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</si>
  <si>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</si>
  <si>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</si>
  <si>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</si>
  <si>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</si>
  <si>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</si>
  <si>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</si>
  <si>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</si>
  <si>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</si>
  <si>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</si>
  <si>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</si>
  <si>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</si>
  <si>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</si>
  <si>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</si>
  <si>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</si>
  <si>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</si>
  <si>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</si>
  <si>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</si>
  <si>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</si>
  <si>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</si>
  <si>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</si>
  <si>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</si>
  <si>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</si>
  <si>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</si>
  <si>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</si>
  <si>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</si>
  <si>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</si>
  <si>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</si>
  <si>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</si>
  <si>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</si>
  <si>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</si>
  <si>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</si>
  <si>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</si>
  <si>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</si>
  <si>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</si>
  <si>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</si>
  <si>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</si>
  <si>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</si>
  <si>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</si>
  <si>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</si>
  <si>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</si>
  <si>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</si>
  <si>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</si>
  <si>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</si>
  <si>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</si>
  <si>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</si>
  <si>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</si>
  <si>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</si>
  <si>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</si>
  <si>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</si>
  <si>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</si>
  <si>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</si>
  <si>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</si>
  <si>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</si>
  <si>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</si>
  <si>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</si>
  <si>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</si>
  <si>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</si>
  <si>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</si>
  <si>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</si>
  <si>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</si>
  <si>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</si>
  <si>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</si>
  <si>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</si>
  <si>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</si>
  <si>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</si>
  <si>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</si>
  <si>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</si>
  <si>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</si>
  <si>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</si>
  <si>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</si>
  <si>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</si>
  <si>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</si>
  <si>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</si>
  <si>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</si>
  <si>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</si>
  <si>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</si>
  <si>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</si>
  <si>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</si>
  <si>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</si>
  <si>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</si>
  <si>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</si>
  <si>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</si>
  <si>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</si>
  <si>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</si>
  <si>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</si>
  <si>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</si>
  <si>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</si>
  <si>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</si>
  <si>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</si>
  <si>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</si>
  <si>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</si>
  <si>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</si>
  <si>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</si>
  <si>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</si>
  <si>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</si>
  <si>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</si>
  <si>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</si>
  <si>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</si>
  <si>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</si>
  <si>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</si>
  <si>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</si>
  <si>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</si>
  <si>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</si>
  <si>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</si>
  <si>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</si>
  <si>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</si>
  <si>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</si>
  <si>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</si>
  <si>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</si>
  <si>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</si>
  <si>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</si>
  <si>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</si>
  <si>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</si>
  <si>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</si>
  <si>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</si>
  <si>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</si>
  <si>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</si>
  <si>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</si>
  <si>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</si>
  <si>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</si>
  <si>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</si>
  <si>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</si>
  <si>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</si>
  <si>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</si>
  <si>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</si>
  <si>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</si>
  <si>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</si>
  <si>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</si>
  <si>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</si>
  <si>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</si>
  <si>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</si>
  <si>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</si>
  <si>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</si>
  <si>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</si>
  <si>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</si>
  <si>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</si>
  <si>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</si>
  <si>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</si>
  <si>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</si>
  <si>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</si>
  <si>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</si>
  <si>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</si>
  <si>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</si>
  <si>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</si>
  <si>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</si>
  <si>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</si>
  <si>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</si>
  <si>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</si>
  <si>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</si>
  <si>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</si>
  <si>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</si>
  <si>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</si>
  <si>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</si>
  <si>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</si>
  <si>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</si>
  <si>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</si>
  <si>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</si>
  <si>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</si>
  <si>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</si>
  <si>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</si>
  <si>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</si>
  <si>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</si>
  <si>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</si>
  <si>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</si>
  <si>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</si>
  <si>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</si>
  <si>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</si>
  <si>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</si>
  <si>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</si>
  <si>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</si>
  <si>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</si>
  <si>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</si>
  <si>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</si>
  <si>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</si>
  <si>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</si>
  <si>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</si>
  <si>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</si>
  <si>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</si>
  <si>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</si>
  <si>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</si>
  <si>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</si>
  <si>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</si>
  <si>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</si>
  <si>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</si>
  <si>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</si>
  <si>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</si>
  <si>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</si>
  <si>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</si>
  <si>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</si>
  <si>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</si>
  <si>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</si>
  <si>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</si>
  <si>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</si>
  <si>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</si>
  <si>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</si>
  <si>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</si>
  <si>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</si>
  <si>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</si>
  <si>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</si>
  <si>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</si>
  <si>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</si>
  <si>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</si>
  <si>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</si>
  <si>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</si>
  <si>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</si>
  <si>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</si>
  <si>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</si>
  <si>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</si>
  <si>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</si>
  <si>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</si>
  <si>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</si>
  <si>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</si>
  <si>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</si>
  <si>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</si>
  <si>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</si>
  <si>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</si>
  <si>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</si>
  <si>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</si>
  <si>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</si>
  <si>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</si>
  <si>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</si>
  <si>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</si>
  <si>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</si>
  <si>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</si>
  <si>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</si>
  <si>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</si>
  <si>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</si>
  <si>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</si>
  <si>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</si>
  <si>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</si>
  <si>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</si>
  <si>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</si>
  <si>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</si>
  <si>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</si>
  <si>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</si>
  <si>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</si>
  <si>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</si>
  <si>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</si>
  <si>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</si>
  <si>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</si>
  <si>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</si>
  <si>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</si>
  <si>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</si>
  <si>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</si>
  <si>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</si>
  <si>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</si>
  <si>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</si>
  <si>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</si>
  <si>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</si>
  <si>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</si>
  <si>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</si>
  <si>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</si>
  <si>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</si>
  <si>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</si>
  <si>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</si>
  <si>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</si>
  <si>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</si>
  <si>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</si>
  <si>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</si>
  <si>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</si>
  <si>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</si>
  <si>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</si>
  <si>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</si>
  <si>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</si>
  <si>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</si>
  <si>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</si>
  <si>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</si>
  <si>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</si>
  <si>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</si>
  <si>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</si>
  <si>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</si>
  <si>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</si>
  <si>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</si>
  <si>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</si>
  <si>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</si>
  <si>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</si>
  <si>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</si>
  <si>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</si>
  <si>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</si>
  <si>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</si>
  <si>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</si>
  <si>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</si>
  <si>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</si>
  <si>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</si>
  <si>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</si>
  <si>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</si>
  <si>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</si>
  <si>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</si>
  <si>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</si>
  <si>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</si>
  <si>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</si>
  <si>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</si>
  <si>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</si>
  <si>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</si>
  <si>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</si>
  <si>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</si>
  <si>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</si>
  <si>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</si>
  <si>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</si>
  <si>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</si>
  <si>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</si>
  <si>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</si>
  <si>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</si>
  <si>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</si>
  <si>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</si>
  <si>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</si>
  <si>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</si>
  <si>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</si>
  <si>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</si>
  <si>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</si>
  <si>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</si>
  <si>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</si>
  <si>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</si>
  <si>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</si>
  <si>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</si>
  <si>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</si>
  <si>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</si>
  <si>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</si>
  <si>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</si>
  <si>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</si>
  <si>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</si>
  <si>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</si>
  <si>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</si>
  <si>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</si>
  <si>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</si>
  <si>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</si>
  <si>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</si>
  <si>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</si>
  <si>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</si>
  <si>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</si>
  <si>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</si>
  <si>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</si>
  <si>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</si>
  <si>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</si>
  <si>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</si>
  <si>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</si>
  <si>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</si>
  <si>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</si>
  <si>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</si>
  <si>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</si>
  <si>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</si>
  <si>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</si>
  <si>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</si>
  <si>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</si>
  <si>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</si>
  <si>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</si>
  <si>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</si>
  <si>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</si>
  <si>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</si>
  <si>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</si>
  <si>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</si>
  <si>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</si>
  <si>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</si>
  <si>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</si>
  <si>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</si>
  <si>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</si>
  <si>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</si>
  <si>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</si>
  <si>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</si>
  <si>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</si>
  <si>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</si>
  <si>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</si>
  <si>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</si>
  <si>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</si>
  <si>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</si>
  <si>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</si>
  <si>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</si>
  <si>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</si>
  <si>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</si>
  <si>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</si>
  <si>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</si>
  <si>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</si>
  <si>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</si>
  <si>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</si>
  <si>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</si>
  <si>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</si>
  <si>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</si>
  <si>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</si>
  <si>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</si>
  <si>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</si>
  <si>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</si>
  <si>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</si>
  <si>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</si>
  <si>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</si>
  <si>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</si>
  <si>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</si>
  <si>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</si>
  <si>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</si>
  <si>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</si>
  <si>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</si>
  <si>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</si>
  <si>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</si>
  <si>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</si>
  <si>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</si>
  <si>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</si>
  <si>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</si>
  <si>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</si>
  <si>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</si>
  <si>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</si>
  <si>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</si>
  <si>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</si>
  <si>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</si>
  <si>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</si>
  <si>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</si>
  <si>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</si>
  <si>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</si>
  <si>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</si>
  <si>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</si>
  <si>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</si>
  <si>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</si>
  <si>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</si>
  <si>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</si>
  <si>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</si>
  <si>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11007</t>
  </si>
  <si>
    <t>BORSBEEK</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</si>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</sst>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80A9A2C-CBFC-430C-B0C5-02D2D7C8E0C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78820.477248984243</c:v>
                </c:pt>
                <c:pt idx="1">
                  <c:v>22041.218075107365</c:v>
                </c:pt>
                <c:pt idx="2">
                  <c:v>468.40800000000002</c:v>
                </c:pt>
                <c:pt idx="3">
                  <c:v>23396.364252102627</c:v>
                </c:pt>
                <c:pt idx="4">
                  <c:v>3832.4233091156957</c:v>
                </c:pt>
                <c:pt idx="5">
                  <c:v>29681.124584626959</c:v>
                </c:pt>
                <c:pt idx="6">
                  <c:v>1037.6968038528321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78820.477248984243</c:v>
                </c:pt>
                <c:pt idx="1">
                  <c:v>22041.218075107365</c:v>
                </c:pt>
                <c:pt idx="2">
                  <c:v>468.40800000000002</c:v>
                </c:pt>
                <c:pt idx="3">
                  <c:v>23396.364252102627</c:v>
                </c:pt>
                <c:pt idx="4">
                  <c:v>3832.4233091156957</c:v>
                </c:pt>
                <c:pt idx="5">
                  <c:v>29681.124584626959</c:v>
                </c:pt>
                <c:pt idx="6">
                  <c:v>1037.6968038528321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15751.688930210623</c:v>
                </c:pt>
                <c:pt idx="1">
                  <c:v>4690.0989945777774</c:v>
                </c:pt>
                <c:pt idx="2">
                  <c:v>104.28011526257711</c:v>
                </c:pt>
                <c:pt idx="3">
                  <c:v>5474.420976166477</c:v>
                </c:pt>
                <c:pt idx="4">
                  <c:v>838.47485694968998</c:v>
                </c:pt>
                <c:pt idx="5">
                  <c:v>7384.7878702553689</c:v>
                </c:pt>
                <c:pt idx="6">
                  <c:v>261.82990486896182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15751.688930210623</c:v>
                </c:pt>
                <c:pt idx="1">
                  <c:v>4690.0989945777774</c:v>
                </c:pt>
                <c:pt idx="2">
                  <c:v>104.28011526257711</c:v>
                </c:pt>
                <c:pt idx="3">
                  <c:v>5474.420976166477</c:v>
                </c:pt>
                <c:pt idx="4">
                  <c:v>838.47485694968998</c:v>
                </c:pt>
                <c:pt idx="5">
                  <c:v>7384.7878702553689</c:v>
                </c:pt>
                <c:pt idx="6">
                  <c:v>261.82990486896182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11007</v>
      </c>
      <c r="B6" s="382"/>
      <c r="C6" s="383"/>
    </row>
    <row r="7" spans="1:7" s="380" customFormat="1" ht="15.75" customHeight="1">
      <c r="A7" s="384" t="str">
        <f>txtMunicipality</f>
        <v>BORSBEEK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0.22262667431507813</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0.22262667431507813</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4657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79.17</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1</v>
      </c>
      <c r="C17" s="324"/>
      <c r="D17" s="324"/>
      <c r="E17" s="324"/>
      <c r="F17" s="324"/>
    </row>
    <row r="18" spans="1:6">
      <c r="A18" s="1257" t="s">
        <v>8</v>
      </c>
      <c r="B18" s="1258">
        <v>2</v>
      </c>
      <c r="C18" s="324"/>
      <c r="D18" s="324"/>
      <c r="E18" s="324"/>
      <c r="F18" s="324"/>
    </row>
    <row r="19" spans="1:6">
      <c r="A19" s="1257" t="s">
        <v>9</v>
      </c>
      <c r="B19" s="1258">
        <v>2</v>
      </c>
      <c r="C19" s="324"/>
      <c r="D19" s="324"/>
      <c r="E19" s="324"/>
      <c r="F19" s="324"/>
    </row>
    <row r="20" spans="1:6">
      <c r="A20" s="1257" t="s">
        <v>10</v>
      </c>
      <c r="B20" s="1258">
        <v>2</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47</v>
      </c>
      <c r="C29" s="324"/>
      <c r="D29" s="324"/>
      <c r="E29" s="324"/>
      <c r="F29" s="324"/>
    </row>
    <row r="30" spans="1:6">
      <c r="A30" s="1252" t="s">
        <v>665</v>
      </c>
      <c r="B30" s="1260">
        <v>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893.33299999999997</v>
      </c>
      <c r="E38" s="1258">
        <v>3</v>
      </c>
      <c r="F38" s="1258">
        <v>3455.6950000000002</v>
      </c>
    </row>
    <row r="39" spans="1:6">
      <c r="A39" s="1257" t="s">
        <v>29</v>
      </c>
      <c r="B39" s="1257" t="s">
        <v>30</v>
      </c>
      <c r="C39" s="1258">
        <v>4211</v>
      </c>
      <c r="D39" s="1258">
        <v>54928311.210000001</v>
      </c>
      <c r="E39" s="1258">
        <v>4931</v>
      </c>
      <c r="F39" s="1258">
        <v>13920832.68</v>
      </c>
    </row>
    <row r="40" spans="1:6">
      <c r="A40" s="1257" t="s">
        <v>29</v>
      </c>
      <c r="B40" s="1257" t="s">
        <v>28</v>
      </c>
      <c r="C40" s="1258">
        <v>0</v>
      </c>
      <c r="D40" s="1258">
        <v>0</v>
      </c>
      <c r="E40" s="1258">
        <v>0</v>
      </c>
      <c r="F40" s="1258">
        <v>0</v>
      </c>
    </row>
    <row r="41" spans="1:6">
      <c r="A41" s="1257" t="s">
        <v>31</v>
      </c>
      <c r="B41" s="1257" t="s">
        <v>32</v>
      </c>
      <c r="C41" s="1258">
        <v>18</v>
      </c>
      <c r="D41" s="1258">
        <v>310375.679</v>
      </c>
      <c r="E41" s="1258">
        <v>69</v>
      </c>
      <c r="F41" s="1258">
        <v>514788.33799999999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17</v>
      </c>
      <c r="D48" s="1258">
        <v>441715.36700000003</v>
      </c>
      <c r="E48" s="1258">
        <v>15</v>
      </c>
      <c r="F48" s="1258">
        <v>1279959.17</v>
      </c>
    </row>
    <row r="49" spans="1:6">
      <c r="A49" s="1257" t="s">
        <v>31</v>
      </c>
      <c r="B49" s="1257" t="s">
        <v>39</v>
      </c>
      <c r="C49" s="1258">
        <v>0</v>
      </c>
      <c r="D49" s="1258">
        <v>0</v>
      </c>
      <c r="E49" s="1258">
        <v>0</v>
      </c>
      <c r="F49" s="1258">
        <v>0</v>
      </c>
    </row>
    <row r="50" spans="1:6">
      <c r="A50" s="1257" t="s">
        <v>31</v>
      </c>
      <c r="B50" s="1257" t="s">
        <v>40</v>
      </c>
      <c r="C50" s="1258">
        <v>4</v>
      </c>
      <c r="D50" s="1258">
        <v>316637.45</v>
      </c>
      <c r="E50" s="1258">
        <v>5</v>
      </c>
      <c r="F50" s="1258">
        <v>349731.47100000002</v>
      </c>
    </row>
    <row r="51" spans="1:6">
      <c r="A51" s="1257" t="s">
        <v>41</v>
      </c>
      <c r="B51" s="1257" t="s">
        <v>42</v>
      </c>
      <c r="C51" s="1258">
        <v>0</v>
      </c>
      <c r="D51" s="1258">
        <v>0</v>
      </c>
      <c r="E51" s="1258">
        <v>5</v>
      </c>
      <c r="F51" s="1258">
        <v>111001.55899999999</v>
      </c>
    </row>
    <row r="52" spans="1:6">
      <c r="A52" s="1257" t="s">
        <v>41</v>
      </c>
      <c r="B52" s="1257" t="s">
        <v>28</v>
      </c>
      <c r="C52" s="1258">
        <v>2</v>
      </c>
      <c r="D52" s="1258">
        <v>47518963.140000001</v>
      </c>
      <c r="E52" s="1258">
        <v>5</v>
      </c>
      <c r="F52" s="1258">
        <v>5344.96</v>
      </c>
    </row>
    <row r="53" spans="1:6">
      <c r="A53" s="1257" t="s">
        <v>43</v>
      </c>
      <c r="B53" s="1257" t="s">
        <v>44</v>
      </c>
      <c r="C53" s="1258">
        <v>81</v>
      </c>
      <c r="D53" s="1258">
        <v>968236.37199999997</v>
      </c>
      <c r="E53" s="1258">
        <v>313</v>
      </c>
      <c r="F53" s="1258">
        <v>276140.05699999997</v>
      </c>
    </row>
    <row r="54" spans="1:6">
      <c r="A54" s="1257" t="s">
        <v>45</v>
      </c>
      <c r="B54" s="1257" t="s">
        <v>46</v>
      </c>
      <c r="C54" s="1258">
        <v>0</v>
      </c>
      <c r="D54" s="1258">
        <v>0</v>
      </c>
      <c r="E54" s="1258">
        <v>1</v>
      </c>
      <c r="F54" s="1258">
        <v>468408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16</v>
      </c>
      <c r="D57" s="1258">
        <v>273504.80200000003</v>
      </c>
      <c r="E57" s="1258">
        <v>28</v>
      </c>
      <c r="F57" s="1258">
        <v>172870.503</v>
      </c>
    </row>
    <row r="58" spans="1:6">
      <c r="A58" s="1257" t="s">
        <v>48</v>
      </c>
      <c r="B58" s="1257" t="s">
        <v>50</v>
      </c>
      <c r="C58" s="1258">
        <v>15</v>
      </c>
      <c r="D58" s="1258">
        <v>504076.49900000001</v>
      </c>
      <c r="E58" s="1258">
        <v>20</v>
      </c>
      <c r="F58" s="1258">
        <v>226015.33900000001</v>
      </c>
    </row>
    <row r="59" spans="1:6">
      <c r="A59" s="1257" t="s">
        <v>48</v>
      </c>
      <c r="B59" s="1257" t="s">
        <v>51</v>
      </c>
      <c r="C59" s="1258">
        <v>35</v>
      </c>
      <c r="D59" s="1258">
        <v>1502002.8259999999</v>
      </c>
      <c r="E59" s="1258">
        <v>70</v>
      </c>
      <c r="F59" s="1258">
        <v>4551656.1330000004</v>
      </c>
    </row>
    <row r="60" spans="1:6">
      <c r="A60" s="1257" t="s">
        <v>48</v>
      </c>
      <c r="B60" s="1257" t="s">
        <v>52</v>
      </c>
      <c r="C60" s="1258">
        <v>23</v>
      </c>
      <c r="D60" s="1258">
        <v>1366966.8670000001</v>
      </c>
      <c r="E60" s="1258">
        <v>27</v>
      </c>
      <c r="F60" s="1258">
        <v>715467.55099999998</v>
      </c>
    </row>
    <row r="61" spans="1:6">
      <c r="A61" s="1257" t="s">
        <v>48</v>
      </c>
      <c r="B61" s="1257" t="s">
        <v>53</v>
      </c>
      <c r="C61" s="1258">
        <v>154</v>
      </c>
      <c r="D61" s="1258">
        <v>3142572.0040000002</v>
      </c>
      <c r="E61" s="1258">
        <v>291</v>
      </c>
      <c r="F61" s="1258">
        <v>1540284.317</v>
      </c>
    </row>
    <row r="62" spans="1:6">
      <c r="A62" s="1257" t="s">
        <v>48</v>
      </c>
      <c r="B62" s="1257" t="s">
        <v>54</v>
      </c>
      <c r="C62" s="1258">
        <v>4</v>
      </c>
      <c r="D62" s="1258">
        <v>912030.55200000003</v>
      </c>
      <c r="E62" s="1258">
        <v>5</v>
      </c>
      <c r="F62" s="1258">
        <v>325050.62099999998</v>
      </c>
    </row>
    <row r="63" spans="1:6">
      <c r="A63" s="1257" t="s">
        <v>48</v>
      </c>
      <c r="B63" s="1257" t="s">
        <v>28</v>
      </c>
      <c r="C63" s="1258">
        <v>89</v>
      </c>
      <c r="D63" s="1258">
        <v>4395693.3279999997</v>
      </c>
      <c r="E63" s="1258">
        <v>101</v>
      </c>
      <c r="F63" s="1258">
        <v>2033207.9569999999</v>
      </c>
    </row>
    <row r="64" spans="1:6">
      <c r="A64" s="1257" t="s">
        <v>55</v>
      </c>
      <c r="B64" s="1257" t="s">
        <v>56</v>
      </c>
      <c r="C64" s="1258">
        <v>0</v>
      </c>
      <c r="D64" s="1258">
        <v>0</v>
      </c>
      <c r="E64" s="1258">
        <v>0</v>
      </c>
      <c r="F64" s="1258">
        <v>0</v>
      </c>
    </row>
    <row r="65" spans="1:6">
      <c r="A65" s="1257" t="s">
        <v>55</v>
      </c>
      <c r="B65" s="1257" t="s">
        <v>28</v>
      </c>
      <c r="C65" s="1258">
        <v>0</v>
      </c>
      <c r="D65" s="1258">
        <v>0</v>
      </c>
      <c r="E65" s="1258">
        <v>2</v>
      </c>
      <c r="F65" s="1258">
        <v>13510.989</v>
      </c>
    </row>
    <row r="66" spans="1:6">
      <c r="A66" s="1257" t="s">
        <v>55</v>
      </c>
      <c r="B66" s="1257" t="s">
        <v>57</v>
      </c>
      <c r="C66" s="1258">
        <v>0</v>
      </c>
      <c r="D66" s="1258">
        <v>0</v>
      </c>
      <c r="E66" s="1258">
        <v>4</v>
      </c>
      <c r="F66" s="1258">
        <v>489269.46799999999</v>
      </c>
    </row>
    <row r="67" spans="1:6">
      <c r="A67" s="1257" t="s">
        <v>55</v>
      </c>
      <c r="B67" s="1257" t="s">
        <v>58</v>
      </c>
      <c r="C67" s="1258">
        <v>0</v>
      </c>
      <c r="D67" s="1258">
        <v>0</v>
      </c>
      <c r="E67" s="1258">
        <v>0</v>
      </c>
      <c r="F67" s="1258">
        <v>0</v>
      </c>
    </row>
    <row r="68" spans="1:6">
      <c r="A68" s="1252" t="s">
        <v>55</v>
      </c>
      <c r="B68" s="1252" t="s">
        <v>59</v>
      </c>
      <c r="C68" s="1260">
        <v>0</v>
      </c>
      <c r="D68" s="1260">
        <v>0</v>
      </c>
      <c r="E68" s="1260">
        <v>3</v>
      </c>
      <c r="F68" s="1260">
        <v>7136.3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27755365</v>
      </c>
      <c r="E73" s="442"/>
      <c r="F73" s="324"/>
    </row>
    <row r="74" spans="1:6">
      <c r="A74" s="1257" t="s">
        <v>63</v>
      </c>
      <c r="B74" s="1257" t="s">
        <v>608</v>
      </c>
      <c r="C74" s="1270" t="s">
        <v>610</v>
      </c>
      <c r="D74" s="1258">
        <v>3141088</v>
      </c>
      <c r="E74" s="442"/>
      <c r="F74" s="324"/>
    </row>
    <row r="75" spans="1:6">
      <c r="A75" s="1257" t="s">
        <v>64</v>
      </c>
      <c r="B75" s="1257" t="s">
        <v>607</v>
      </c>
      <c r="C75" s="1270" t="s">
        <v>611</v>
      </c>
      <c r="D75" s="1258">
        <v>4258233</v>
      </c>
      <c r="E75" s="442"/>
      <c r="F75" s="324"/>
    </row>
    <row r="76" spans="1:6">
      <c r="A76" s="1257" t="s">
        <v>64</v>
      </c>
      <c r="B76" s="1257" t="s">
        <v>608</v>
      </c>
      <c r="C76" s="1270" t="s">
        <v>612</v>
      </c>
      <c r="D76" s="1258">
        <v>13853.1</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284350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854.62401655482222</v>
      </c>
      <c r="C91" s="324"/>
      <c r="D91" s="324"/>
      <c r="E91" s="324"/>
      <c r="F91" s="324"/>
    </row>
    <row r="92" spans="1:6">
      <c r="A92" s="1252" t="s">
        <v>68</v>
      </c>
      <c r="B92" s="1253">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3365</v>
      </c>
      <c r="C97" s="324"/>
      <c r="D97" s="324"/>
      <c r="E97" s="324"/>
      <c r="F97" s="324"/>
    </row>
    <row r="98" spans="1:6">
      <c r="A98" s="1257" t="s">
        <v>71</v>
      </c>
      <c r="B98" s="1258">
        <v>3</v>
      </c>
      <c r="C98" s="324"/>
      <c r="D98" s="324"/>
      <c r="E98" s="324"/>
      <c r="F98" s="324"/>
    </row>
    <row r="99" spans="1:6">
      <c r="A99" s="1257" t="s">
        <v>72</v>
      </c>
      <c r="B99" s="1258">
        <v>5</v>
      </c>
      <c r="C99" s="324"/>
      <c r="D99" s="324"/>
      <c r="E99" s="324"/>
      <c r="F99" s="324"/>
    </row>
    <row r="100" spans="1:6">
      <c r="A100" s="1257" t="s">
        <v>73</v>
      </c>
      <c r="B100" s="1258">
        <v>256</v>
      </c>
      <c r="C100" s="324"/>
      <c r="D100" s="324"/>
      <c r="E100" s="324"/>
      <c r="F100" s="324"/>
    </row>
    <row r="101" spans="1:6">
      <c r="A101" s="1257" t="s">
        <v>74</v>
      </c>
      <c r="B101" s="1258">
        <v>14</v>
      </c>
      <c r="C101" s="324"/>
      <c r="D101" s="324"/>
      <c r="E101" s="324"/>
      <c r="F101" s="324"/>
    </row>
    <row r="102" spans="1:6">
      <c r="A102" s="1257" t="s">
        <v>75</v>
      </c>
      <c r="B102" s="1258">
        <v>57</v>
      </c>
      <c r="C102" s="324"/>
      <c r="D102" s="324"/>
      <c r="E102" s="324"/>
      <c r="F102" s="324"/>
    </row>
    <row r="103" spans="1:6">
      <c r="A103" s="1257" t="s">
        <v>76</v>
      </c>
      <c r="B103" s="1258">
        <v>40</v>
      </c>
      <c r="C103" s="324"/>
      <c r="D103" s="324"/>
      <c r="E103" s="324"/>
      <c r="F103" s="324"/>
    </row>
    <row r="104" spans="1:6">
      <c r="A104" s="1257" t="s">
        <v>77</v>
      </c>
      <c r="B104" s="1258">
        <v>517</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5</v>
      </c>
      <c r="C123" s="1258">
        <v>6</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30</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27389.103492898237</v>
      </c>
      <c r="C3" s="43" t="s">
        <v>163</v>
      </c>
      <c r="D3" s="43"/>
      <c r="E3" s="153"/>
      <c r="F3" s="43"/>
      <c r="G3" s="43"/>
      <c r="H3" s="43"/>
      <c r="I3" s="43"/>
      <c r="J3" s="43"/>
      <c r="K3" s="96"/>
    </row>
    <row r="4" spans="1:11">
      <c r="A4" s="350" t="s">
        <v>164</v>
      </c>
      <c r="B4" s="49">
        <f>IF(ISERROR('SEAP template'!B78+'SEAP template'!C78),0,'SEAP template'!B78+'SEAP template'!C78)</f>
        <v>14876.624016554822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3332.2870588235296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0.22262667431507813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4760.4100840336141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20031.428571428572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468.40800000000002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468.40800000000002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0.22262667431507813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104.28011526257711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13920.83268</v>
      </c>
      <c r="C5" s="17">
        <f>IF(ISERROR('Eigen informatie GS &amp; warmtenet'!B59),0,'Eigen informatie GS &amp; warmtenet'!B59)</f>
        <v>0</v>
      </c>
      <c r="D5" s="30">
        <f>(SUM(HH_hh_gas_kWh,HH_rest_gas_kWh)/1000)*0.902</f>
        <v>49545.336711420001</v>
      </c>
      <c r="E5" s="17">
        <f>B32*B41</f>
        <v>454.45930193923812</v>
      </c>
      <c r="F5" s="17">
        <f>B36*B45</f>
        <v>8745.7502924829332</v>
      </c>
      <c r="G5" s="18"/>
      <c r="H5" s="17"/>
      <c r="I5" s="17"/>
      <c r="J5" s="17">
        <f>B35*B44+C35*C44</f>
        <v>44.752935113508983</v>
      </c>
      <c r="K5" s="17"/>
      <c r="L5" s="17"/>
      <c r="M5" s="17"/>
      <c r="N5" s="17">
        <f>B34*B43+C34*C43</f>
        <v>5130.6290190373838</v>
      </c>
      <c r="O5" s="17">
        <f>B52*B53*B54</f>
        <v>71.422495897933146</v>
      </c>
      <c r="P5" s="17">
        <f>B60*B61*B62/1000-B60*B61*B62/1000/B63</f>
        <v>52.669796538425103</v>
      </c>
    </row>
    <row r="6" spans="1:16">
      <c r="A6" s="16" t="s">
        <v>573</v>
      </c>
      <c r="B6" s="738">
        <f>kWh_PV_kleiner_dan_10kW</f>
        <v>854.62401655482222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14775.456696554822</v>
      </c>
      <c r="C8" s="21">
        <f>C5</f>
        <v>0</v>
      </c>
      <c r="D8" s="21">
        <f>D5</f>
        <v>49545.336711420001</v>
      </c>
      <c r="E8" s="21">
        <f>E5</f>
        <v>454.45930193923812</v>
      </c>
      <c r="F8" s="21">
        <f>F5</f>
        <v>8745.7502924829332</v>
      </c>
      <c r="G8" s="21"/>
      <c r="H8" s="21"/>
      <c r="I8" s="21"/>
      <c r="J8" s="21">
        <f>J5</f>
        <v>44.752935113508983</v>
      </c>
      <c r="K8" s="21"/>
      <c r="L8" s="21">
        <f>L5</f>
        <v>0</v>
      </c>
      <c r="M8" s="21">
        <f>M5</f>
        <v>0</v>
      </c>
      <c r="N8" s="21">
        <f>N5</f>
        <v>5130.6290190373838</v>
      </c>
      <c r="O8" s="21">
        <f>O5</f>
        <v>71.422495897933146</v>
      </c>
      <c r="P8" s="21">
        <f>P5</f>
        <v>52.669796538425103</v>
      </c>
    </row>
    <row r="9" spans="1:16">
      <c r="B9" s="19"/>
      <c r="C9" s="19"/>
      <c r="D9" s="255"/>
      <c r="E9" s="19"/>
      <c r="F9" s="19"/>
      <c r="G9" s="19"/>
      <c r="H9" s="19"/>
      <c r="I9" s="19"/>
      <c r="J9" s="19"/>
      <c r="K9" s="19"/>
      <c r="L9" s="19"/>
      <c r="M9" s="19"/>
      <c r="N9" s="19"/>
      <c r="O9" s="19"/>
      <c r="P9" s="19"/>
    </row>
    <row r="10" spans="1:16">
      <c r="A10" s="24" t="s">
        <v>207</v>
      </c>
      <c r="B10" s="25">
        <f ca="1">'EF ele_warmte'!B12</f>
        <v>0.22262667431507813</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3289.4107858404504</v>
      </c>
      <c r="C12" s="23">
        <f ca="1">C10*C8</f>
        <v>0</v>
      </c>
      <c r="D12" s="23">
        <f>D8*D10</f>
        <v>10008.15801570684</v>
      </c>
      <c r="E12" s="23">
        <f>E10*E8</f>
        <v>103.16226154020706</v>
      </c>
      <c r="F12" s="23">
        <f>F10*F8</f>
        <v>2335.1153280929434</v>
      </c>
      <c r="G12" s="23"/>
      <c r="H12" s="23"/>
      <c r="I12" s="23"/>
      <c r="J12" s="23">
        <f>J10*J8</f>
        <v>15.842539030182179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4657</v>
      </c>
      <c r="C26" s="36"/>
      <c r="D26" s="225"/>
    </row>
    <row r="27" spans="1:7" s="15" customFormat="1">
      <c r="A27" s="227" t="s">
        <v>774</v>
      </c>
      <c r="B27" s="37">
        <f>SUM(HH_hh_gas_aantal,HH_rest_gas_aantal)</f>
        <v>4211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4000.45</v>
      </c>
      <c r="C31" s="165" t="s">
        <v>104</v>
      </c>
      <c r="D31" s="230"/>
      <c r="G31" s="15"/>
    </row>
    <row r="32" spans="1:7">
      <c r="A32" s="168" t="s">
        <v>72</v>
      </c>
      <c r="B32" s="165">
        <f>IF((B21*($B$26-($B$27-0.05*$B$27)-$B$60))&lt;0,0,B21*($B$26-($B$27-0.05*$B$27)-$B$60))</f>
        <v>7.345032173994908</v>
      </c>
      <c r="C32" s="165" t="s">
        <v>104</v>
      </c>
      <c r="D32" s="230"/>
      <c r="G32" s="15"/>
    </row>
    <row r="33" spans="1:7">
      <c r="A33" s="168" t="s">
        <v>73</v>
      </c>
      <c r="B33" s="165">
        <f>IF((B22*($B$26-($B$27-0.05*$B$27)-$B$60))&lt;0,0,B22*($B$26-($B$27-0.05*$B$27)-$B$60))</f>
        <v>152.70938702975948</v>
      </c>
      <c r="C33" s="165" t="s">
        <v>104</v>
      </c>
      <c r="D33" s="230"/>
      <c r="G33" s="15"/>
    </row>
    <row r="34" spans="1:7">
      <c r="A34" s="168" t="s">
        <v>74</v>
      </c>
      <c r="B34" s="165">
        <f>IF((B24*($B$26-($B$27-0.05*$B$27)-$B$60))&lt;0,0,B24*($B$26-($B$27-0.05*$B$27)-$B$60))</f>
        <v>64.480639407596499</v>
      </c>
      <c r="C34" s="165">
        <f>B26*C24</f>
        <v>803.62336612659021</v>
      </c>
      <c r="D34" s="230"/>
      <c r="G34" s="15"/>
    </row>
    <row r="35" spans="1:7">
      <c r="A35" s="168" t="s">
        <v>76</v>
      </c>
      <c r="B35" s="165">
        <f>IF((B19*($B$26-($B$27-0.05*$B$27)-$B$60))&lt;0,0,B19*($B$26-($B$27-0.05*$B$27)-$B$60))</f>
        <v>5.5593973359186695</v>
      </c>
      <c r="C35" s="165">
        <f>B35/2</f>
        <v>2.7796986679593347</v>
      </c>
      <c r="D35" s="231"/>
      <c r="G35" s="15"/>
    </row>
    <row r="36" spans="1:7">
      <c r="A36" s="168" t="s">
        <v>77</v>
      </c>
      <c r="B36" s="165">
        <f>IF((B18*($B$26-($B$27-0.05*$B$27)-$B$60))&lt;0,0,B18*($B$26-($B$27-0.05*$B$27)-$B$60))</f>
        <v>421.4555440527306</v>
      </c>
      <c r="C36" s="165" t="s">
        <v>104</v>
      </c>
      <c r="D36" s="231"/>
      <c r="G36" s="15"/>
    </row>
    <row r="37" spans="1:7">
      <c r="A37" s="168" t="s">
        <v>78</v>
      </c>
      <c r="B37" s="165">
        <f>B60</f>
        <v>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9564.5524210000003</v>
      </c>
      <c r="C5" s="17">
        <f>IF(ISERROR('Eigen informatie GS &amp; warmtenet'!B60),0,'Eigen informatie GS &amp; warmtenet'!B60)</f>
        <v>0</v>
      </c>
      <c r="D5" s="30">
        <f>SUM(D6:D12)</f>
        <v>10911.355883956001</v>
      </c>
      <c r="E5" s="17">
        <f>SUM(E6:E12)</f>
        <v>24.707840340398008</v>
      </c>
      <c r="F5" s="17">
        <f>SUM(F6:F12)</f>
        <v>1314.8684660046654</v>
      </c>
      <c r="G5" s="18"/>
      <c r="H5" s="17"/>
      <c r="I5" s="17"/>
      <c r="J5" s="17">
        <f>SUM(J6:J12)</f>
        <v>5.7882448861987417E-3</v>
      </c>
      <c r="K5" s="17"/>
      <c r="L5" s="17"/>
      <c r="M5" s="17"/>
      <c r="N5" s="17">
        <f>SUM(N6:N12)</f>
        <v>225.72767556141673</v>
      </c>
      <c r="O5" s="17">
        <f>B38*B39*B40</f>
        <v>0</v>
      </c>
      <c r="P5" s="17">
        <f>B46*B47*B48/1000-B46*B47*B48/1000/B49</f>
        <v>0</v>
      </c>
      <c r="R5" s="32"/>
    </row>
    <row r="6" spans="1:18">
      <c r="A6" s="32" t="s">
        <v>53</v>
      </c>
      <c r="B6" s="37">
        <f>B26</f>
        <v>1540.2843170000001</v>
      </c>
      <c r="C6" s="33"/>
      <c r="D6" s="37">
        <f>IF(ISERROR(TER_kantoor_gas_kWh/1000),0,TER_kantoor_gas_kWh/1000)*0.902</f>
        <v>2834.5999476080001</v>
      </c>
      <c r="E6" s="33">
        <f>$C$26*'E Balans VL '!I12/100/3.6*1000000</f>
        <v>0.40221240090299487</v>
      </c>
      <c r="F6" s="33">
        <f>$C$26*('E Balans VL '!L12+'E Balans VL '!N12)/100/3.6*1000000</f>
        <v>153.89935436650995</v>
      </c>
      <c r="G6" s="34"/>
      <c r="H6" s="33"/>
      <c r="I6" s="33"/>
      <c r="J6" s="33">
        <f>$C$26*('E Balans VL '!D12+'E Balans VL '!E12)/100/3.6*1000000</f>
        <v>0</v>
      </c>
      <c r="K6" s="33"/>
      <c r="L6" s="33"/>
      <c r="M6" s="33"/>
      <c r="N6" s="33">
        <f>$C$26*'E Balans VL '!Y12/100/3.6*1000000</f>
        <v>1.092053547430867</v>
      </c>
      <c r="O6" s="33"/>
      <c r="P6" s="33"/>
      <c r="R6" s="32"/>
    </row>
    <row r="7" spans="1:18">
      <c r="A7" s="32" t="s">
        <v>52</v>
      </c>
      <c r="B7" s="37">
        <f t="shared" ref="B7:B12" si="0">B27</f>
        <v>715.46755099999996</v>
      </c>
      <c r="C7" s="33"/>
      <c r="D7" s="37">
        <f>IF(ISERROR(TER_horeca_gas_kWh/1000),0,TER_horeca_gas_kWh/1000)*0.902</f>
        <v>1233.0041140340002</v>
      </c>
      <c r="E7" s="33">
        <f>$C$27*'E Balans VL '!I9/100/3.6*1000000</f>
        <v>0</v>
      </c>
      <c r="F7" s="33">
        <f>$C$27*('E Balans VL '!L9+'E Balans VL '!N9)/100/3.6*1000000</f>
        <v>58.758825778575719</v>
      </c>
      <c r="G7" s="34"/>
      <c r="H7" s="33"/>
      <c r="I7" s="33"/>
      <c r="J7" s="33">
        <f>$C$27*('E Balans VL '!D9+'E Balans VL '!E9)/100/3.6*1000000</f>
        <v>0</v>
      </c>
      <c r="K7" s="33"/>
      <c r="L7" s="33"/>
      <c r="M7" s="33"/>
      <c r="N7" s="33">
        <f>$C$27*'E Balans VL '!Y9/100/3.6*1000000</f>
        <v>9.0414152331308344</v>
      </c>
      <c r="O7" s="33"/>
      <c r="P7" s="33"/>
      <c r="R7" s="32"/>
    </row>
    <row r="8" spans="1:18">
      <c r="A8" s="6" t="s">
        <v>51</v>
      </c>
      <c r="B8" s="37">
        <f t="shared" si="0"/>
        <v>4551.6561330000004</v>
      </c>
      <c r="C8" s="33"/>
      <c r="D8" s="37">
        <f>IF(ISERROR(TER_handel_gas_kWh/1000),0,TER_handel_gas_kWh/1000)*0.902</f>
        <v>1354.806549052</v>
      </c>
      <c r="E8" s="33">
        <f>$C$28*'E Balans VL '!I13/100/3.6*1000000</f>
        <v>16.728530686938917</v>
      </c>
      <c r="F8" s="33">
        <f>$C$28*('E Balans VL '!L13+'E Balans VL '!N13)/100/3.6*1000000</f>
        <v>434.75985831314716</v>
      </c>
      <c r="G8" s="34"/>
      <c r="H8" s="33"/>
      <c r="I8" s="33"/>
      <c r="J8" s="33">
        <f>$C$28*('E Balans VL '!D13+'E Balans VL '!E13)/100/3.6*1000000</f>
        <v>0</v>
      </c>
      <c r="K8" s="33"/>
      <c r="L8" s="33"/>
      <c r="M8" s="33"/>
      <c r="N8" s="33">
        <f>$C$28*'E Balans VL '!Y13/100/3.6*1000000</f>
        <v>1.8009833792010079</v>
      </c>
      <c r="O8" s="33"/>
      <c r="P8" s="33"/>
      <c r="R8" s="32"/>
    </row>
    <row r="9" spans="1:18">
      <c r="A9" s="32" t="s">
        <v>50</v>
      </c>
      <c r="B9" s="37">
        <f t="shared" si="0"/>
        <v>226.01533900000001</v>
      </c>
      <c r="C9" s="33"/>
      <c r="D9" s="37">
        <f>IF(ISERROR(TER_gezond_gas_kWh/1000),0,TER_gezond_gas_kWh/1000)*0.902</f>
        <v>454.677002098</v>
      </c>
      <c r="E9" s="33">
        <f>$C$29*'E Balans VL '!I10/100/3.6*1000000</f>
        <v>0</v>
      </c>
      <c r="F9" s="33">
        <f>$C$29*('E Balans VL '!L10+'E Balans VL '!N10)/100/3.6*1000000</f>
        <v>15.268388698969838</v>
      </c>
      <c r="G9" s="34"/>
      <c r="H9" s="33"/>
      <c r="I9" s="33"/>
      <c r="J9" s="33">
        <f>$C$29*('E Balans VL '!D10+'E Balans VL '!E10)/100/3.6*1000000</f>
        <v>0</v>
      </c>
      <c r="K9" s="33"/>
      <c r="L9" s="33"/>
      <c r="M9" s="33"/>
      <c r="N9" s="33">
        <f>$C$29*'E Balans VL '!Y10/100/3.6*1000000</f>
        <v>1.7585679690930656</v>
      </c>
      <c r="O9" s="33"/>
      <c r="P9" s="33"/>
      <c r="R9" s="32"/>
    </row>
    <row r="10" spans="1:18">
      <c r="A10" s="32" t="s">
        <v>49</v>
      </c>
      <c r="B10" s="37">
        <f t="shared" si="0"/>
        <v>172.87050299999999</v>
      </c>
      <c r="C10" s="33"/>
      <c r="D10" s="37">
        <f>IF(ISERROR(TER_ander_gas_kWh/1000),0,TER_ander_gas_kWh/1000)*0.902</f>
        <v>246.70133140400003</v>
      </c>
      <c r="E10" s="33">
        <f>$C$30*'E Balans VL '!I14/100/3.6*1000000</f>
        <v>1.5675560616859689</v>
      </c>
      <c r="F10" s="33">
        <f>$C$30*('E Balans VL '!L14+'E Balans VL '!N14)/100/3.6*1000000</f>
        <v>136.64498259474743</v>
      </c>
      <c r="G10" s="34"/>
      <c r="H10" s="33"/>
      <c r="I10" s="33"/>
      <c r="J10" s="33">
        <f>$C$30*('E Balans VL '!D14+'E Balans VL '!E14)/100/3.6*1000000</f>
        <v>1.710989861017537E-3</v>
      </c>
      <c r="K10" s="33"/>
      <c r="L10" s="33"/>
      <c r="M10" s="33"/>
      <c r="N10" s="33">
        <f>$C$30*'E Balans VL '!Y14/100/3.6*1000000</f>
        <v>61.014475267820458</v>
      </c>
      <c r="O10" s="33"/>
      <c r="P10" s="33"/>
      <c r="R10" s="32"/>
    </row>
    <row r="11" spans="1:18">
      <c r="A11" s="32" t="s">
        <v>54</v>
      </c>
      <c r="B11" s="37">
        <f t="shared" si="0"/>
        <v>325.05062099999998</v>
      </c>
      <c r="C11" s="33"/>
      <c r="D11" s="37">
        <f>IF(ISERROR(TER_onderwijs_gas_kWh/1000),0,TER_onderwijs_gas_kWh/1000)*0.902</f>
        <v>822.65155790400013</v>
      </c>
      <c r="E11" s="33">
        <f>$C$31*'E Balans VL '!I11/100/3.6*1000000</f>
        <v>0</v>
      </c>
      <c r="F11" s="33">
        <f>$C$31*('E Balans VL '!L11+'E Balans VL '!N11)/100/3.6*1000000</f>
        <v>38.685394287216234</v>
      </c>
      <c r="G11" s="34"/>
      <c r="H11" s="33"/>
      <c r="I11" s="33"/>
      <c r="J11" s="33">
        <f>$C$31*('E Balans VL '!D11+'E Balans VL '!E11)/100/3.6*1000000</f>
        <v>0</v>
      </c>
      <c r="K11" s="33"/>
      <c r="L11" s="33"/>
      <c r="M11" s="33"/>
      <c r="N11" s="33">
        <f>$C$31*'E Balans VL '!Y11/100/3.6*1000000</f>
        <v>0.72290464980050617</v>
      </c>
      <c r="O11" s="33"/>
      <c r="P11" s="33"/>
      <c r="R11" s="32"/>
    </row>
    <row r="12" spans="1:18">
      <c r="A12" s="32" t="s">
        <v>248</v>
      </c>
      <c r="B12" s="37">
        <f t="shared" si="0"/>
        <v>2033.2079569999999</v>
      </c>
      <c r="C12" s="33"/>
      <c r="D12" s="37">
        <f>IF(ISERROR(TER_rest_gas_kWh/1000),0,TER_rest_gas_kWh/1000)*0.902</f>
        <v>3964.9153818559994</v>
      </c>
      <c r="E12" s="33">
        <f>$C$32*'E Balans VL '!I8/100/3.6*1000000</f>
        <v>6.0095411908701237</v>
      </c>
      <c r="F12" s="33">
        <f>$C$32*('E Balans VL '!L8+'E Balans VL '!N8)/100/3.6*1000000</f>
        <v>476.85166196549909</v>
      </c>
      <c r="G12" s="34"/>
      <c r="H12" s="33"/>
      <c r="I12" s="33"/>
      <c r="J12" s="33">
        <f>$C$32*('E Balans VL '!D8+'E Balans VL '!E8)/100/3.6*1000000</f>
        <v>4.0772550251812045E-3</v>
      </c>
      <c r="K12" s="33"/>
      <c r="L12" s="33"/>
      <c r="M12" s="33"/>
      <c r="N12" s="33">
        <f>$C$32*'E Balans VL '!Y8/100/3.6*1000000</f>
        <v>150.29727551493997</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9564.5524210000003</v>
      </c>
      <c r="C16" s="21">
        <f t="shared" ca="1" si="1"/>
        <v>0</v>
      </c>
      <c r="D16" s="21">
        <f t="shared" ca="1" si="1"/>
        <v>10911.355883956001</v>
      </c>
      <c r="E16" s="21">
        <f t="shared" si="1"/>
        <v>24.707840340398008</v>
      </c>
      <c r="F16" s="21">
        <f t="shared" ca="1" si="1"/>
        <v>1314.8684660046654</v>
      </c>
      <c r="G16" s="21">
        <f t="shared" si="1"/>
        <v>0</v>
      </c>
      <c r="H16" s="21">
        <f t="shared" si="1"/>
        <v>0</v>
      </c>
      <c r="I16" s="21">
        <f t="shared" si="1"/>
        <v>0</v>
      </c>
      <c r="J16" s="21">
        <f t="shared" si="1"/>
        <v>5.7882448861987417E-3</v>
      </c>
      <c r="K16" s="21">
        <f t="shared" si="1"/>
        <v>0</v>
      </c>
      <c r="L16" s="21">
        <f t="shared" ca="1" si="1"/>
        <v>0</v>
      </c>
      <c r="M16" s="21">
        <f t="shared" si="1"/>
        <v>0</v>
      </c>
      <c r="N16" s="21">
        <f t="shared" ca="1" si="1"/>
        <v>225.72767556141673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0.22262667431507813</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2129.3244967994592</v>
      </c>
      <c r="C20" s="23">
        <f t="shared" ref="C20:P20" ca="1" si="2">C16*C18</f>
        <v>0</v>
      </c>
      <c r="D20" s="23">
        <f t="shared" ca="1" si="2"/>
        <v>2204.0938885591122</v>
      </c>
      <c r="E20" s="23">
        <f t="shared" si="2"/>
        <v>5.6086797572703482</v>
      </c>
      <c r="F20" s="23">
        <f t="shared" ca="1" si="2"/>
        <v>351.06988042324565</v>
      </c>
      <c r="G20" s="23">
        <f t="shared" si="2"/>
        <v>0</v>
      </c>
      <c r="H20" s="23">
        <f t="shared" si="2"/>
        <v>0</v>
      </c>
      <c r="I20" s="23">
        <f t="shared" si="2"/>
        <v>0</v>
      </c>
      <c r="J20" s="23">
        <f t="shared" si="2"/>
        <v>2.0490386897143546E-3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1540.2843170000001</v>
      </c>
      <c r="C26" s="39">
        <f>IF(ISERROR(B26*3.6/1000000/'E Balans VL '!Z12*100),0,B26*3.6/1000000/'E Balans VL '!Z12*100)</f>
        <v>4.3105189944813438E-2</v>
      </c>
      <c r="D26" s="234" t="s">
        <v>667</v>
      </c>
      <c r="F26" s="6"/>
    </row>
    <row r="27" spans="1:18">
      <c r="A27" s="228" t="s">
        <v>52</v>
      </c>
      <c r="B27" s="33">
        <f>IF(ISERROR(TER_horeca_ele_kWh/1000),0,TER_horeca_ele_kWh/1000)</f>
        <v>715.46755099999996</v>
      </c>
      <c r="C27" s="39">
        <f>IF(ISERROR(B27*3.6/1000000/'E Balans VL '!Z9*100),0,B27*3.6/1000000/'E Balans VL '!Z9*100)</f>
        <v>5.332554137771623E-2</v>
      </c>
      <c r="D27" s="234" t="s">
        <v>667</v>
      </c>
      <c r="F27" s="6"/>
    </row>
    <row r="28" spans="1:18">
      <c r="A28" s="168" t="s">
        <v>51</v>
      </c>
      <c r="B28" s="33">
        <f>IF(ISERROR(TER_handel_ele_kWh/1000),0,TER_handel_ele_kWh/1000)</f>
        <v>4551.6561330000004</v>
      </c>
      <c r="C28" s="39">
        <f>IF(ISERROR(B28*3.6/1000000/'E Balans VL '!Z13*100),0,B28*3.6/1000000/'E Balans VL '!Z13*100)</f>
        <v>0.13187352841410963</v>
      </c>
      <c r="D28" s="234" t="s">
        <v>667</v>
      </c>
      <c r="F28" s="6"/>
    </row>
    <row r="29" spans="1:18">
      <c r="A29" s="228" t="s">
        <v>50</v>
      </c>
      <c r="B29" s="33">
        <f>IF(ISERROR(TER_gezond_ele_kWh/1000),0,TER_gezond_ele_kWh/1000)</f>
        <v>226.01533900000001</v>
      </c>
      <c r="C29" s="39">
        <f>IF(ISERROR(B29*3.6/1000000/'E Balans VL '!Z10*100),0,B29*3.6/1000000/'E Balans VL '!Z10*100)</f>
        <v>2.2793916472419649E-2</v>
      </c>
      <c r="D29" s="234" t="s">
        <v>667</v>
      </c>
      <c r="F29" s="6"/>
    </row>
    <row r="30" spans="1:18">
      <c r="A30" s="228" t="s">
        <v>49</v>
      </c>
      <c r="B30" s="33">
        <f>IF(ISERROR(TER_ander_ele_kWh/1000),0,TER_ander_ele_kWh/1000)</f>
        <v>172.87050299999999</v>
      </c>
      <c r="C30" s="39">
        <f>IF(ISERROR(B30*3.6/1000000/'E Balans VL '!Z14*100),0,B30*3.6/1000000/'E Balans VL '!Z14*100)</f>
        <v>7.0074670075803563E-3</v>
      </c>
      <c r="D30" s="234" t="s">
        <v>667</v>
      </c>
      <c r="F30" s="6"/>
    </row>
    <row r="31" spans="1:18">
      <c r="A31" s="228" t="s">
        <v>54</v>
      </c>
      <c r="B31" s="33">
        <f>IF(ISERROR(TER_onderwijs_ele_kWh/1000),0,TER_onderwijs_ele_kWh/1000)</f>
        <v>325.05062099999998</v>
      </c>
      <c r="C31" s="39">
        <f>IF(ISERROR(B31*3.6/1000000/'E Balans VL '!Z11*100),0,B31*3.6/1000000/'E Balans VL '!Z11*100)</f>
        <v>9.2652663662634832E-2</v>
      </c>
      <c r="D31" s="234" t="s">
        <v>667</v>
      </c>
    </row>
    <row r="32" spans="1:18">
      <c r="A32" s="228" t="s">
        <v>248</v>
      </c>
      <c r="B32" s="33">
        <f>IF(ISERROR(TER_rest_ele_kWh/1000),0,TER_rest_ele_kWh/1000)</f>
        <v>2033.2079569999999</v>
      </c>
      <c r="C32" s="39">
        <f>IF(ISERROR(B32*3.6/1000000/'E Balans VL '!Z8*100),0,B32*3.6/1000000/'E Balans VL '!Z8*100)</f>
        <v>1.6698655393233598E-2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2144.4789789999995</v>
      </c>
      <c r="C5" s="17">
        <f>IF(ISERROR('Eigen informatie GS &amp; warmtenet'!B61),0,'Eigen informatie GS &amp; warmtenet'!B61)</f>
        <v>0</v>
      </c>
      <c r="D5" s="30">
        <f>SUM(D6:D15)</f>
        <v>963.99310339200008</v>
      </c>
      <c r="E5" s="17">
        <f>SUM(E6:E15)</f>
        <v>63.003595778207675</v>
      </c>
      <c r="F5" s="17">
        <f>SUM(F6:F15)</f>
        <v>562.87189956256236</v>
      </c>
      <c r="G5" s="18"/>
      <c r="H5" s="17"/>
      <c r="I5" s="17"/>
      <c r="J5" s="17">
        <f>SUM(J6:J15)</f>
        <v>4.9192469104079173</v>
      </c>
      <c r="K5" s="17"/>
      <c r="L5" s="17"/>
      <c r="M5" s="17"/>
      <c r="N5" s="17">
        <f>SUM(N6:N15)</f>
        <v>93.156484472518557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514.78833799999995</v>
      </c>
      <c r="C9" s="33"/>
      <c r="D9" s="37">
        <f>IF( ISERROR(IND_andere_gas_kWh/1000),0,IND_andere_gas_kWh/1000)*0.902</f>
        <v>279.958862458</v>
      </c>
      <c r="E9" s="33">
        <f>C31*'E Balans VL '!I19/100/3.6*1000000</f>
        <v>1.3534693586565578</v>
      </c>
      <c r="F9" s="33">
        <f>C31*'E Balans VL '!L19/100/3.6*1000000+C31*'E Balans VL '!N19/100/3.6*1000000</f>
        <v>339.9686221350965</v>
      </c>
      <c r="G9" s="34"/>
      <c r="H9" s="33"/>
      <c r="I9" s="33"/>
      <c r="J9" s="40">
        <f>C31*'E Balans VL '!D19/100/3.6*1000000+C31*'E Balans VL '!E19/100/3.6*1000000</f>
        <v>0</v>
      </c>
      <c r="K9" s="33"/>
      <c r="L9" s="33"/>
      <c r="M9" s="33"/>
      <c r="N9" s="33">
        <f>C31*'E Balans VL '!Y19/100/3.6*1000000</f>
        <v>27.483730257142312</v>
      </c>
      <c r="O9" s="33"/>
      <c r="P9" s="33"/>
      <c r="R9" s="32"/>
    </row>
    <row r="10" spans="1:18">
      <c r="A10" s="6" t="s">
        <v>40</v>
      </c>
      <c r="B10" s="37">
        <f t="shared" si="0"/>
        <v>349.731471</v>
      </c>
      <c r="C10" s="33"/>
      <c r="D10" s="37">
        <f>IF( ISERROR(IND_voed_gas_kWh/1000),0,IND_voed_gas_kWh/1000)*0.902</f>
        <v>285.6069799</v>
      </c>
      <c r="E10" s="33">
        <f>C32*'E Balans VL '!I20/100/3.6*1000000</f>
        <v>0.59042667202562282</v>
      </c>
      <c r="F10" s="33">
        <f>C32*'E Balans VL '!L20/100/3.6*1000000+C32*'E Balans VL '!N20/100/3.6*1000000</f>
        <v>20.527710988875789</v>
      </c>
      <c r="G10" s="34"/>
      <c r="H10" s="33"/>
      <c r="I10" s="33"/>
      <c r="J10" s="40">
        <f>C32*'E Balans VL '!D20/100/3.6*1000000+C32*'E Balans VL '!E20/100/3.6*1000000</f>
        <v>0</v>
      </c>
      <c r="K10" s="33"/>
      <c r="L10" s="33"/>
      <c r="M10" s="33"/>
      <c r="N10" s="33">
        <f>C32*'E Balans VL '!Y20/100/3.6*1000000</f>
        <v>19.041127839939886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1279.9591699999999</v>
      </c>
      <c r="C15" s="33"/>
      <c r="D15" s="37">
        <f>IF( ISERROR(IND_rest_gas_kWh/1000),0,IND_rest_gas_kWh/1000)*0.902</f>
        <v>398.42726103400003</v>
      </c>
      <c r="E15" s="33">
        <f>C37*'E Balans VL '!I15/100/3.6*1000000</f>
        <v>61.059699747525492</v>
      </c>
      <c r="F15" s="33">
        <f>C37*'E Balans VL '!L15/100/3.6*1000000+C37*'E Balans VL '!N15/100/3.6*1000000</f>
        <v>202.37556643859006</v>
      </c>
      <c r="G15" s="34"/>
      <c r="H15" s="33"/>
      <c r="I15" s="33"/>
      <c r="J15" s="40">
        <f>C37*'E Balans VL '!D15/100/3.6*1000000+C37*'E Balans VL '!E15/100/3.6*1000000</f>
        <v>4.9192469104079173</v>
      </c>
      <c r="K15" s="33"/>
      <c r="L15" s="33"/>
      <c r="M15" s="33"/>
      <c r="N15" s="33">
        <f>C37*'E Balans VL '!Y15/100/3.6*1000000</f>
        <v>46.631626375436355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2144.4789789999995</v>
      </c>
      <c r="C18" s="21">
        <f>C5+C16</f>
        <v>0</v>
      </c>
      <c r="D18" s="21">
        <f>MAX((D5+D16),0)</f>
        <v>963.99310339200008</v>
      </c>
      <c r="E18" s="21">
        <f>MAX((E5+E16),0)</f>
        <v>63.003595778207675</v>
      </c>
      <c r="F18" s="21">
        <f>MAX((F5+F16),0)</f>
        <v>562.87189956256236</v>
      </c>
      <c r="G18" s="21"/>
      <c r="H18" s="21"/>
      <c r="I18" s="21"/>
      <c r="J18" s="21">
        <f>MAX((J5+J16),0)</f>
        <v>4.9192469104079173</v>
      </c>
      <c r="K18" s="21"/>
      <c r="L18" s="21">
        <f>MAX((L5+L16),0)</f>
        <v>0</v>
      </c>
      <c r="M18" s="21"/>
      <c r="N18" s="21">
        <f>MAX((N5+N16),0)</f>
        <v>93.156484472518557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0.22262667431507813</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477.41822323336419</v>
      </c>
      <c r="C22" s="23">
        <f ca="1">C18*C20</f>
        <v>0</v>
      </c>
      <c r="D22" s="23">
        <f>D18*D20</f>
        <v>194.72660688518403</v>
      </c>
      <c r="E22" s="23">
        <f>E18*E20</f>
        <v>14.301816241653142</v>
      </c>
      <c r="F22" s="23">
        <f>F18*F20</f>
        <v>150.28679718320416</v>
      </c>
      <c r="G22" s="23"/>
      <c r="H22" s="23"/>
      <c r="I22" s="23"/>
      <c r="J22" s="23">
        <f>J18*J20</f>
        <v>1.7414134062844027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514.78833799999995</v>
      </c>
      <c r="C31" s="39">
        <f>IF(ISERROR(B31*3.6/1000000/'E Balans VL '!Z19*100),0,B31*3.6/1000000/'E Balans VL '!Z19*100)</f>
        <v>2.2456675798587358E-2</v>
      </c>
      <c r="D31" s="234" t="s">
        <v>667</v>
      </c>
    </row>
    <row r="32" spans="1:18">
      <c r="A32" s="168" t="s">
        <v>40</v>
      </c>
      <c r="B32" s="37">
        <f>IF( ISERROR(IND_voed_ele_kWh/1000),0,IND_voed_ele_kWh/1000)</f>
        <v>349.731471</v>
      </c>
      <c r="C32" s="39">
        <f>IF(ISERROR(B32*3.6/1000000/'E Balans VL '!Z20*100),0,B32*3.6/1000000/'E Balans VL '!Z20*100)</f>
        <v>1.0977822767364595E-2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1279.9591699999999</v>
      </c>
      <c r="C37" s="39">
        <f>IF(ISERROR(B37*3.6/1000000/'E Balans VL '!Z15*100),0,B37*3.6/1000000/'E Balans VL '!Z15*100)</f>
        <v>1.0416842715516128E-2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116.346519</v>
      </c>
      <c r="C5" s="17">
        <f>'Eigen informatie GS &amp; warmtenet'!B62</f>
        <v>0</v>
      </c>
      <c r="D5" s="30">
        <f>IF(ISERROR(SUM(LB_lb_gas_kWh,LB_rest_gas_kWh)/1000),0,SUM(LB_lb_gas_kWh,LB_rest_gas_kWh)/1000)*0.902</f>
        <v>42862.10475228</v>
      </c>
      <c r="E5" s="17">
        <f>B17*'E Balans VL '!I25/3.6*1000000/100</f>
        <v>4.7267460260537595</v>
      </c>
      <c r="F5" s="17">
        <f>B17*('E Balans VL '!L25/3.6*1000000+'E Balans VL '!N25/3.6*1000000)/100</f>
        <v>411.55834845143829</v>
      </c>
      <c r="G5" s="18"/>
      <c r="H5" s="17"/>
      <c r="I5" s="17"/>
      <c r="J5" s="17">
        <f>('E Balans VL '!D25+'E Balans VL '!E25)/3.6*1000000*landbouw!B17/100</f>
        <v>33.056457773706249</v>
      </c>
      <c r="K5" s="17"/>
      <c r="L5" s="17">
        <f>L6*(-1)</f>
        <v>0</v>
      </c>
      <c r="M5" s="17"/>
      <c r="N5" s="17">
        <f>N6*(-1)</f>
        <v>0</v>
      </c>
      <c r="O5" s="17"/>
      <c r="P5" s="17"/>
      <c r="R5" s="32"/>
    </row>
    <row r="6" spans="1:18">
      <c r="A6" s="16" t="s">
        <v>464</v>
      </c>
      <c r="B6" s="17" t="s">
        <v>204</v>
      </c>
      <c r="C6" s="17">
        <f>'lokale energieproductie'!O39+'lokale energieproductie'!O32</f>
        <v>20031.428571428572</v>
      </c>
      <c r="D6" s="302">
        <f>('lokale energieproductie'!P32+'lokale energieproductie'!P39)*(-1)</f>
        <v>-40062.857142857145</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116.346519</v>
      </c>
      <c r="C8" s="21">
        <f>C5+C6</f>
        <v>20031.428571428572</v>
      </c>
      <c r="D8" s="21">
        <f>MAX((D5+D6),0)</f>
        <v>2799.247609422855</v>
      </c>
      <c r="E8" s="21">
        <f>MAX((E5+E6),0)</f>
        <v>4.7267460260537595</v>
      </c>
      <c r="F8" s="21">
        <f>MAX((F5+F6),0)</f>
        <v>411.55834845143829</v>
      </c>
      <c r="G8" s="21"/>
      <c r="H8" s="21"/>
      <c r="I8" s="21"/>
      <c r="J8" s="21">
        <f>MAX((J5+J6),0)</f>
        <v>33.056457773706249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0.22262667431507813</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25.901838593106049</v>
      </c>
      <c r="C12" s="23">
        <f ca="1">C8*C10</f>
        <v>4760.4100840336141</v>
      </c>
      <c r="D12" s="23">
        <f>D8*D10</f>
        <v>565.44801710341676</v>
      </c>
      <c r="E12" s="23">
        <f>E8*E10</f>
        <v>1.0729713479142033</v>
      </c>
      <c r="F12" s="23">
        <f>F8*F10</f>
        <v>109.88607903653403</v>
      </c>
      <c r="G12" s="23"/>
      <c r="H12" s="23"/>
      <c r="I12" s="23"/>
      <c r="J12" s="23">
        <f>J8*J10</f>
        <v>11.701986051892012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1.7295744100201304E-2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1.2874472719220151</v>
      </c>
      <c r="C26" s="244">
        <f>B26*'GWP N2O_CH4'!B5</f>
        <v>27.036392710362318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0.10014220516777914</v>
      </c>
      <c r="C27" s="244">
        <f>B27*'GWP N2O_CH4'!B5</f>
        <v>2.102986308523362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1.1377815138622306E-2</v>
      </c>
      <c r="C28" s="244">
        <f>B28*'GWP N2O_CH4'!B4</f>
        <v>3.5271226929729149</v>
      </c>
      <c r="D28" s="50"/>
    </row>
    <row r="29" spans="1:4">
      <c r="A29" s="41" t="s">
        <v>265</v>
      </c>
      <c r="B29" s="244">
        <f>B34*'ha_N2O bodem landbouw'!B4</f>
        <v>0.5345446477588115</v>
      </c>
      <c r="C29" s="244">
        <f>B29*'GWP N2O_CH4'!B4</f>
        <v>165.70884080523157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1.1721601699352418E-4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1.0922308068630865E-4</v>
      </c>
      <c r="C5" s="429" t="s">
        <v>204</v>
      </c>
      <c r="D5" s="414">
        <f>SUM(D6:D11)</f>
        <v>1.9254944645732546E-4</v>
      </c>
      <c r="E5" s="414">
        <f>SUM(E6:E11)</f>
        <v>1.6516484702623404E-4</v>
      </c>
      <c r="F5" s="427" t="s">
        <v>204</v>
      </c>
      <c r="G5" s="414">
        <f>SUM(G6:G11)</f>
        <v>8.1977061669091966E-2</v>
      </c>
      <c r="H5" s="414">
        <f>SUM(H6:H11)</f>
        <v>1.8460471837754205E-2</v>
      </c>
      <c r="I5" s="429" t="s">
        <v>204</v>
      </c>
      <c r="J5" s="429" t="s">
        <v>204</v>
      </c>
      <c r="K5" s="429" t="s">
        <v>204</v>
      </c>
      <c r="L5" s="429" t="s">
        <v>204</v>
      </c>
      <c r="M5" s="414">
        <f>SUM(M6:M11)</f>
        <v>5.9475776236410129E-3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9.004757127732464E-5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1.5277046606863449E-4</v>
      </c>
      <c r="E6" s="843">
        <f>vkm_GW_PW*SUMIFS(TableVerdeelsleutelVkm[LPG],TableVerdeelsleutelVkm[Voertuigtype],"Lichte voertuigen")*SUMIFS(TableECFTransport[EnergieConsumptieFactor (PJ per km)],TableECFTransport[Index],CONCATENATE($A6,"_LPG_LPG"))</f>
        <v>1.3227010245834298E-4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4.22526166052411E-2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1.4699156872533583E-2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3.4087593856918907E-3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7.8092692668353236E-7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2.9805700244079681E-2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4.7502782955337456E-7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1.718075517259628E-3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1.8391138370321413E-5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3.9778980388690956E-5</v>
      </c>
      <c r="E8" s="417">
        <f>vkm_NGW_PW*SUMIFS(TableVerdeelsleutelVkm[LPG],TableVerdeelsleutelVkm[Voertuigtype],"Lichte voertuigen")*SUMIFS(TableECFTransport[EnergieConsumptieFactor (PJ per km)],TableECFTransport[Index],CONCATENATE($A8,"_LPG_LPG"))</f>
        <v>3.2894744567891067E-5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9.7497535031669628E-3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3.7608374086616249E-3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8.11001647118359E-4</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3.4441119790466364E-9</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1.6899131660421822E-4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2.5287294436405065E-9</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9.7410735711353869E-6</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30.339744635085736</v>
      </c>
      <c r="C14" s="21"/>
      <c r="D14" s="21">
        <f t="shared" ref="D14:M14" si="0">((D5)*10^9/3600)+D12</f>
        <v>53.48595734925707</v>
      </c>
      <c r="E14" s="21">
        <f t="shared" si="0"/>
        <v>45.879124173953905</v>
      </c>
      <c r="F14" s="21"/>
      <c r="G14" s="21">
        <f t="shared" si="0"/>
        <v>22771.406019192214</v>
      </c>
      <c r="H14" s="21">
        <f t="shared" si="0"/>
        <v>5127.9088438206127</v>
      </c>
      <c r="I14" s="21"/>
      <c r="J14" s="21"/>
      <c r="K14" s="21"/>
      <c r="L14" s="21"/>
      <c r="M14" s="21">
        <f t="shared" si="0"/>
        <v>1652.1048954558371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0.22262667431507813</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6.7544364476778709</v>
      </c>
      <c r="C18" s="23"/>
      <c r="D18" s="23">
        <f t="shared" ref="D18:M18" si="1">D14*D16</f>
        <v>10.804163384549929</v>
      </c>
      <c r="E18" s="23">
        <f t="shared" si="1"/>
        <v>10.414561187487537</v>
      </c>
      <c r="F18" s="23"/>
      <c r="G18" s="23">
        <f t="shared" si="1"/>
        <v>6079.9654071243212</v>
      </c>
      <c r="H18" s="23">
        <f t="shared" si="1"/>
        <v>1276.8493021113325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4.8171872549993491E-5</v>
      </c>
      <c r="C50" s="313">
        <f t="shared" ref="C50:P50" si="2">SUM(C51:C52)</f>
        <v>0</v>
      </c>
      <c r="D50" s="313">
        <f t="shared" si="2"/>
        <v>0</v>
      </c>
      <c r="E50" s="313">
        <f t="shared" si="2"/>
        <v>0</v>
      </c>
      <c r="F50" s="313">
        <f t="shared" si="2"/>
        <v>0</v>
      </c>
      <c r="G50" s="313">
        <f t="shared" si="2"/>
        <v>3.4901247705877436E-3</v>
      </c>
      <c r="H50" s="313">
        <f t="shared" si="2"/>
        <v>0</v>
      </c>
      <c r="I50" s="313">
        <f t="shared" si="2"/>
        <v>0</v>
      </c>
      <c r="J50" s="313">
        <f t="shared" si="2"/>
        <v>0</v>
      </c>
      <c r="K50" s="313">
        <f t="shared" si="2"/>
        <v>0</v>
      </c>
      <c r="L50" s="313">
        <f t="shared" si="2"/>
        <v>0</v>
      </c>
      <c r="M50" s="313">
        <f t="shared" si="2"/>
        <v>1.9741185073245788E-4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4.8171872549993491E-5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3.4901247705877436E-3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1.9741185073245788E-4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13.381075708331524</v>
      </c>
      <c r="C54" s="21">
        <f t="shared" ref="C54:P54" si="3">(C50)*10^9/3600</f>
        <v>0</v>
      </c>
      <c r="D54" s="21">
        <f t="shared" si="3"/>
        <v>0</v>
      </c>
      <c r="E54" s="21">
        <f t="shared" si="3"/>
        <v>0</v>
      </c>
      <c r="F54" s="21">
        <f t="shared" si="3"/>
        <v>0</v>
      </c>
      <c r="G54" s="21">
        <f t="shared" si="3"/>
        <v>969.47910294103997</v>
      </c>
      <c r="H54" s="21">
        <f t="shared" si="3"/>
        <v>0</v>
      </c>
      <c r="I54" s="21">
        <f t="shared" si="3"/>
        <v>0</v>
      </c>
      <c r="J54" s="21">
        <f t="shared" si="3"/>
        <v>0</v>
      </c>
      <c r="K54" s="21">
        <f t="shared" si="3"/>
        <v>0</v>
      </c>
      <c r="L54" s="21">
        <f t="shared" si="3"/>
        <v>0</v>
      </c>
      <c r="M54" s="21">
        <f t="shared" si="3"/>
        <v>54.836625203460521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0.22262667431507813</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2.9789843837041254</v>
      </c>
      <c r="C58" s="23">
        <f t="shared" ref="C58:P58" ca="1" si="4">C54*C56</f>
        <v>0</v>
      </c>
      <c r="D58" s="23">
        <f t="shared" si="4"/>
        <v>0</v>
      </c>
      <c r="E58" s="23">
        <f t="shared" si="4"/>
        <v>0</v>
      </c>
      <c r="F58" s="23">
        <f t="shared" si="4"/>
        <v>0</v>
      </c>
      <c r="G58" s="23">
        <f t="shared" si="4"/>
        <v>258.85092048525769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854.62401655482222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14022</v>
      </c>
      <c r="C8" s="539">
        <f>B48</f>
        <v>16496.470588235294</v>
      </c>
      <c r="D8" s="540"/>
      <c r="E8" s="540">
        <f>E48</f>
        <v>0</v>
      </c>
      <c r="F8" s="541"/>
      <c r="G8" s="542"/>
      <c r="H8" s="540">
        <f>I48</f>
        <v>0</v>
      </c>
      <c r="I8" s="540">
        <f>G48+F48</f>
        <v>0</v>
      </c>
      <c r="J8" s="540">
        <f>H48+D48+C48</f>
        <v>0</v>
      </c>
      <c r="K8" s="540"/>
      <c r="L8" s="540"/>
      <c r="M8" s="540"/>
      <c r="N8" s="543"/>
      <c r="O8" s="544">
        <f>C8*$C$12+D8*$D$12+E8*$E$12+F8*$F$12+G8*$G$12+H8*$H$12+I8*$I$12+J8*$J$12</f>
        <v>3332.2870588235296</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14876.624016554822</v>
      </c>
      <c r="C10" s="554">
        <f t="shared" ref="C10:L10" si="0">SUM(C8:C9)</f>
        <v>16496.470588235294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3332.2870588235296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20031.428571428572</v>
      </c>
      <c r="C17" s="570">
        <f>B49</f>
        <v>23566.386554621851</v>
      </c>
      <c r="D17" s="571"/>
      <c r="E17" s="571">
        <f>E49</f>
        <v>0</v>
      </c>
      <c r="F17" s="572"/>
      <c r="G17" s="573"/>
      <c r="H17" s="570">
        <f>I49</f>
        <v>0</v>
      </c>
      <c r="I17" s="571">
        <f>G49+F49</f>
        <v>0</v>
      </c>
      <c r="J17" s="571">
        <f>H49+D49+C49</f>
        <v>0</v>
      </c>
      <c r="K17" s="571"/>
      <c r="L17" s="571"/>
      <c r="M17" s="571"/>
      <c r="N17" s="924"/>
      <c r="O17" s="574">
        <f>C17*$C$22+E17*$E$22+H17*$H$22+I17*$I$22+J17*$J$22+D17*$D$22+F17*$F$22+G17*$G$22+K17*$K$22+L17*$L$22</f>
        <v>4760.4100840336141</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20031.428571428572</v>
      </c>
      <c r="C20" s="553">
        <f>SUM(C17:C19)</f>
        <v>23566.386554621851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4760.4100840336141</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11007</v>
      </c>
      <c r="C28" s="745">
        <v>2150</v>
      </c>
      <c r="D28" s="631"/>
      <c r="E28" s="630"/>
      <c r="F28" s="630"/>
      <c r="G28" s="630" t="s">
        <v>883</v>
      </c>
      <c r="H28" s="630" t="s">
        <v>884</v>
      </c>
      <c r="I28" s="630"/>
      <c r="J28" s="744"/>
      <c r="K28" s="744"/>
      <c r="L28" s="630" t="s">
        <v>885</v>
      </c>
      <c r="M28" s="630">
        <v>3116</v>
      </c>
      <c r="N28" s="630">
        <v>14022</v>
      </c>
      <c r="O28" s="630">
        <v>20031.428571428572</v>
      </c>
      <c r="P28" s="630">
        <v>40062.857142857145</v>
      </c>
      <c r="Q28" s="630">
        <v>0</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3116</v>
      </c>
      <c r="N29" s="588">
        <f>SUM(N28:N28)</f>
        <v>14022</v>
      </c>
      <c r="O29" s="588">
        <f>SUM(O28:O28)</f>
        <v>20031.428571428572</v>
      </c>
      <c r="P29" s="588">
        <f>SUM(P28:P28)</f>
        <v>40062.857142857145</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3116</v>
      </c>
      <c r="N32" s="593">
        <f>SUMIF($AA$28:$AA$28,"landbouw",N28:N28)</f>
        <v>14022</v>
      </c>
      <c r="O32" s="593">
        <f>SUMIF($AA$28:$AA$28,"landbouw",O28:O28)</f>
        <v>20031.428571428572</v>
      </c>
      <c r="P32" s="593">
        <f>SUMIF($AA$28:$AA$28,"landbouw",P28:P28)</f>
        <v>40062.857142857145</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16496.470588235294</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23566.386554621851</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10032.960421</v>
      </c>
      <c r="D10" s="641">
        <f ca="1">tertiair!C16</f>
        <v>0</v>
      </c>
      <c r="E10" s="641">
        <f ca="1">tertiair!D16</f>
        <v>10911.355883956001</v>
      </c>
      <c r="F10" s="641">
        <f>tertiair!E16</f>
        <v>24.707840340398008</v>
      </c>
      <c r="G10" s="641">
        <f ca="1">tertiair!F16</f>
        <v>1314.8684660046654</v>
      </c>
      <c r="H10" s="641">
        <f>tertiair!G16</f>
        <v>0</v>
      </c>
      <c r="I10" s="641">
        <f>tertiair!H16</f>
        <v>0</v>
      </c>
      <c r="J10" s="641">
        <f>tertiair!I16</f>
        <v>0</v>
      </c>
      <c r="K10" s="641">
        <f>tertiair!J16</f>
        <v>5.7882448861987417E-3</v>
      </c>
      <c r="L10" s="641">
        <f>tertiair!K16</f>
        <v>0</v>
      </c>
      <c r="M10" s="641">
        <f ca="1">tertiair!L16</f>
        <v>0</v>
      </c>
      <c r="N10" s="641">
        <f>tertiair!M16</f>
        <v>0</v>
      </c>
      <c r="O10" s="641">
        <f ca="1">tertiair!N16</f>
        <v>225.72767556141673</v>
      </c>
      <c r="P10" s="641">
        <f>tertiair!O16</f>
        <v>0</v>
      </c>
      <c r="Q10" s="642">
        <f>tertiair!P16</f>
        <v>0</v>
      </c>
      <c r="R10" s="644">
        <f ca="1">SUM(C10:Q10)</f>
        <v>22509.626075107368</v>
      </c>
      <c r="S10" s="67"/>
    </row>
    <row r="11" spans="1:19" s="440" customFormat="1">
      <c r="A11" s="761" t="s">
        <v>213</v>
      </c>
      <c r="B11" s="766"/>
      <c r="C11" s="641">
        <f>huishoudens!B8</f>
        <v>14775.456696554822</v>
      </c>
      <c r="D11" s="641">
        <f>huishoudens!C8</f>
        <v>0</v>
      </c>
      <c r="E11" s="641">
        <f>huishoudens!D8</f>
        <v>49545.336711420001</v>
      </c>
      <c r="F11" s="641">
        <f>huishoudens!E8</f>
        <v>454.45930193923812</v>
      </c>
      <c r="G11" s="641">
        <f>huishoudens!F8</f>
        <v>8745.7502924829332</v>
      </c>
      <c r="H11" s="641">
        <f>huishoudens!G8</f>
        <v>0</v>
      </c>
      <c r="I11" s="641">
        <f>huishoudens!H8</f>
        <v>0</v>
      </c>
      <c r="J11" s="641">
        <f>huishoudens!I8</f>
        <v>0</v>
      </c>
      <c r="K11" s="641">
        <f>huishoudens!J8</f>
        <v>44.752935113508983</v>
      </c>
      <c r="L11" s="641">
        <f>huishoudens!K8</f>
        <v>0</v>
      </c>
      <c r="M11" s="641">
        <f>huishoudens!L8</f>
        <v>0</v>
      </c>
      <c r="N11" s="641">
        <f>huishoudens!M8</f>
        <v>0</v>
      </c>
      <c r="O11" s="641">
        <f>huishoudens!N8</f>
        <v>5130.6290190373838</v>
      </c>
      <c r="P11" s="641">
        <f>huishoudens!O8</f>
        <v>71.422495897933146</v>
      </c>
      <c r="Q11" s="642">
        <f>huishoudens!P8</f>
        <v>52.669796538425103</v>
      </c>
      <c r="R11" s="644">
        <f>SUM(C11:Q11)</f>
        <v>78820.477248984243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2144.4789789999995</v>
      </c>
      <c r="D13" s="641">
        <f>industrie!C18</f>
        <v>0</v>
      </c>
      <c r="E13" s="641">
        <f>industrie!D18</f>
        <v>963.99310339200008</v>
      </c>
      <c r="F13" s="641">
        <f>industrie!E18</f>
        <v>63.003595778207675</v>
      </c>
      <c r="G13" s="641">
        <f>industrie!F18</f>
        <v>562.87189956256236</v>
      </c>
      <c r="H13" s="641">
        <f>industrie!G18</f>
        <v>0</v>
      </c>
      <c r="I13" s="641">
        <f>industrie!H18</f>
        <v>0</v>
      </c>
      <c r="J13" s="641">
        <f>industrie!I18</f>
        <v>0</v>
      </c>
      <c r="K13" s="641">
        <f>industrie!J18</f>
        <v>4.9192469104079173</v>
      </c>
      <c r="L13" s="641">
        <f>industrie!K18</f>
        <v>0</v>
      </c>
      <c r="M13" s="641">
        <f>industrie!L18</f>
        <v>0</v>
      </c>
      <c r="N13" s="641">
        <f>industrie!M18</f>
        <v>0</v>
      </c>
      <c r="O13" s="641">
        <f>industrie!N18</f>
        <v>93.156484472518557</v>
      </c>
      <c r="P13" s="641">
        <f>industrie!O18</f>
        <v>0</v>
      </c>
      <c r="Q13" s="642">
        <f>industrie!P18</f>
        <v>0</v>
      </c>
      <c r="R13" s="644">
        <f>SUM(C13:Q13)</f>
        <v>3832.4233091156957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26952.896096554821</v>
      </c>
      <c r="D16" s="677">
        <f t="shared" ref="D16:R16" ca="1" si="0">SUM(D9:D15)</f>
        <v>0</v>
      </c>
      <c r="E16" s="677">
        <f t="shared" ca="1" si="0"/>
        <v>61420.685698768</v>
      </c>
      <c r="F16" s="677">
        <f t="shared" si="0"/>
        <v>542.17073805784378</v>
      </c>
      <c r="G16" s="677">
        <f t="shared" ca="1" si="0"/>
        <v>10623.490658050161</v>
      </c>
      <c r="H16" s="677">
        <f t="shared" si="0"/>
        <v>0</v>
      </c>
      <c r="I16" s="677">
        <f t="shared" si="0"/>
        <v>0</v>
      </c>
      <c r="J16" s="677">
        <f t="shared" si="0"/>
        <v>0</v>
      </c>
      <c r="K16" s="677">
        <f t="shared" si="0"/>
        <v>49.677970268803094</v>
      </c>
      <c r="L16" s="677">
        <f t="shared" si="0"/>
        <v>0</v>
      </c>
      <c r="M16" s="677">
        <f t="shared" ca="1" si="0"/>
        <v>0</v>
      </c>
      <c r="N16" s="677">
        <f t="shared" si="0"/>
        <v>0</v>
      </c>
      <c r="O16" s="677">
        <f t="shared" ca="1" si="0"/>
        <v>5449.5131790713194</v>
      </c>
      <c r="P16" s="677">
        <f t="shared" si="0"/>
        <v>71.422495897933146</v>
      </c>
      <c r="Q16" s="677">
        <f t="shared" si="0"/>
        <v>52.669796538425103</v>
      </c>
      <c r="R16" s="677">
        <f t="shared" ca="1" si="0"/>
        <v>105162.52663320731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13.381075708331524</v>
      </c>
      <c r="D19" s="641">
        <f>transport!C54</f>
        <v>0</v>
      </c>
      <c r="E19" s="641">
        <f>transport!D54</f>
        <v>0</v>
      </c>
      <c r="F19" s="641">
        <f>transport!E54</f>
        <v>0</v>
      </c>
      <c r="G19" s="641">
        <f>transport!F54</f>
        <v>0</v>
      </c>
      <c r="H19" s="641">
        <f>transport!G54</f>
        <v>969.47910294103997</v>
      </c>
      <c r="I19" s="641">
        <f>transport!H54</f>
        <v>0</v>
      </c>
      <c r="J19" s="641">
        <f>transport!I54</f>
        <v>0</v>
      </c>
      <c r="K19" s="641">
        <f>transport!J54</f>
        <v>0</v>
      </c>
      <c r="L19" s="641">
        <f>transport!K54</f>
        <v>0</v>
      </c>
      <c r="M19" s="641">
        <f>transport!L54</f>
        <v>0</v>
      </c>
      <c r="N19" s="641">
        <f>transport!M54</f>
        <v>54.836625203460521</v>
      </c>
      <c r="O19" s="641">
        <f>transport!N54</f>
        <v>0</v>
      </c>
      <c r="P19" s="641">
        <f>transport!O54</f>
        <v>0</v>
      </c>
      <c r="Q19" s="642">
        <f>transport!P54</f>
        <v>0</v>
      </c>
      <c r="R19" s="644">
        <f>SUM(C19:Q19)</f>
        <v>1037.6968038528321</v>
      </c>
      <c r="S19" s="67"/>
    </row>
    <row r="20" spans="1:19" s="440" customFormat="1">
      <c r="A20" s="761" t="s">
        <v>295</v>
      </c>
      <c r="B20" s="766"/>
      <c r="C20" s="641">
        <f>transport!B14</f>
        <v>30.339744635085736</v>
      </c>
      <c r="D20" s="641">
        <f>transport!C14</f>
        <v>0</v>
      </c>
      <c r="E20" s="641">
        <f>transport!D14</f>
        <v>53.48595734925707</v>
      </c>
      <c r="F20" s="641">
        <f>transport!E14</f>
        <v>45.879124173953905</v>
      </c>
      <c r="G20" s="641">
        <f>transport!F14</f>
        <v>0</v>
      </c>
      <c r="H20" s="641">
        <f>transport!G14</f>
        <v>22771.406019192214</v>
      </c>
      <c r="I20" s="641">
        <f>transport!H14</f>
        <v>5127.9088438206127</v>
      </c>
      <c r="J20" s="641">
        <f>transport!I14</f>
        <v>0</v>
      </c>
      <c r="K20" s="641">
        <f>transport!J14</f>
        <v>0</v>
      </c>
      <c r="L20" s="641">
        <f>transport!K14</f>
        <v>0</v>
      </c>
      <c r="M20" s="641">
        <f>transport!L14</f>
        <v>0</v>
      </c>
      <c r="N20" s="641">
        <f>transport!M14</f>
        <v>1652.1048954558371</v>
      </c>
      <c r="O20" s="641">
        <f>transport!N14</f>
        <v>0</v>
      </c>
      <c r="P20" s="641">
        <f>transport!O14</f>
        <v>0</v>
      </c>
      <c r="Q20" s="642">
        <f>transport!P14</f>
        <v>0</v>
      </c>
      <c r="R20" s="644">
        <f>SUM(C20:Q20)</f>
        <v>29681.124584626959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43.720820343417259</v>
      </c>
      <c r="D22" s="764">
        <f t="shared" ref="D22:R22" si="1">SUM(D18:D21)</f>
        <v>0</v>
      </c>
      <c r="E22" s="764">
        <f t="shared" si="1"/>
        <v>53.48595734925707</v>
      </c>
      <c r="F22" s="764">
        <f t="shared" si="1"/>
        <v>45.879124173953905</v>
      </c>
      <c r="G22" s="764">
        <f t="shared" si="1"/>
        <v>0</v>
      </c>
      <c r="H22" s="764">
        <f t="shared" si="1"/>
        <v>23740.885122133255</v>
      </c>
      <c r="I22" s="764">
        <f t="shared" si="1"/>
        <v>5127.9088438206127</v>
      </c>
      <c r="J22" s="764">
        <f t="shared" si="1"/>
        <v>0</v>
      </c>
      <c r="K22" s="764">
        <f t="shared" si="1"/>
        <v>0</v>
      </c>
      <c r="L22" s="764">
        <f t="shared" si="1"/>
        <v>0</v>
      </c>
      <c r="M22" s="764">
        <f t="shared" si="1"/>
        <v>0</v>
      </c>
      <c r="N22" s="764">
        <f t="shared" si="1"/>
        <v>1706.9415206592976</v>
      </c>
      <c r="O22" s="764">
        <f t="shared" si="1"/>
        <v>0</v>
      </c>
      <c r="P22" s="764">
        <f t="shared" si="1"/>
        <v>0</v>
      </c>
      <c r="Q22" s="764">
        <f t="shared" si="1"/>
        <v>0</v>
      </c>
      <c r="R22" s="764">
        <f t="shared" si="1"/>
        <v>30718.821388479791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116.346519</v>
      </c>
      <c r="D24" s="641">
        <f>+landbouw!C8</f>
        <v>20031.428571428572</v>
      </c>
      <c r="E24" s="641">
        <f>+landbouw!D8</f>
        <v>2799.247609422855</v>
      </c>
      <c r="F24" s="641">
        <f>+landbouw!E8</f>
        <v>4.7267460260537595</v>
      </c>
      <c r="G24" s="641">
        <f>+landbouw!F8</f>
        <v>411.55834845143829</v>
      </c>
      <c r="H24" s="641">
        <f>+landbouw!G8</f>
        <v>0</v>
      </c>
      <c r="I24" s="641">
        <f>+landbouw!H8</f>
        <v>0</v>
      </c>
      <c r="J24" s="641">
        <f>+landbouw!I8</f>
        <v>0</v>
      </c>
      <c r="K24" s="641">
        <f>+landbouw!J8</f>
        <v>33.056457773706249</v>
      </c>
      <c r="L24" s="641">
        <f>+landbouw!K8</f>
        <v>0</v>
      </c>
      <c r="M24" s="641">
        <f>+landbouw!L8</f>
        <v>0</v>
      </c>
      <c r="N24" s="641">
        <f>+landbouw!M8</f>
        <v>0</v>
      </c>
      <c r="O24" s="641">
        <f>+landbouw!N8</f>
        <v>0</v>
      </c>
      <c r="P24" s="641">
        <f>+landbouw!O8</f>
        <v>0</v>
      </c>
      <c r="Q24" s="642">
        <f>+landbouw!P8</f>
        <v>0</v>
      </c>
      <c r="R24" s="644">
        <f>SUM(C24:Q24)</f>
        <v>23396.364252102627</v>
      </c>
      <c r="S24" s="67"/>
    </row>
    <row r="25" spans="1:19" s="440" customFormat="1" ht="15" thickBot="1">
      <c r="A25" s="783" t="s">
        <v>683</v>
      </c>
      <c r="B25" s="901"/>
      <c r="C25" s="902">
        <f>IF(Onbekend_ele_kWh="---",0,Onbekend_ele_kWh)/1000+IF(REST_rest_ele_kWh="---",0,REST_rest_ele_kWh)/1000</f>
        <v>276.14005699999996</v>
      </c>
      <c r="D25" s="902"/>
      <c r="E25" s="902">
        <f>IF(onbekend_gas_kWh="---",0,onbekend_gas_kWh)/1000+IF(REST_rest_gas_kWh="---",0,REST_rest_gas_kWh)/1000</f>
        <v>968.23637199999996</v>
      </c>
      <c r="F25" s="902"/>
      <c r="G25" s="902"/>
      <c r="H25" s="902"/>
      <c r="I25" s="902"/>
      <c r="J25" s="902"/>
      <c r="K25" s="902"/>
      <c r="L25" s="902"/>
      <c r="M25" s="902"/>
      <c r="N25" s="902"/>
      <c r="O25" s="902"/>
      <c r="P25" s="902"/>
      <c r="Q25" s="903"/>
      <c r="R25" s="644">
        <f>SUM(C25:Q25)</f>
        <v>1244.3764289999999</v>
      </c>
      <c r="S25" s="67"/>
    </row>
    <row r="26" spans="1:19" s="440" customFormat="1" ht="15.75" thickBot="1">
      <c r="A26" s="649" t="s">
        <v>684</v>
      </c>
      <c r="B26" s="769"/>
      <c r="C26" s="764">
        <f>SUM(C24:C25)</f>
        <v>392.48657599999996</v>
      </c>
      <c r="D26" s="764">
        <f t="shared" ref="D26:R26" si="2">SUM(D24:D25)</f>
        <v>20031.428571428572</v>
      </c>
      <c r="E26" s="764">
        <f t="shared" si="2"/>
        <v>3767.4839814228549</v>
      </c>
      <c r="F26" s="764">
        <f t="shared" si="2"/>
        <v>4.7267460260537595</v>
      </c>
      <c r="G26" s="764">
        <f t="shared" si="2"/>
        <v>411.55834845143829</v>
      </c>
      <c r="H26" s="764">
        <f t="shared" si="2"/>
        <v>0</v>
      </c>
      <c r="I26" s="764">
        <f t="shared" si="2"/>
        <v>0</v>
      </c>
      <c r="J26" s="764">
        <f t="shared" si="2"/>
        <v>0</v>
      </c>
      <c r="K26" s="764">
        <f t="shared" si="2"/>
        <v>33.056457773706249</v>
      </c>
      <c r="L26" s="764">
        <f t="shared" si="2"/>
        <v>0</v>
      </c>
      <c r="M26" s="764">
        <f t="shared" si="2"/>
        <v>0</v>
      </c>
      <c r="N26" s="764">
        <f t="shared" si="2"/>
        <v>0</v>
      </c>
      <c r="O26" s="764">
        <f t="shared" si="2"/>
        <v>0</v>
      </c>
      <c r="P26" s="764">
        <f t="shared" si="2"/>
        <v>0</v>
      </c>
      <c r="Q26" s="764">
        <f t="shared" si="2"/>
        <v>0</v>
      </c>
      <c r="R26" s="764">
        <f t="shared" si="2"/>
        <v>24640.740681102627</v>
      </c>
      <c r="S26" s="67"/>
    </row>
    <row r="27" spans="1:19" s="440" customFormat="1" ht="17.25" thickTop="1" thickBot="1">
      <c r="A27" s="650" t="s">
        <v>109</v>
      </c>
      <c r="B27" s="756"/>
      <c r="C27" s="651">
        <f ca="1">C22+C16+C26</f>
        <v>27389.103492898237</v>
      </c>
      <c r="D27" s="651">
        <f t="shared" ref="D27:R27" ca="1" si="3">D22+D16+D26</f>
        <v>20031.428571428572</v>
      </c>
      <c r="E27" s="651">
        <f t="shared" ca="1" si="3"/>
        <v>65241.655637540112</v>
      </c>
      <c r="F27" s="651">
        <f t="shared" si="3"/>
        <v>592.77660825785142</v>
      </c>
      <c r="G27" s="651">
        <f t="shared" ca="1" si="3"/>
        <v>11035.0490065016</v>
      </c>
      <c r="H27" s="651">
        <f t="shared" si="3"/>
        <v>23740.885122133255</v>
      </c>
      <c r="I27" s="651">
        <f t="shared" si="3"/>
        <v>5127.9088438206127</v>
      </c>
      <c r="J27" s="651">
        <f t="shared" si="3"/>
        <v>0</v>
      </c>
      <c r="K27" s="651">
        <f t="shared" si="3"/>
        <v>82.734428042509336</v>
      </c>
      <c r="L27" s="651">
        <f t="shared" si="3"/>
        <v>0</v>
      </c>
      <c r="M27" s="651">
        <f t="shared" ca="1" si="3"/>
        <v>0</v>
      </c>
      <c r="N27" s="651">
        <f t="shared" si="3"/>
        <v>1706.9415206592976</v>
      </c>
      <c r="O27" s="651">
        <f t="shared" ca="1" si="3"/>
        <v>5449.5131790713194</v>
      </c>
      <c r="P27" s="651">
        <f t="shared" si="3"/>
        <v>71.422495897933146</v>
      </c>
      <c r="Q27" s="651">
        <f t="shared" si="3"/>
        <v>52.669796538425103</v>
      </c>
      <c r="R27" s="651">
        <f t="shared" ca="1" si="3"/>
        <v>160522.08870278971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2233.6046120620363</v>
      </c>
      <c r="D40" s="641">
        <f ca="1">tertiair!C20</f>
        <v>0</v>
      </c>
      <c r="E40" s="641">
        <f ca="1">tertiair!D20</f>
        <v>2204.0938885591122</v>
      </c>
      <c r="F40" s="641">
        <f>tertiair!E20</f>
        <v>5.6086797572703482</v>
      </c>
      <c r="G40" s="641">
        <f ca="1">tertiair!F20</f>
        <v>351.06988042324565</v>
      </c>
      <c r="H40" s="641">
        <f>tertiair!G20</f>
        <v>0</v>
      </c>
      <c r="I40" s="641">
        <f>tertiair!H20</f>
        <v>0</v>
      </c>
      <c r="J40" s="641">
        <f>tertiair!I20</f>
        <v>0</v>
      </c>
      <c r="K40" s="641">
        <f>tertiair!J20</f>
        <v>2.0490386897143546E-3</v>
      </c>
      <c r="L40" s="641">
        <f>tertiair!K20</f>
        <v>0</v>
      </c>
      <c r="M40" s="641">
        <f ca="1">tertiair!L20</f>
        <v>0</v>
      </c>
      <c r="N40" s="641">
        <f>tertiair!M20</f>
        <v>0</v>
      </c>
      <c r="O40" s="641">
        <f ca="1">tertiair!N20</f>
        <v>0</v>
      </c>
      <c r="P40" s="641">
        <f>tertiair!O20</f>
        <v>0</v>
      </c>
      <c r="Q40" s="724">
        <f>tertiair!P20</f>
        <v>0</v>
      </c>
      <c r="R40" s="802">
        <f t="shared" ca="1" si="4"/>
        <v>4794.3791098403553</v>
      </c>
    </row>
    <row r="41" spans="1:18">
      <c r="A41" s="774" t="s">
        <v>213</v>
      </c>
      <c r="B41" s="781"/>
      <c r="C41" s="641">
        <f ca="1">huishoudens!B12</f>
        <v>3289.4107858404504</v>
      </c>
      <c r="D41" s="641">
        <f ca="1">huishoudens!C12</f>
        <v>0</v>
      </c>
      <c r="E41" s="641">
        <f>huishoudens!D12</f>
        <v>10008.15801570684</v>
      </c>
      <c r="F41" s="641">
        <f>huishoudens!E12</f>
        <v>103.16226154020706</v>
      </c>
      <c r="G41" s="641">
        <f>huishoudens!F12</f>
        <v>2335.1153280929434</v>
      </c>
      <c r="H41" s="641">
        <f>huishoudens!G12</f>
        <v>0</v>
      </c>
      <c r="I41" s="641">
        <f>huishoudens!H12</f>
        <v>0</v>
      </c>
      <c r="J41" s="641">
        <f>huishoudens!I12</f>
        <v>0</v>
      </c>
      <c r="K41" s="641">
        <f>huishoudens!J12</f>
        <v>15.842539030182179</v>
      </c>
      <c r="L41" s="641">
        <f>huishoudens!K12</f>
        <v>0</v>
      </c>
      <c r="M41" s="641">
        <f>huishoudens!L12</f>
        <v>0</v>
      </c>
      <c r="N41" s="641">
        <f>huishoudens!M12</f>
        <v>0</v>
      </c>
      <c r="O41" s="641">
        <f>huishoudens!N12</f>
        <v>0</v>
      </c>
      <c r="P41" s="641">
        <f>huishoudens!O12</f>
        <v>0</v>
      </c>
      <c r="Q41" s="724">
        <f>huishoudens!P12</f>
        <v>0</v>
      </c>
      <c r="R41" s="802">
        <f t="shared" ca="1" si="4"/>
        <v>15751.688930210623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477.41822323336419</v>
      </c>
      <c r="D43" s="641">
        <f ca="1">industrie!C22</f>
        <v>0</v>
      </c>
      <c r="E43" s="641">
        <f>industrie!D22</f>
        <v>194.72660688518403</v>
      </c>
      <c r="F43" s="641">
        <f>industrie!E22</f>
        <v>14.301816241653142</v>
      </c>
      <c r="G43" s="641">
        <f>industrie!F22</f>
        <v>150.28679718320416</v>
      </c>
      <c r="H43" s="641">
        <f>industrie!G22</f>
        <v>0</v>
      </c>
      <c r="I43" s="641">
        <f>industrie!H22</f>
        <v>0</v>
      </c>
      <c r="J43" s="641">
        <f>industrie!I22</f>
        <v>0</v>
      </c>
      <c r="K43" s="641">
        <f>industrie!J22</f>
        <v>1.7414134062844027</v>
      </c>
      <c r="L43" s="641">
        <f>industrie!K22</f>
        <v>0</v>
      </c>
      <c r="M43" s="641">
        <f>industrie!L22</f>
        <v>0</v>
      </c>
      <c r="N43" s="641">
        <f>industrie!M22</f>
        <v>0</v>
      </c>
      <c r="O43" s="641">
        <f>industrie!N22</f>
        <v>0</v>
      </c>
      <c r="P43" s="641">
        <f>industrie!O22</f>
        <v>0</v>
      </c>
      <c r="Q43" s="724">
        <f>industrie!P22</f>
        <v>0</v>
      </c>
      <c r="R43" s="801">
        <f t="shared" ca="1" si="4"/>
        <v>838.47485694968998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6000.4336211358514</v>
      </c>
      <c r="D46" s="677">
        <f t="shared" ref="D46:Q46" ca="1" si="5">SUM(D39:D45)</f>
        <v>0</v>
      </c>
      <c r="E46" s="677">
        <f t="shared" ca="1" si="5"/>
        <v>12406.978511151136</v>
      </c>
      <c r="F46" s="677">
        <f t="shared" si="5"/>
        <v>123.07275753913055</v>
      </c>
      <c r="G46" s="677">
        <f t="shared" ca="1" si="5"/>
        <v>2836.4720056993933</v>
      </c>
      <c r="H46" s="677">
        <f t="shared" si="5"/>
        <v>0</v>
      </c>
      <c r="I46" s="677">
        <f t="shared" si="5"/>
        <v>0</v>
      </c>
      <c r="J46" s="677">
        <f t="shared" si="5"/>
        <v>0</v>
      </c>
      <c r="K46" s="677">
        <f t="shared" si="5"/>
        <v>17.586001475156294</v>
      </c>
      <c r="L46" s="677">
        <f t="shared" si="5"/>
        <v>0</v>
      </c>
      <c r="M46" s="677">
        <f t="shared" ca="1" si="5"/>
        <v>0</v>
      </c>
      <c r="N46" s="677">
        <f t="shared" si="5"/>
        <v>0</v>
      </c>
      <c r="O46" s="677">
        <f t="shared" ca="1" si="5"/>
        <v>0</v>
      </c>
      <c r="P46" s="677">
        <f t="shared" si="5"/>
        <v>0</v>
      </c>
      <c r="Q46" s="677">
        <f t="shared" si="5"/>
        <v>0</v>
      </c>
      <c r="R46" s="677">
        <f ca="1">SUM(R39:R45)</f>
        <v>21384.542897000669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2.9789843837041254</v>
      </c>
      <c r="D49" s="641">
        <f ca="1">transport!C58</f>
        <v>0</v>
      </c>
      <c r="E49" s="641">
        <f>transport!D58</f>
        <v>0</v>
      </c>
      <c r="F49" s="641">
        <f>transport!E58</f>
        <v>0</v>
      </c>
      <c r="G49" s="641">
        <f>transport!F58</f>
        <v>0</v>
      </c>
      <c r="H49" s="641">
        <f>transport!G58</f>
        <v>258.85092048525769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261.82990486896182</v>
      </c>
    </row>
    <row r="50" spans="1:18">
      <c r="A50" s="777" t="s">
        <v>295</v>
      </c>
      <c r="B50" s="787"/>
      <c r="C50" s="647">
        <f ca="1">transport!B18</f>
        <v>6.7544364476778709</v>
      </c>
      <c r="D50" s="647">
        <f>transport!C18</f>
        <v>0</v>
      </c>
      <c r="E50" s="647">
        <f>transport!D18</f>
        <v>10.804163384549929</v>
      </c>
      <c r="F50" s="647">
        <f>transport!E18</f>
        <v>10.414561187487537</v>
      </c>
      <c r="G50" s="647">
        <f>transport!F18</f>
        <v>0</v>
      </c>
      <c r="H50" s="647">
        <f>transport!G18</f>
        <v>6079.9654071243212</v>
      </c>
      <c r="I50" s="647">
        <f>transport!H18</f>
        <v>1276.8493021113325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7384.7878702553689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9.7334208313819968</v>
      </c>
      <c r="D52" s="677">
        <f t="shared" ref="D52:Q52" ca="1" si="6">SUM(D48:D51)</f>
        <v>0</v>
      </c>
      <c r="E52" s="677">
        <f t="shared" si="6"/>
        <v>10.804163384549929</v>
      </c>
      <c r="F52" s="677">
        <f t="shared" si="6"/>
        <v>10.414561187487537</v>
      </c>
      <c r="G52" s="677">
        <f t="shared" si="6"/>
        <v>0</v>
      </c>
      <c r="H52" s="677">
        <f t="shared" si="6"/>
        <v>6338.8163276095793</v>
      </c>
      <c r="I52" s="677">
        <f t="shared" si="6"/>
        <v>1276.8493021113325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7646.6177751243304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25.901838593106049</v>
      </c>
      <c r="D54" s="647">
        <f ca="1">+landbouw!C12</f>
        <v>4760.4100840336141</v>
      </c>
      <c r="E54" s="647">
        <f>+landbouw!D12</f>
        <v>565.44801710341676</v>
      </c>
      <c r="F54" s="647">
        <f>+landbouw!E12</f>
        <v>1.0729713479142033</v>
      </c>
      <c r="G54" s="647">
        <f>+landbouw!F12</f>
        <v>109.88607903653403</v>
      </c>
      <c r="H54" s="647">
        <f>+landbouw!G12</f>
        <v>0</v>
      </c>
      <c r="I54" s="647">
        <f>+landbouw!H12</f>
        <v>0</v>
      </c>
      <c r="J54" s="647">
        <f>+landbouw!I12</f>
        <v>0</v>
      </c>
      <c r="K54" s="647">
        <f>+landbouw!J12</f>
        <v>11.701986051892012</v>
      </c>
      <c r="L54" s="647">
        <f>+landbouw!K12</f>
        <v>0</v>
      </c>
      <c r="M54" s="647">
        <f>+landbouw!L12</f>
        <v>0</v>
      </c>
      <c r="N54" s="647">
        <f>+landbouw!M12</f>
        <v>0</v>
      </c>
      <c r="O54" s="647">
        <f>+landbouw!N12</f>
        <v>0</v>
      </c>
      <c r="P54" s="647">
        <f>+landbouw!O12</f>
        <v>0</v>
      </c>
      <c r="Q54" s="648">
        <f>+landbouw!P12</f>
        <v>0</v>
      </c>
      <c r="R54" s="676">
        <f ca="1">SUM(C54:Q54)</f>
        <v>5474.420976166477</v>
      </c>
    </row>
    <row r="55" spans="1:18" ht="15" thickBot="1">
      <c r="A55" s="777" t="s">
        <v>683</v>
      </c>
      <c r="B55" s="787"/>
      <c r="C55" s="647">
        <f ca="1">C25*'EF ele_warmte'!B12</f>
        <v>61.476142535086097</v>
      </c>
      <c r="D55" s="647"/>
      <c r="E55" s="647">
        <f>E25*EF_CO2_aardgas</f>
        <v>195.583747144</v>
      </c>
      <c r="F55" s="647"/>
      <c r="G55" s="647"/>
      <c r="H55" s="647"/>
      <c r="I55" s="647"/>
      <c r="J55" s="647"/>
      <c r="K55" s="647"/>
      <c r="L55" s="647"/>
      <c r="M55" s="647"/>
      <c r="N55" s="647"/>
      <c r="O55" s="647"/>
      <c r="P55" s="647"/>
      <c r="Q55" s="648"/>
      <c r="R55" s="676">
        <f ca="1">SUM(C55:Q55)</f>
        <v>257.0598896790861</v>
      </c>
    </row>
    <row r="56" spans="1:18" ht="15.75" thickBot="1">
      <c r="A56" s="775" t="s">
        <v>684</v>
      </c>
      <c r="B56" s="788"/>
      <c r="C56" s="677">
        <f ca="1">SUM(C54:C55)</f>
        <v>87.377981128192147</v>
      </c>
      <c r="D56" s="677">
        <f t="shared" ref="D56:Q56" ca="1" si="7">SUM(D54:D55)</f>
        <v>4760.4100840336141</v>
      </c>
      <c r="E56" s="677">
        <f t="shared" si="7"/>
        <v>761.03176424741673</v>
      </c>
      <c r="F56" s="677">
        <f t="shared" si="7"/>
        <v>1.0729713479142033</v>
      </c>
      <c r="G56" s="677">
        <f t="shared" si="7"/>
        <v>109.88607903653403</v>
      </c>
      <c r="H56" s="677">
        <f t="shared" si="7"/>
        <v>0</v>
      </c>
      <c r="I56" s="677">
        <f t="shared" si="7"/>
        <v>0</v>
      </c>
      <c r="J56" s="677">
        <f t="shared" si="7"/>
        <v>0</v>
      </c>
      <c r="K56" s="677">
        <f t="shared" si="7"/>
        <v>11.701986051892012</v>
      </c>
      <c r="L56" s="677">
        <f t="shared" si="7"/>
        <v>0</v>
      </c>
      <c r="M56" s="677">
        <f t="shared" si="7"/>
        <v>0</v>
      </c>
      <c r="N56" s="677">
        <f t="shared" si="7"/>
        <v>0</v>
      </c>
      <c r="O56" s="677">
        <f t="shared" si="7"/>
        <v>0</v>
      </c>
      <c r="P56" s="677">
        <f t="shared" si="7"/>
        <v>0</v>
      </c>
      <c r="Q56" s="678">
        <f t="shared" si="7"/>
        <v>0</v>
      </c>
      <c r="R56" s="679">
        <f ca="1">SUM(R54:R55)</f>
        <v>5731.4808658455631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6097.5450230954257</v>
      </c>
      <c r="D61" s="685">
        <f t="shared" ref="D61:Q61" ca="1" si="8">D46+D52+D56</f>
        <v>4760.4100840336141</v>
      </c>
      <c r="E61" s="685">
        <f t="shared" ca="1" si="8"/>
        <v>13178.814438783102</v>
      </c>
      <c r="F61" s="685">
        <f t="shared" si="8"/>
        <v>134.5602900745323</v>
      </c>
      <c r="G61" s="685">
        <f t="shared" ca="1" si="8"/>
        <v>2946.3580847359272</v>
      </c>
      <c r="H61" s="685">
        <f t="shared" si="8"/>
        <v>6338.8163276095793</v>
      </c>
      <c r="I61" s="685">
        <f t="shared" si="8"/>
        <v>1276.8493021113325</v>
      </c>
      <c r="J61" s="685">
        <f t="shared" si="8"/>
        <v>0</v>
      </c>
      <c r="K61" s="685">
        <f t="shared" si="8"/>
        <v>29.287987527048308</v>
      </c>
      <c r="L61" s="685">
        <f t="shared" si="8"/>
        <v>0</v>
      </c>
      <c r="M61" s="685">
        <f t="shared" ca="1" si="8"/>
        <v>0</v>
      </c>
      <c r="N61" s="685">
        <f t="shared" si="8"/>
        <v>0</v>
      </c>
      <c r="O61" s="685">
        <f t="shared" ca="1" si="8"/>
        <v>0</v>
      </c>
      <c r="P61" s="685">
        <f t="shared" si="8"/>
        <v>0</v>
      </c>
      <c r="Q61" s="685">
        <f t="shared" si="8"/>
        <v>0</v>
      </c>
      <c r="R61" s="685">
        <f ca="1">R46+R52+R56</f>
        <v>34762.641537970565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0.22262667431507815</v>
      </c>
      <c r="D63" s="731">
        <f t="shared" ca="1" si="9"/>
        <v>0.23764705882352943</v>
      </c>
      <c r="E63" s="927">
        <f t="shared" ca="1" si="9"/>
        <v>0.20199999999999999</v>
      </c>
      <c r="F63" s="731">
        <f t="shared" si="9"/>
        <v>0.22700000000000006</v>
      </c>
      <c r="G63" s="731">
        <f t="shared" ca="1" si="9"/>
        <v>0.26700000000000002</v>
      </c>
      <c r="H63" s="731">
        <f t="shared" si="9"/>
        <v>0.26700000000000002</v>
      </c>
      <c r="I63" s="731">
        <f t="shared" si="9"/>
        <v>0.24899999999999997</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854.62401655482222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14022</v>
      </c>
      <c r="D76" s="910">
        <f>'lokale energieproductie'!C8</f>
        <v>16496.470588235294</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3332.2870588235296</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854.62401655482222</v>
      </c>
      <c r="C78" s="703">
        <f>SUM(C72:C77)</f>
        <v>14022</v>
      </c>
      <c r="D78" s="704">
        <f t="shared" ref="D78:H78" si="10">SUM(D76:D77)</f>
        <v>16496.470588235294</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3332.2870588235296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20031.428571428572</v>
      </c>
      <c r="D87" s="727">
        <f>'lokale energieproductie'!C17</f>
        <v>23566.386554621851</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4760.4100840336141</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20031.428571428572</v>
      </c>
      <c r="D90" s="703">
        <f t="shared" ref="D90:H90" si="12">SUM(D87:D89)</f>
        <v>23566.386554621851</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4760.4100840336141</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14775.456696554822</v>
      </c>
      <c r="C4" s="444">
        <f>huishoudens!C8</f>
        <v>0</v>
      </c>
      <c r="D4" s="444">
        <f>huishoudens!D8</f>
        <v>49545.336711420001</v>
      </c>
      <c r="E4" s="444">
        <f>huishoudens!E8</f>
        <v>454.45930193923812</v>
      </c>
      <c r="F4" s="444">
        <f>huishoudens!F8</f>
        <v>8745.7502924829332</v>
      </c>
      <c r="G4" s="444">
        <f>huishoudens!G8</f>
        <v>0</v>
      </c>
      <c r="H4" s="444">
        <f>huishoudens!H8</f>
        <v>0</v>
      </c>
      <c r="I4" s="444">
        <f>huishoudens!I8</f>
        <v>0</v>
      </c>
      <c r="J4" s="444">
        <f>huishoudens!J8</f>
        <v>44.752935113508983</v>
      </c>
      <c r="K4" s="444">
        <f>huishoudens!K8</f>
        <v>0</v>
      </c>
      <c r="L4" s="444">
        <f>huishoudens!L8</f>
        <v>0</v>
      </c>
      <c r="M4" s="444">
        <f>huishoudens!M8</f>
        <v>0</v>
      </c>
      <c r="N4" s="444">
        <f>huishoudens!N8</f>
        <v>5130.6290190373838</v>
      </c>
      <c r="O4" s="444">
        <f>huishoudens!O8</f>
        <v>71.422495897933146</v>
      </c>
      <c r="P4" s="445">
        <f>huishoudens!P8</f>
        <v>52.669796538425103</v>
      </c>
      <c r="Q4" s="446">
        <f>SUM(B4:P4)</f>
        <v>78820.477248984243</v>
      </c>
    </row>
    <row r="5" spans="1:17">
      <c r="A5" s="443" t="s">
        <v>149</v>
      </c>
      <c r="B5" s="444">
        <f ca="1">tertiair!B16</f>
        <v>9564.5524210000003</v>
      </c>
      <c r="C5" s="444">
        <f ca="1">tertiair!C16</f>
        <v>0</v>
      </c>
      <c r="D5" s="444">
        <f ca="1">tertiair!D16</f>
        <v>10911.355883956001</v>
      </c>
      <c r="E5" s="444">
        <f>tertiair!E16</f>
        <v>24.707840340398008</v>
      </c>
      <c r="F5" s="444">
        <f ca="1">tertiair!F16</f>
        <v>1314.8684660046654</v>
      </c>
      <c r="G5" s="444">
        <f>tertiair!G16</f>
        <v>0</v>
      </c>
      <c r="H5" s="444">
        <f>tertiair!H16</f>
        <v>0</v>
      </c>
      <c r="I5" s="444">
        <f>tertiair!I16</f>
        <v>0</v>
      </c>
      <c r="J5" s="444">
        <f>tertiair!J16</f>
        <v>5.7882448861987417E-3</v>
      </c>
      <c r="K5" s="444">
        <f>tertiair!K16</f>
        <v>0</v>
      </c>
      <c r="L5" s="444">
        <f ca="1">tertiair!L16</f>
        <v>0</v>
      </c>
      <c r="M5" s="444">
        <f>tertiair!M16</f>
        <v>0</v>
      </c>
      <c r="N5" s="444">
        <f ca="1">tertiair!N16</f>
        <v>225.72767556141673</v>
      </c>
      <c r="O5" s="444">
        <f>tertiair!O16</f>
        <v>0</v>
      </c>
      <c r="P5" s="445">
        <f>tertiair!P16</f>
        <v>0</v>
      </c>
      <c r="Q5" s="443">
        <f t="shared" ref="Q5:Q14" ca="1" si="0">SUM(B5:P5)</f>
        <v>22041.218075107365</v>
      </c>
    </row>
    <row r="6" spans="1:17">
      <c r="A6" s="443" t="s">
        <v>187</v>
      </c>
      <c r="B6" s="444">
        <f>'openbare verlichting'!B8</f>
        <v>468.40800000000002</v>
      </c>
      <c r="C6" s="444"/>
      <c r="D6" s="444"/>
      <c r="E6" s="444"/>
      <c r="F6" s="444"/>
      <c r="G6" s="444"/>
      <c r="H6" s="444"/>
      <c r="I6" s="444"/>
      <c r="J6" s="444"/>
      <c r="K6" s="444"/>
      <c r="L6" s="444"/>
      <c r="M6" s="444"/>
      <c r="N6" s="444"/>
      <c r="O6" s="444"/>
      <c r="P6" s="445"/>
      <c r="Q6" s="443">
        <f t="shared" si="0"/>
        <v>468.40800000000002</v>
      </c>
    </row>
    <row r="7" spans="1:17">
      <c r="A7" s="443" t="s">
        <v>105</v>
      </c>
      <c r="B7" s="444">
        <f>landbouw!B8</f>
        <v>116.346519</v>
      </c>
      <c r="C7" s="444">
        <f>landbouw!C8</f>
        <v>20031.428571428572</v>
      </c>
      <c r="D7" s="444">
        <f>landbouw!D8</f>
        <v>2799.247609422855</v>
      </c>
      <c r="E7" s="444">
        <f>landbouw!E8</f>
        <v>4.7267460260537595</v>
      </c>
      <c r="F7" s="444">
        <f>landbouw!F8</f>
        <v>411.55834845143829</v>
      </c>
      <c r="G7" s="444">
        <f>landbouw!G8</f>
        <v>0</v>
      </c>
      <c r="H7" s="444">
        <f>landbouw!H8</f>
        <v>0</v>
      </c>
      <c r="I7" s="444">
        <f>landbouw!I8</f>
        <v>0</v>
      </c>
      <c r="J7" s="444">
        <f>landbouw!J8</f>
        <v>33.056457773706249</v>
      </c>
      <c r="K7" s="444">
        <f>landbouw!K8</f>
        <v>0</v>
      </c>
      <c r="L7" s="444">
        <f>landbouw!L8</f>
        <v>0</v>
      </c>
      <c r="M7" s="444">
        <f>landbouw!M8</f>
        <v>0</v>
      </c>
      <c r="N7" s="444">
        <f>landbouw!N8</f>
        <v>0</v>
      </c>
      <c r="O7" s="444">
        <f>landbouw!O8</f>
        <v>0</v>
      </c>
      <c r="P7" s="445">
        <f>landbouw!P8</f>
        <v>0</v>
      </c>
      <c r="Q7" s="443">
        <f t="shared" si="0"/>
        <v>23396.364252102627</v>
      </c>
    </row>
    <row r="8" spans="1:17">
      <c r="A8" s="443" t="s">
        <v>587</v>
      </c>
      <c r="B8" s="444">
        <f>industrie!B18</f>
        <v>2144.4789789999995</v>
      </c>
      <c r="C8" s="444">
        <f>industrie!C18</f>
        <v>0</v>
      </c>
      <c r="D8" s="444">
        <f>industrie!D18</f>
        <v>963.99310339200008</v>
      </c>
      <c r="E8" s="444">
        <f>industrie!E18</f>
        <v>63.003595778207675</v>
      </c>
      <c r="F8" s="444">
        <f>industrie!F18</f>
        <v>562.87189956256236</v>
      </c>
      <c r="G8" s="444">
        <f>industrie!G18</f>
        <v>0</v>
      </c>
      <c r="H8" s="444">
        <f>industrie!H18</f>
        <v>0</v>
      </c>
      <c r="I8" s="444">
        <f>industrie!I18</f>
        <v>0</v>
      </c>
      <c r="J8" s="444">
        <f>industrie!J18</f>
        <v>4.9192469104079173</v>
      </c>
      <c r="K8" s="444">
        <f>industrie!K18</f>
        <v>0</v>
      </c>
      <c r="L8" s="444">
        <f>industrie!L18</f>
        <v>0</v>
      </c>
      <c r="M8" s="444">
        <f>industrie!M18</f>
        <v>0</v>
      </c>
      <c r="N8" s="444">
        <f>industrie!N18</f>
        <v>93.156484472518557</v>
      </c>
      <c r="O8" s="444">
        <f>industrie!O18</f>
        <v>0</v>
      </c>
      <c r="P8" s="445">
        <f>industrie!P18</f>
        <v>0</v>
      </c>
      <c r="Q8" s="443">
        <f t="shared" si="0"/>
        <v>3832.4233091156957</v>
      </c>
    </row>
    <row r="9" spans="1:17" s="449" customFormat="1">
      <c r="A9" s="447" t="s">
        <v>536</v>
      </c>
      <c r="B9" s="448">
        <f>transport!B14</f>
        <v>30.339744635085736</v>
      </c>
      <c r="C9" s="448">
        <f>transport!C14</f>
        <v>0</v>
      </c>
      <c r="D9" s="448">
        <f>transport!D14</f>
        <v>53.48595734925707</v>
      </c>
      <c r="E9" s="448">
        <f>transport!E14</f>
        <v>45.879124173953905</v>
      </c>
      <c r="F9" s="448">
        <f>transport!F14</f>
        <v>0</v>
      </c>
      <c r="G9" s="448">
        <f>transport!G14</f>
        <v>22771.406019192214</v>
      </c>
      <c r="H9" s="448">
        <f>transport!H14</f>
        <v>5127.9088438206127</v>
      </c>
      <c r="I9" s="448">
        <f>transport!I14</f>
        <v>0</v>
      </c>
      <c r="J9" s="448">
        <f>transport!J14</f>
        <v>0</v>
      </c>
      <c r="K9" s="448">
        <f>transport!K14</f>
        <v>0</v>
      </c>
      <c r="L9" s="448">
        <f>transport!L14</f>
        <v>0</v>
      </c>
      <c r="M9" s="448">
        <f>transport!M14</f>
        <v>1652.1048954558371</v>
      </c>
      <c r="N9" s="448">
        <f>transport!N14</f>
        <v>0</v>
      </c>
      <c r="O9" s="448">
        <f>transport!O14</f>
        <v>0</v>
      </c>
      <c r="P9" s="448">
        <f>transport!P14</f>
        <v>0</v>
      </c>
      <c r="Q9" s="447">
        <f>SUM(B9:P9)</f>
        <v>29681.124584626959</v>
      </c>
    </row>
    <row r="10" spans="1:17">
      <c r="A10" s="443" t="s">
        <v>526</v>
      </c>
      <c r="B10" s="444">
        <f>transport!B54</f>
        <v>13.381075708331524</v>
      </c>
      <c r="C10" s="444">
        <f>transport!C54</f>
        <v>0</v>
      </c>
      <c r="D10" s="444">
        <f>transport!D54</f>
        <v>0</v>
      </c>
      <c r="E10" s="444">
        <f>transport!E54</f>
        <v>0</v>
      </c>
      <c r="F10" s="444">
        <f>transport!F54</f>
        <v>0</v>
      </c>
      <c r="G10" s="444">
        <f>transport!G54</f>
        <v>969.47910294103997</v>
      </c>
      <c r="H10" s="444">
        <f>transport!H54</f>
        <v>0</v>
      </c>
      <c r="I10" s="444">
        <f>transport!I54</f>
        <v>0</v>
      </c>
      <c r="J10" s="444">
        <f>transport!J54</f>
        <v>0</v>
      </c>
      <c r="K10" s="444">
        <f>transport!K54</f>
        <v>0</v>
      </c>
      <c r="L10" s="444">
        <f>transport!L54</f>
        <v>0</v>
      </c>
      <c r="M10" s="444">
        <f>transport!M54</f>
        <v>54.836625203460521</v>
      </c>
      <c r="N10" s="444">
        <f>transport!N54</f>
        <v>0</v>
      </c>
      <c r="O10" s="444">
        <f>transport!O54</f>
        <v>0</v>
      </c>
      <c r="P10" s="445">
        <f>transport!P54</f>
        <v>0</v>
      </c>
      <c r="Q10" s="443">
        <f t="shared" si="0"/>
        <v>1037.6968038528321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276.14005699999996</v>
      </c>
      <c r="C14" s="451"/>
      <c r="D14" s="451">
        <f>'SEAP template'!E25</f>
        <v>968.23637199999996</v>
      </c>
      <c r="E14" s="451"/>
      <c r="F14" s="451"/>
      <c r="G14" s="451"/>
      <c r="H14" s="451"/>
      <c r="I14" s="451"/>
      <c r="J14" s="451"/>
      <c r="K14" s="451"/>
      <c r="L14" s="451"/>
      <c r="M14" s="451"/>
      <c r="N14" s="451"/>
      <c r="O14" s="451"/>
      <c r="P14" s="452"/>
      <c r="Q14" s="443">
        <f t="shared" si="0"/>
        <v>1244.3764289999999</v>
      </c>
    </row>
    <row r="15" spans="1:17" s="455" customFormat="1">
      <c r="A15" s="453" t="s">
        <v>530</v>
      </c>
      <c r="B15" s="454">
        <f ca="1">SUM(B4:B14)</f>
        <v>27389.103492898237</v>
      </c>
      <c r="C15" s="454">
        <f t="shared" ref="C15:Q15" ca="1" si="1">SUM(C4:C14)</f>
        <v>20031.428571428572</v>
      </c>
      <c r="D15" s="454">
        <f t="shared" ca="1" si="1"/>
        <v>65241.655637540112</v>
      </c>
      <c r="E15" s="454">
        <f t="shared" si="1"/>
        <v>592.77660825785142</v>
      </c>
      <c r="F15" s="454">
        <f t="shared" ca="1" si="1"/>
        <v>11035.0490065016</v>
      </c>
      <c r="G15" s="454">
        <f t="shared" si="1"/>
        <v>23740.885122133255</v>
      </c>
      <c r="H15" s="454">
        <f t="shared" si="1"/>
        <v>5127.9088438206127</v>
      </c>
      <c r="I15" s="454">
        <f t="shared" si="1"/>
        <v>0</v>
      </c>
      <c r="J15" s="454">
        <f t="shared" si="1"/>
        <v>82.73442804250935</v>
      </c>
      <c r="K15" s="454">
        <f t="shared" si="1"/>
        <v>0</v>
      </c>
      <c r="L15" s="454">
        <f t="shared" ca="1" si="1"/>
        <v>0</v>
      </c>
      <c r="M15" s="454">
        <f t="shared" si="1"/>
        <v>1706.9415206592976</v>
      </c>
      <c r="N15" s="454">
        <f t="shared" ca="1" si="1"/>
        <v>5449.5131790713194</v>
      </c>
      <c r="O15" s="454">
        <f t="shared" si="1"/>
        <v>71.422495897933146</v>
      </c>
      <c r="P15" s="454">
        <f t="shared" si="1"/>
        <v>52.669796538425103</v>
      </c>
      <c r="Q15" s="454">
        <f t="shared" ca="1" si="1"/>
        <v>160522.08870278971</v>
      </c>
    </row>
    <row r="17" spans="1:17">
      <c r="A17" s="456" t="s">
        <v>531</v>
      </c>
      <c r="B17" s="736">
        <f ca="1">huishoudens!B10</f>
        <v>0.22262667431507813</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3289.4107858404504</v>
      </c>
      <c r="C22" s="444">
        <f t="shared" ref="C22:C32" ca="1" si="3">C4*$C$17</f>
        <v>0</v>
      </c>
      <c r="D22" s="444">
        <f t="shared" ref="D22:D32" si="4">D4*$D$17</f>
        <v>10008.15801570684</v>
      </c>
      <c r="E22" s="444">
        <f t="shared" ref="E22:E32" si="5">E4*$E$17</f>
        <v>103.16226154020706</v>
      </c>
      <c r="F22" s="444">
        <f t="shared" ref="F22:F32" si="6">F4*$F$17</f>
        <v>2335.1153280929434</v>
      </c>
      <c r="G22" s="444">
        <f t="shared" ref="G22:G32" si="7">G4*$G$17</f>
        <v>0</v>
      </c>
      <c r="H22" s="444">
        <f t="shared" ref="H22:H32" si="8">H4*$H$17</f>
        <v>0</v>
      </c>
      <c r="I22" s="444">
        <f t="shared" ref="I22:I32" si="9">I4*$I$17</f>
        <v>0</v>
      </c>
      <c r="J22" s="444">
        <f t="shared" ref="J22:J32" si="10">J4*$J$17</f>
        <v>15.842539030182179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15751.688930210623</v>
      </c>
    </row>
    <row r="23" spans="1:17">
      <c r="A23" s="443" t="s">
        <v>149</v>
      </c>
      <c r="B23" s="444">
        <f t="shared" ca="1" si="2"/>
        <v>2129.3244967994592</v>
      </c>
      <c r="C23" s="444">
        <f t="shared" ca="1" si="3"/>
        <v>0</v>
      </c>
      <c r="D23" s="444">
        <f t="shared" ca="1" si="4"/>
        <v>2204.0938885591122</v>
      </c>
      <c r="E23" s="444">
        <f t="shared" si="5"/>
        <v>5.6086797572703482</v>
      </c>
      <c r="F23" s="444">
        <f t="shared" ca="1" si="6"/>
        <v>351.06988042324565</v>
      </c>
      <c r="G23" s="444">
        <f t="shared" si="7"/>
        <v>0</v>
      </c>
      <c r="H23" s="444">
        <f t="shared" si="8"/>
        <v>0</v>
      </c>
      <c r="I23" s="444">
        <f t="shared" si="9"/>
        <v>0</v>
      </c>
      <c r="J23" s="444">
        <f t="shared" si="10"/>
        <v>2.0490386897143546E-3</v>
      </c>
      <c r="K23" s="444">
        <f t="shared" si="11"/>
        <v>0</v>
      </c>
      <c r="L23" s="444">
        <f t="shared" ca="1" si="12"/>
        <v>0</v>
      </c>
      <c r="M23" s="444">
        <f t="shared" si="13"/>
        <v>0</v>
      </c>
      <c r="N23" s="444">
        <f t="shared" ca="1" si="14"/>
        <v>0</v>
      </c>
      <c r="O23" s="444">
        <f t="shared" si="15"/>
        <v>0</v>
      </c>
      <c r="P23" s="445">
        <f t="shared" si="16"/>
        <v>0</v>
      </c>
      <c r="Q23" s="443">
        <f t="shared" ref="Q23:Q31" ca="1" si="17">SUM(B23:P23)</f>
        <v>4690.0989945777774</v>
      </c>
    </row>
    <row r="24" spans="1:17">
      <c r="A24" s="443" t="s">
        <v>187</v>
      </c>
      <c r="B24" s="444">
        <f t="shared" ca="1" si="2"/>
        <v>104.28011526257711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104.28011526257711</v>
      </c>
    </row>
    <row r="25" spans="1:17">
      <c r="A25" s="443" t="s">
        <v>105</v>
      </c>
      <c r="B25" s="444">
        <f t="shared" ca="1" si="2"/>
        <v>25.901838593106049</v>
      </c>
      <c r="C25" s="444">
        <f t="shared" ca="1" si="3"/>
        <v>4760.4100840336141</v>
      </c>
      <c r="D25" s="444">
        <f t="shared" si="4"/>
        <v>565.44801710341676</v>
      </c>
      <c r="E25" s="444">
        <f t="shared" si="5"/>
        <v>1.0729713479142033</v>
      </c>
      <c r="F25" s="444">
        <f t="shared" si="6"/>
        <v>109.88607903653403</v>
      </c>
      <c r="G25" s="444">
        <f t="shared" si="7"/>
        <v>0</v>
      </c>
      <c r="H25" s="444">
        <f t="shared" si="8"/>
        <v>0</v>
      </c>
      <c r="I25" s="444">
        <f t="shared" si="9"/>
        <v>0</v>
      </c>
      <c r="J25" s="444">
        <f t="shared" si="10"/>
        <v>11.701986051892012</v>
      </c>
      <c r="K25" s="444">
        <f t="shared" si="11"/>
        <v>0</v>
      </c>
      <c r="L25" s="444">
        <f t="shared" si="12"/>
        <v>0</v>
      </c>
      <c r="M25" s="444">
        <f t="shared" si="13"/>
        <v>0</v>
      </c>
      <c r="N25" s="444">
        <f t="shared" si="14"/>
        <v>0</v>
      </c>
      <c r="O25" s="444">
        <f t="shared" si="15"/>
        <v>0</v>
      </c>
      <c r="P25" s="445">
        <f t="shared" si="16"/>
        <v>0</v>
      </c>
      <c r="Q25" s="443">
        <f t="shared" ca="1" si="17"/>
        <v>5474.420976166477</v>
      </c>
    </row>
    <row r="26" spans="1:17">
      <c r="A26" s="443" t="s">
        <v>587</v>
      </c>
      <c r="B26" s="444">
        <f t="shared" ca="1" si="2"/>
        <v>477.41822323336419</v>
      </c>
      <c r="C26" s="444">
        <f t="shared" ca="1" si="3"/>
        <v>0</v>
      </c>
      <c r="D26" s="444">
        <f t="shared" si="4"/>
        <v>194.72660688518403</v>
      </c>
      <c r="E26" s="444">
        <f t="shared" si="5"/>
        <v>14.301816241653142</v>
      </c>
      <c r="F26" s="444">
        <f t="shared" si="6"/>
        <v>150.28679718320416</v>
      </c>
      <c r="G26" s="444">
        <f t="shared" si="7"/>
        <v>0</v>
      </c>
      <c r="H26" s="444">
        <f t="shared" si="8"/>
        <v>0</v>
      </c>
      <c r="I26" s="444">
        <f t="shared" si="9"/>
        <v>0</v>
      </c>
      <c r="J26" s="444">
        <f t="shared" si="10"/>
        <v>1.7414134062844027</v>
      </c>
      <c r="K26" s="444">
        <f t="shared" si="11"/>
        <v>0</v>
      </c>
      <c r="L26" s="444">
        <f t="shared" si="12"/>
        <v>0</v>
      </c>
      <c r="M26" s="444">
        <f t="shared" si="13"/>
        <v>0</v>
      </c>
      <c r="N26" s="444">
        <f t="shared" si="14"/>
        <v>0</v>
      </c>
      <c r="O26" s="444">
        <f t="shared" si="15"/>
        <v>0</v>
      </c>
      <c r="P26" s="445">
        <f t="shared" si="16"/>
        <v>0</v>
      </c>
      <c r="Q26" s="443">
        <f t="shared" ca="1" si="17"/>
        <v>838.47485694968998</v>
      </c>
    </row>
    <row r="27" spans="1:17" s="449" customFormat="1">
      <c r="A27" s="447" t="s">
        <v>536</v>
      </c>
      <c r="B27" s="730">
        <f t="shared" ca="1" si="2"/>
        <v>6.7544364476778709</v>
      </c>
      <c r="C27" s="448">
        <f t="shared" ca="1" si="3"/>
        <v>0</v>
      </c>
      <c r="D27" s="448">
        <f t="shared" si="4"/>
        <v>10.804163384549929</v>
      </c>
      <c r="E27" s="448">
        <f t="shared" si="5"/>
        <v>10.414561187487537</v>
      </c>
      <c r="F27" s="448">
        <f t="shared" si="6"/>
        <v>0</v>
      </c>
      <c r="G27" s="448">
        <f t="shared" si="7"/>
        <v>6079.9654071243212</v>
      </c>
      <c r="H27" s="448">
        <f t="shared" si="8"/>
        <v>1276.8493021113325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7384.7878702553689</v>
      </c>
    </row>
    <row r="28" spans="1:17" ht="16.5" customHeight="1">
      <c r="A28" s="443" t="s">
        <v>526</v>
      </c>
      <c r="B28" s="444">
        <f t="shared" ca="1" si="2"/>
        <v>2.9789843837041254</v>
      </c>
      <c r="C28" s="444">
        <f t="shared" ca="1" si="3"/>
        <v>0</v>
      </c>
      <c r="D28" s="444">
        <f t="shared" si="4"/>
        <v>0</v>
      </c>
      <c r="E28" s="444">
        <f t="shared" si="5"/>
        <v>0</v>
      </c>
      <c r="F28" s="444">
        <f t="shared" si="6"/>
        <v>0</v>
      </c>
      <c r="G28" s="444">
        <f t="shared" si="7"/>
        <v>258.85092048525769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261.82990486896182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61.476142535086097</v>
      </c>
      <c r="C32" s="444">
        <f t="shared" ca="1" si="3"/>
        <v>0</v>
      </c>
      <c r="D32" s="444">
        <f t="shared" si="4"/>
        <v>195.583747144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257.0598896790861</v>
      </c>
    </row>
    <row r="33" spans="1:17" s="455" customFormat="1">
      <c r="A33" s="453" t="s">
        <v>530</v>
      </c>
      <c r="B33" s="454">
        <f ca="1">SUM(B22:B32)</f>
        <v>6097.5450230954248</v>
      </c>
      <c r="C33" s="454">
        <f t="shared" ref="C33:Q33" ca="1" si="19">SUM(C22:C32)</f>
        <v>4760.4100840336141</v>
      </c>
      <c r="D33" s="454">
        <f t="shared" ca="1" si="19"/>
        <v>13178.814438783103</v>
      </c>
      <c r="E33" s="454">
        <f t="shared" si="19"/>
        <v>134.5602900745323</v>
      </c>
      <c r="F33" s="454">
        <f t="shared" ca="1" si="19"/>
        <v>2946.3580847359272</v>
      </c>
      <c r="G33" s="454">
        <f t="shared" si="19"/>
        <v>6338.8163276095793</v>
      </c>
      <c r="H33" s="454">
        <f t="shared" si="19"/>
        <v>1276.8493021113325</v>
      </c>
      <c r="I33" s="454">
        <f t="shared" si="19"/>
        <v>0</v>
      </c>
      <c r="J33" s="454">
        <f t="shared" si="19"/>
        <v>29.287987527048308</v>
      </c>
      <c r="K33" s="454">
        <f t="shared" si="19"/>
        <v>0</v>
      </c>
      <c r="L33" s="454">
        <f t="shared" ca="1" si="19"/>
        <v>0</v>
      </c>
      <c r="M33" s="454">
        <f t="shared" si="19"/>
        <v>0</v>
      </c>
      <c r="N33" s="454">
        <f t="shared" ca="1" si="19"/>
        <v>0</v>
      </c>
      <c r="O33" s="454">
        <f t="shared" si="19"/>
        <v>0</v>
      </c>
      <c r="P33" s="454">
        <f t="shared" si="19"/>
        <v>0</v>
      </c>
      <c r="Q33" s="454">
        <f t="shared" ca="1" si="19"/>
        <v>34762.641537970558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854.62401655482222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14022</v>
      </c>
      <c r="D8" s="979">
        <f>'SEAP template'!D76</f>
        <v>16496.470588235294</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3332.2870588235296</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854.62401655482222</v>
      </c>
      <c r="C10" s="981">
        <f>SUM(C4:C9)</f>
        <v>14022</v>
      </c>
      <c r="D10" s="981">
        <f t="shared" ref="D10:H10" si="0">SUM(D8:D9)</f>
        <v>16496.470588235294</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3332.2870588235296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0.22262667431507813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20031.428571428572</v>
      </c>
      <c r="D17" s="980">
        <f>'SEAP template'!D87</f>
        <v>23566.386554621851</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4760.4100840336141</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20031.428571428572</v>
      </c>
      <c r="D20" s="981">
        <f t="shared" ref="D20:H20" si="2">SUM(D17:D19)</f>
        <v>23566.386554621851</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4760.4100840336141</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0.22262667431507813</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2022-07-26T10:03:54Z</dcterms:modified>
</cp:coreProperties>
</file>