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FDB7463B-1F1A-484F-8253-32A42C2DAB5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<sst xmlns="http://schemas.openxmlformats.org/spreadsheetml/2006/main" count="2397" uniqueCount="878">
  <si>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</si>
  <si>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</si>
  <si>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</si>
  <si>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</si>
  <si>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</si>
  <si>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</si>
  <si>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</si>
  <si>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</si>
  <si>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</si>
  <si>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</si>
  <si>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</si>
  <si>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</si>
  <si>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</si>
  <si>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</si>
  <si>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</si>
  <si>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</si>
  <si>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</si>
  <si>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</si>
  <si>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</si>
  <si>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</si>
  <si>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</si>
  <si>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</si>
  <si>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</si>
  <si>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</si>
  <si>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</si>
  <si>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</si>
  <si>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</si>
  <si>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</si>
  <si>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</si>
  <si>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</si>
  <si>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</si>
  <si>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</si>
  <si>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</si>
  <si>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</si>
  <si>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</si>
  <si>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</si>
  <si>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</si>
  <si>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</si>
  <si>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</si>
  <si>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</si>
  <si>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</si>
  <si>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</si>
  <si>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</si>
  <si>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</si>
  <si>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</si>
  <si>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</si>
  <si>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</si>
  <si>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</si>
  <si>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</si>
  <si>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</si>
  <si>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</si>
  <si>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</si>
  <si>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</si>
  <si>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</si>
  <si>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</si>
  <si>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</si>
  <si>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</si>
  <si>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</si>
  <si>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</si>
  <si>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</si>
  <si>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</si>
  <si>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</si>
  <si>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</si>
  <si>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</si>
  <si>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</si>
  <si>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</si>
  <si>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</si>
  <si>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</si>
  <si>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</si>
  <si>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</si>
  <si>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</si>
  <si>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</si>
  <si>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</si>
  <si>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</si>
  <si>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</si>
  <si>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</si>
  <si>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</si>
  <si>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</si>
  <si>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</si>
  <si>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</si>
  <si>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</si>
  <si>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</si>
  <si>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</si>
  <si>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</si>
  <si>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</si>
  <si>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</si>
  <si>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</si>
  <si>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</si>
  <si>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</si>
  <si>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</si>
  <si>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</si>
  <si>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</si>
  <si>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</si>
  <si>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</si>
  <si>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</si>
  <si>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</si>
  <si>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</si>
  <si>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</si>
  <si>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</si>
  <si>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</si>
  <si>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</si>
  <si>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</si>
  <si>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</si>
  <si>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</si>
  <si>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</si>
  <si>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</si>
  <si>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</si>
  <si>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</si>
  <si>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</si>
  <si>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</si>
  <si>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</si>
  <si>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</si>
  <si>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</si>
  <si>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</si>
  <si>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</si>
  <si>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</si>
  <si>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</si>
  <si>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</si>
  <si>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</si>
  <si>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</si>
  <si>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</si>
  <si>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</si>
  <si>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</si>
  <si>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</si>
  <si>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</si>
  <si>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</si>
  <si>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</si>
  <si>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</si>
  <si>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</si>
  <si>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</si>
  <si>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</si>
  <si>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</si>
  <si>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</si>
  <si>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</si>
  <si>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</si>
  <si>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</si>
  <si>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</si>
  <si>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</si>
  <si>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</si>
  <si>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</si>
  <si>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</si>
  <si>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</si>
  <si>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</si>
  <si>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</si>
  <si>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</si>
  <si>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</si>
  <si>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</si>
  <si>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</si>
  <si>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</si>
  <si>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</si>
  <si>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</si>
  <si>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</si>
  <si>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</si>
  <si>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</si>
  <si>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</si>
  <si>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</si>
  <si>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</si>
  <si>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</si>
  <si>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</si>
  <si>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</si>
  <si>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</si>
  <si>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</si>
  <si>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</si>
  <si>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</si>
  <si>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</si>
  <si>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</si>
  <si>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</si>
  <si>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</si>
  <si>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</si>
  <si>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</si>
  <si>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</si>
  <si>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</si>
  <si>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</si>
  <si>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</si>
  <si>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</si>
  <si>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</si>
  <si>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</si>
  <si>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</si>
  <si>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</si>
  <si>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</si>
  <si>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</si>
  <si>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</si>
  <si>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</si>
  <si>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</si>
  <si>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</si>
  <si>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</si>
  <si>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</si>
  <si>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</si>
  <si>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</si>
  <si>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</si>
  <si>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</si>
  <si>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</si>
  <si>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</si>
  <si>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</si>
  <si>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</si>
  <si>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</si>
  <si>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</si>
  <si>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</si>
  <si>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</si>
  <si>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</si>
  <si>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</si>
  <si>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</si>
  <si>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</si>
  <si>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</si>
  <si>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</si>
  <si>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</si>
  <si>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</si>
  <si>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</si>
  <si>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</si>
  <si>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</si>
  <si>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</si>
  <si>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</si>
  <si>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</si>
  <si>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</si>
  <si>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</si>
  <si>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</si>
  <si>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</si>
  <si>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</si>
  <si>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</si>
  <si>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</si>
  <si>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</si>
  <si>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</si>
  <si>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</si>
  <si>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</si>
  <si>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</si>
  <si>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</si>
  <si>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</si>
  <si>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</si>
  <si>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</si>
  <si>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</si>
  <si>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</si>
  <si>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</si>
  <si>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</si>
  <si>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</si>
  <si>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</si>
  <si>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</si>
  <si>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</si>
  <si>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</si>
  <si>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</si>
  <si>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</si>
  <si>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</si>
  <si>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</si>
  <si>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</si>
  <si>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</si>
  <si>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</si>
  <si>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</si>
  <si>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</si>
  <si>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</si>
  <si>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</si>
  <si>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</si>
  <si>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</si>
  <si>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</si>
  <si>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</si>
  <si>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</si>
  <si>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</si>
  <si>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</si>
  <si>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</si>
  <si>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</si>
  <si>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</si>
  <si>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</si>
  <si>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</si>
  <si>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</si>
  <si>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</si>
  <si>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</si>
  <si>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</si>
  <si>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</si>
  <si>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</si>
  <si>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</si>
  <si>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</si>
  <si>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</si>
  <si>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</si>
  <si>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</si>
  <si>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</si>
  <si>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</si>
  <si>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</si>
  <si>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</si>
  <si>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</si>
  <si>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</si>
  <si>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</si>
  <si>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</si>
  <si>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</si>
  <si>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</si>
  <si>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</si>
  <si>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</si>
  <si>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</si>
  <si>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</si>
  <si>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</si>
  <si>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</si>
  <si>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</si>
  <si>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</si>
  <si>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</si>
  <si>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</si>
  <si>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</si>
  <si>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</si>
  <si>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</si>
  <si>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</si>
  <si>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</si>
  <si>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</si>
  <si>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</si>
  <si>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</si>
  <si>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</si>
  <si>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</si>
  <si>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</si>
  <si>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</si>
  <si>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</si>
  <si>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</si>
  <si>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</si>
  <si>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</si>
  <si>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</si>
  <si>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</si>
  <si>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</si>
  <si>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</si>
  <si>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</si>
  <si>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</si>
  <si>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</si>
  <si>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</si>
  <si>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</si>
  <si>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</si>
  <si>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</si>
  <si>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</si>
  <si>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</si>
  <si>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</si>
  <si>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</si>
  <si>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</si>
  <si>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</si>
  <si>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</si>
  <si>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</si>
  <si>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</si>
  <si>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</si>
  <si>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</si>
  <si>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</si>
  <si>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</si>
  <si>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</si>
  <si>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</si>
  <si>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</si>
  <si>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</si>
  <si>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</si>
  <si>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</si>
  <si>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</si>
  <si>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</si>
  <si>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</si>
  <si>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</si>
  <si>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</si>
  <si>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</si>
  <si>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</si>
  <si>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</si>
  <si>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</si>
  <si>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</si>
  <si>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</si>
  <si>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</si>
  <si>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</si>
  <si>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</si>
  <si>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</si>
  <si>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</si>
  <si>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</si>
  <si>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</si>
  <si>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</si>
  <si>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</si>
  <si>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</si>
  <si>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</si>
  <si>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</si>
  <si>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</si>
  <si>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</si>
  <si>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</si>
  <si>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</si>
  <si>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</si>
  <si>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</si>
  <si>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</si>
  <si>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</si>
  <si>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</si>
  <si>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</si>
  <si>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</si>
  <si>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</si>
  <si>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</si>
  <si>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</si>
  <si>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</si>
  <si>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</si>
  <si>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</si>
  <si>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</si>
  <si>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</si>
  <si>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</si>
  <si>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</si>
  <si>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</si>
  <si>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</si>
  <si>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</si>
  <si>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</si>
  <si>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</si>
  <si>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</si>
  <si>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</si>
  <si>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</si>
  <si>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</si>
  <si>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</si>
  <si>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</si>
  <si>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</si>
  <si>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</si>
  <si>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</si>
  <si>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</si>
  <si>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</si>
  <si>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</si>
  <si>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</si>
  <si>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</si>
  <si>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</si>
  <si>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</si>
  <si>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</si>
  <si>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</si>
  <si>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</si>
  <si>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</si>
  <si>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</si>
  <si>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</si>
  <si>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</si>
  <si>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</si>
  <si>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</si>
  <si>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</si>
  <si>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</si>
  <si>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</si>
  <si>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</si>
  <si>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</si>
  <si>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</si>
  <si>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</si>
  <si>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</si>
  <si>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</si>
  <si>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</si>
  <si>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</si>
  <si>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</si>
  <si>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</si>
  <si>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</si>
  <si>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</si>
  <si>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</si>
  <si>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</si>
  <si>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</si>
  <si>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</si>
  <si>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</si>
  <si>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</si>
  <si>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</si>
  <si>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</si>
  <si>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</si>
  <si>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</si>
  <si>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</si>
  <si>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</si>
  <si>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</si>
  <si>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</si>
  <si>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</si>
  <si>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</si>
  <si>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</si>
  <si>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</si>
  <si>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</si>
  <si>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</si>
  <si>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</si>
  <si>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</si>
  <si>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</si>
  <si>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</si>
  <si>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</si>
  <si>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</si>
  <si>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</si>
  <si>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</si>
  <si>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</si>
  <si>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</si>
  <si>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</si>
  <si>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</si>
  <si>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</si>
  <si>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</si>
  <si>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</si>
  <si>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</si>
  <si>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</si>
  <si>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</si>
  <si>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</si>
  <si>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</si>
  <si>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</si>
  <si>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</si>
  <si>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</si>
  <si>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</si>
  <si>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</si>
  <si>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</si>
  <si>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</si>
  <si>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</si>
  <si>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</si>
  <si>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</si>
  <si>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</si>
  <si>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</si>
  <si>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</si>
  <si>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</si>
  <si>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</si>
  <si>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</si>
  <si>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</si>
  <si>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</si>
  <si>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</si>
  <si>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</si>
  <si>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</si>
  <si>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</si>
  <si>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</si>
  <si>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</si>
  <si>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</si>
  <si>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</si>
  <si>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</si>
  <si>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</si>
  <si>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</si>
  <si>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</si>
  <si>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</si>
  <si>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</si>
  <si>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</si>
  <si>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</si>
  <si>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</si>
  <si>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</si>
  <si>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</si>
  <si>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</si>
  <si>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</si>
  <si>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</si>
  <si>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</si>
  <si>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</si>
  <si>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</si>
  <si>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</si>
  <si>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</si>
  <si>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</si>
  <si>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</si>
  <si>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</si>
  <si>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</si>
  <si>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</si>
  <si>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</si>
  <si>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</si>
  <si>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</si>
  <si>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</si>
  <si>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</si>
  <si>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</si>
  <si>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</si>
  <si>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</si>
  <si>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</si>
  <si>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</si>
  <si>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</si>
  <si>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</si>
  <si>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</si>
  <si>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</si>
  <si>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</si>
  <si>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</si>
  <si>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</si>
  <si>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</si>
  <si>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</si>
  <si>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</si>
  <si>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</si>
  <si>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</si>
  <si>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</si>
  <si>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</si>
  <si>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</si>
  <si>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</si>
  <si>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</si>
  <si>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</si>
  <si>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</si>
  <si>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</si>
  <si>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</si>
  <si>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</si>
  <si>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</si>
  <si>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</si>
  <si>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</si>
  <si>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</si>
  <si>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</si>
  <si>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</si>
  <si>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</si>
  <si>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</si>
  <si>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</si>
  <si>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</si>
  <si>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</si>
  <si>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</si>
  <si>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</si>
  <si>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</si>
  <si>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</si>
  <si>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</si>
  <si>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</si>
  <si>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</si>
  <si>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</si>
  <si>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</si>
  <si>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</si>
  <si>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</si>
  <si>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</si>
  <si>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</si>
  <si>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</si>
  <si>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</si>
  <si>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</si>
  <si>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</si>
  <si>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</si>
  <si>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</si>
  <si>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</si>
  <si>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</si>
  <si>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</si>
  <si>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</si>
  <si>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</si>
  <si>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</si>
  <si>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</si>
  <si>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</si>
  <si>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</si>
  <si>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</si>
  <si>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</si>
  <si>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</si>
  <si>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</si>
  <si>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</si>
  <si>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</si>
  <si>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</si>
  <si>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</si>
  <si>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</si>
  <si>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</si>
  <si>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</si>
  <si>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</si>
  <si>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</si>
  <si>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</si>
  <si>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</si>
  <si>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</si>
  <si>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</si>
  <si>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</si>
  <si>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</si>
  <si>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</si>
  <si>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</si>
  <si>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</si>
  <si>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</si>
  <si>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</si>
  <si>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</si>
  <si>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</si>
  <si>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</si>
  <si>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</si>
  <si>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</si>
  <si>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</si>
  <si>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</si>
  <si>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</si>
  <si>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</si>
  <si>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</si>
  <si>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</si>
  <si>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</si>
  <si>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</si>
  <si>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</si>
  <si>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</si>
  <si>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</si>
  <si>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</si>
  <si>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</si>
  <si>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</si>
  <si>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</si>
  <si>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</si>
  <si>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</si>
  <si>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</si>
  <si>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</si>
  <si>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</si>
  <si>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</si>
  <si>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</si>
  <si>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</si>
  <si>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</si>
  <si>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</si>
  <si>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</si>
  <si>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</si>
  <si>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</si>
  <si>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</si>
  <si>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</si>
  <si>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</si>
  <si>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</si>
  <si>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</si>
  <si>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</si>
  <si>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</si>
  <si>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</si>
  <si>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</si>
  <si>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</si>
  <si>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</si>
  <si>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</si>
  <si>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</si>
  <si>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</si>
  <si>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</si>
  <si>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</si>
  <si>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</si>
  <si>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</si>
  <si>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</si>
  <si>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</si>
  <si>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</si>
  <si>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</si>
  <si>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</si>
  <si>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</si>
  <si>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</si>
  <si>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</si>
  <si>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</si>
  <si>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</si>
  <si>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</si>
  <si>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</si>
  <si>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</si>
  <si>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</si>
  <si>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</si>
  <si>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</si>
  <si>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</si>
  <si>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</si>
  <si>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</si>
  <si>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</si>
  <si>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</si>
  <si>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</si>
  <si>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</si>
  <si>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</si>
  <si>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</si>
  <si>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</si>
  <si>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</si>
  <si>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</si>
  <si>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</si>
  <si>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</si>
  <si>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</si>
  <si>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</si>
  <si>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</si>
  <si>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</si>
  <si>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</si>
  <si>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</si>
  <si>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</si>
  <si>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</si>
  <si>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</si>
  <si>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</si>
  <si>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</si>
  <si>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</si>
  <si>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</si>
  <si>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</si>
  <si>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</si>
  <si>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</si>
  <si>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</si>
  <si>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</si>
  <si>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</si>
  <si>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</si>
  <si>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</si>
  <si>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</si>
  <si>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</si>
  <si>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</si>
  <si>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</si>
  <si>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</si>
  <si>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</si>
  <si>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</si>
  <si>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</si>
  <si>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</si>
  <si>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</si>
  <si>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</si>
  <si>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</si>
  <si>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</si>
  <si>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</si>
  <si>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</si>
  <si>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</si>
  <si>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</si>
  <si>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</si>
  <si>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</si>
  <si>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</si>
  <si>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</si>
  <si>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</si>
  <si>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</si>
  <si>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</si>
  <si>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</si>
  <si>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</si>
  <si>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</si>
  <si>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</si>
  <si>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</si>
  <si>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</si>
  <si>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</si>
  <si>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</si>
  <si>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</si>
  <si>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</si>
  <si>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</si>
  <si>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</si>
  <si>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</si>
  <si>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</si>
  <si>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</si>
  <si>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</si>
  <si>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</si>
  <si>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</si>
  <si>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</si>
  <si>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</si>
  <si>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</si>
  <si>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</si>
  <si>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</si>
  <si>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</si>
  <si>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</si>
  <si>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</si>
  <si>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</si>
  <si>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</si>
  <si>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</si>
  <si>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</si>
  <si>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</si>
  <si>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</si>
  <si>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</si>
  <si>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</si>
  <si>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</si>
  <si>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</si>
  <si>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</si>
  <si>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</si>
  <si>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</si>
  <si>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</si>
  <si>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</si>
  <si>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</si>
  <si>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</si>
  <si>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</si>
  <si>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</si>
  <si>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</si>
  <si>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</si>
  <si>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</si>
  <si>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</si>
  <si>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</si>
  <si>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</si>
  <si>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</si>
  <si>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</si>
  <si>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</si>
  <si>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</si>
  <si>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</si>
  <si>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</si>
  <si>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</si>
  <si>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</si>
  <si>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</si>
  <si>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</si>
  <si>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</si>
  <si>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</si>
  <si>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</si>
  <si>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</si>
  <si>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</si>
  <si>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</si>
  <si>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</si>
  <si>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</si>
  <si>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</si>
  <si>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</si>
  <si>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</si>
  <si>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</si>
  <si>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</si>
  <si>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</si>
  <si>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</si>
  <si>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</si>
  <si>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</si>
  <si>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</si>
  <si>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</si>
  <si>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</si>
  <si>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</si>
  <si>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</si>
  <si>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</si>
  <si>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</si>
  <si>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</si>
  <si>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</si>
  <si>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</si>
  <si>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</si>
  <si>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</si>
  <si>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</si>
  <si>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</si>
  <si>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</si>
  <si>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</si>
  <si>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</si>
  <si>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</si>
  <si>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</si>
  <si>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</si>
  <si>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</si>
  <si>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</si>
  <si>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</si>
  <si>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</si>
  <si>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</si>
  <si>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</si>
  <si>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</si>
  <si>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</si>
  <si>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</si>
  <si>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</si>
  <si>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</si>
  <si>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</si>
  <si>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</si>
  <si>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</si>
  <si>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</si>
  <si>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</si>
  <si>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</si>
  <si>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</si>
  <si>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</si>
  <si>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</si>
  <si>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</si>
  <si>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</si>
  <si>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</si>
  <si>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</si>
  <si>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</si>
  <si>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</si>
  <si>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</si>
  <si>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</si>
  <si>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</si>
  <si>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</si>
  <si>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</si>
  <si>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</si>
  <si>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</si>
  <si>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</si>
  <si>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</si>
  <si>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</si>
  <si>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</si>
  <si>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</si>
  <si>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</si>
  <si>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73107</t>
  </si>
  <si>
    <t>MAASMECHELEN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</si>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</sst>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AF53E99E-28B1-4380-A81C-55BAD8CE016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297423.05832020374</c:v>
                </c:pt>
                <c:pt idx="1">
                  <c:v>123188.23738657206</c:v>
                </c:pt>
                <c:pt idx="2">
                  <c:v>1981.5409999999999</c:v>
                </c:pt>
                <c:pt idx="3">
                  <c:v>3043.8368538568861</c:v>
                </c:pt>
                <c:pt idx="4">
                  <c:v>130489.65714496085</c:v>
                </c:pt>
                <c:pt idx="5">
                  <c:v>326298.73261140235</c:v>
                </c:pt>
                <c:pt idx="6">
                  <c:v>4947.0595057204109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297423.05832020374</c:v>
                </c:pt>
                <c:pt idx="1">
                  <c:v>123188.23738657206</c:v>
                </c:pt>
                <c:pt idx="2">
                  <c:v>1981.5409999999999</c:v>
                </c:pt>
                <c:pt idx="3">
                  <c:v>3043.8368538568861</c:v>
                </c:pt>
                <c:pt idx="4">
                  <c:v>130489.65714496085</c:v>
                </c:pt>
                <c:pt idx="5">
                  <c:v>326298.73261140235</c:v>
                </c:pt>
                <c:pt idx="6">
                  <c:v>4947.0595057204109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60704.340078691559</c:v>
                </c:pt>
                <c:pt idx="2">
                  <c:v>23915.038589105614</c:v>
                </c:pt>
                <c:pt idx="3">
                  <c:v>372.99096314680543</c:v>
                </c:pt>
                <c:pt idx="4">
                  <c:v>757.78231912003923</c:v>
                </c:pt>
                <c:pt idx="5">
                  <c:v>25287.20921825579</c:v>
                </c:pt>
                <c:pt idx="6">
                  <c:v>81725.237855501095</c:v>
                </c:pt>
                <c:pt idx="7">
                  <c:v>1245.7757072611491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60704.340078691559</c:v>
                </c:pt>
                <c:pt idx="2">
                  <c:v>23915.038589105614</c:v>
                </c:pt>
                <c:pt idx="3">
                  <c:v>372.99096314680543</c:v>
                </c:pt>
                <c:pt idx="4">
                  <c:v>757.78231912003923</c:v>
                </c:pt>
                <c:pt idx="5">
                  <c:v>25287.20921825579</c:v>
                </c:pt>
                <c:pt idx="6">
                  <c:v>81725.237855501095</c:v>
                </c:pt>
                <c:pt idx="7">
                  <c:v>1245.7757072611491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73107</v>
      </c>
      <c r="B6" s="380"/>
      <c r="C6" s="381"/>
    </row>
    <row r="7" spans="1:7" s="378" customFormat="1" ht="15.75" customHeight="1">
      <c r="A7" s="382" t="str">
        <f>txtMunicipality</f>
        <v>MAASMECHELEN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0.18823277597930371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0.18823277597930371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15027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1969.28</v>
      </c>
      <c r="C14" s="322"/>
      <c r="D14" s="322"/>
      <c r="E14" s="322"/>
      <c r="F14" s="322"/>
    </row>
    <row r="15" spans="1:6">
      <c r="A15" s="1248" t="s">
        <v>177</v>
      </c>
      <c r="B15" s="1249">
        <v>5</v>
      </c>
      <c r="C15" s="322"/>
      <c r="D15" s="322"/>
      <c r="E15" s="322"/>
      <c r="F15" s="322"/>
    </row>
    <row r="16" spans="1:6">
      <c r="A16" s="1248" t="s">
        <v>6</v>
      </c>
      <c r="B16" s="1249">
        <v>407</v>
      </c>
      <c r="C16" s="322"/>
      <c r="D16" s="322"/>
      <c r="E16" s="322"/>
      <c r="F16" s="322"/>
    </row>
    <row r="17" spans="1:6">
      <c r="A17" s="1248" t="s">
        <v>7</v>
      </c>
      <c r="B17" s="1249">
        <v>131</v>
      </c>
      <c r="C17" s="322"/>
      <c r="D17" s="322"/>
      <c r="E17" s="322"/>
      <c r="F17" s="322"/>
    </row>
    <row r="18" spans="1:6">
      <c r="A18" s="1248" t="s">
        <v>8</v>
      </c>
      <c r="B18" s="1249">
        <v>333</v>
      </c>
      <c r="C18" s="322"/>
      <c r="D18" s="322"/>
      <c r="E18" s="322"/>
      <c r="F18" s="322"/>
    </row>
    <row r="19" spans="1:6">
      <c r="A19" s="1248" t="s">
        <v>9</v>
      </c>
      <c r="B19" s="1249">
        <v>376</v>
      </c>
      <c r="C19" s="322"/>
      <c r="D19" s="322"/>
      <c r="E19" s="322"/>
      <c r="F19" s="322"/>
    </row>
    <row r="20" spans="1:6">
      <c r="A20" s="1248" t="s">
        <v>10</v>
      </c>
      <c r="B20" s="1249">
        <v>170</v>
      </c>
      <c r="C20" s="322"/>
      <c r="D20" s="322"/>
      <c r="E20" s="322"/>
      <c r="F20" s="322"/>
    </row>
    <row r="21" spans="1:6">
      <c r="A21" s="1248" t="s">
        <v>11</v>
      </c>
      <c r="B21" s="1249">
        <v>1451</v>
      </c>
      <c r="C21" s="322"/>
      <c r="D21" s="322"/>
      <c r="E21" s="322"/>
      <c r="F21" s="322"/>
    </row>
    <row r="22" spans="1:6">
      <c r="A22" s="1248" t="s">
        <v>12</v>
      </c>
      <c r="B22" s="1249">
        <v>2188</v>
      </c>
      <c r="C22" s="322"/>
      <c r="D22" s="322"/>
      <c r="E22" s="322"/>
      <c r="F22" s="322"/>
    </row>
    <row r="23" spans="1:6">
      <c r="A23" s="1248" t="s">
        <v>13</v>
      </c>
      <c r="B23" s="1249">
        <v>16</v>
      </c>
      <c r="C23" s="322"/>
      <c r="D23" s="322"/>
      <c r="E23" s="322"/>
      <c r="F23" s="322"/>
    </row>
    <row r="24" spans="1:6">
      <c r="A24" s="1248" t="s">
        <v>14</v>
      </c>
      <c r="B24" s="1249">
        <v>2</v>
      </c>
      <c r="C24" s="322"/>
      <c r="D24" s="322"/>
      <c r="E24" s="322"/>
      <c r="F24" s="322"/>
    </row>
    <row r="25" spans="1:6">
      <c r="A25" s="1248" t="s">
        <v>15</v>
      </c>
      <c r="B25" s="1249">
        <v>279</v>
      </c>
      <c r="C25" s="322"/>
      <c r="D25" s="322"/>
      <c r="E25" s="322"/>
      <c r="F25" s="322"/>
    </row>
    <row r="26" spans="1:6">
      <c r="A26" s="1248" t="s">
        <v>16</v>
      </c>
      <c r="B26" s="1249">
        <v>25</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28</v>
      </c>
      <c r="C29" s="322"/>
      <c r="D29" s="322"/>
      <c r="E29" s="322"/>
      <c r="F29" s="322"/>
    </row>
    <row r="30" spans="1:6">
      <c r="A30" s="1243" t="s">
        <v>692</v>
      </c>
      <c r="B30" s="1251">
        <v>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3</v>
      </c>
      <c r="D36" s="1249">
        <v>65608</v>
      </c>
      <c r="E36" s="1249">
        <v>35</v>
      </c>
      <c r="F36" s="1249">
        <v>140366</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12480</v>
      </c>
    </row>
    <row r="39" spans="1:6">
      <c r="A39" s="1248" t="s">
        <v>29</v>
      </c>
      <c r="B39" s="1248" t="s">
        <v>30</v>
      </c>
      <c r="C39" s="1249">
        <v>8568</v>
      </c>
      <c r="D39" s="1249">
        <v>131275796.59999999</v>
      </c>
      <c r="E39" s="1249">
        <v>15223</v>
      </c>
      <c r="F39" s="1249">
        <v>47201315.649999999</v>
      </c>
    </row>
    <row r="40" spans="1:6">
      <c r="A40" s="1248" t="s">
        <v>29</v>
      </c>
      <c r="B40" s="1248" t="s">
        <v>28</v>
      </c>
      <c r="C40" s="1249">
        <v>0</v>
      </c>
      <c r="D40" s="1249">
        <v>0</v>
      </c>
      <c r="E40" s="1249">
        <v>0</v>
      </c>
      <c r="F40" s="1249">
        <v>0</v>
      </c>
    </row>
    <row r="41" spans="1:6">
      <c r="A41" s="1248" t="s">
        <v>31</v>
      </c>
      <c r="B41" s="1248" t="s">
        <v>32</v>
      </c>
      <c r="C41" s="1249">
        <v>120</v>
      </c>
      <c r="D41" s="1249">
        <v>6695365.4709999999</v>
      </c>
      <c r="E41" s="1249">
        <v>272</v>
      </c>
      <c r="F41" s="1249">
        <v>5036353.0580000002</v>
      </c>
    </row>
    <row r="42" spans="1:6">
      <c r="A42" s="1248" t="s">
        <v>31</v>
      </c>
      <c r="B42" s="1248" t="s">
        <v>33</v>
      </c>
      <c r="C42" s="1249">
        <v>0</v>
      </c>
      <c r="D42" s="1249">
        <v>0</v>
      </c>
      <c r="E42" s="1249">
        <v>3</v>
      </c>
      <c r="F42" s="1249">
        <v>20773953.103999998</v>
      </c>
    </row>
    <row r="43" spans="1:6">
      <c r="A43" s="1248" t="s">
        <v>31</v>
      </c>
      <c r="B43" s="1248" t="s">
        <v>34</v>
      </c>
      <c r="C43" s="1249">
        <v>0</v>
      </c>
      <c r="D43" s="1249">
        <v>0</v>
      </c>
      <c r="E43" s="1249">
        <v>0</v>
      </c>
      <c r="F43" s="1249">
        <v>0</v>
      </c>
    </row>
    <row r="44" spans="1:6">
      <c r="A44" s="1248" t="s">
        <v>31</v>
      </c>
      <c r="B44" s="1248" t="s">
        <v>35</v>
      </c>
      <c r="C44" s="1249">
        <v>13</v>
      </c>
      <c r="D44" s="1249">
        <v>3415127.0290000001</v>
      </c>
      <c r="E44" s="1249">
        <v>40</v>
      </c>
      <c r="F44" s="1249">
        <v>3514065</v>
      </c>
    </row>
    <row r="45" spans="1:6">
      <c r="A45" s="1248" t="s">
        <v>31</v>
      </c>
      <c r="B45" s="1248" t="s">
        <v>36</v>
      </c>
      <c r="C45" s="1249">
        <v>5</v>
      </c>
      <c r="D45" s="1249">
        <v>2864119.514</v>
      </c>
      <c r="E45" s="1249">
        <v>12</v>
      </c>
      <c r="F45" s="1249">
        <v>11952488.166999999</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289818</v>
      </c>
    </row>
    <row r="48" spans="1:6">
      <c r="A48" s="1248" t="s">
        <v>31</v>
      </c>
      <c r="B48" s="1248" t="s">
        <v>28</v>
      </c>
      <c r="C48" s="1249">
        <v>2</v>
      </c>
      <c r="D48" s="1249">
        <v>872470</v>
      </c>
      <c r="E48" s="1249">
        <v>0</v>
      </c>
      <c r="F48" s="1249">
        <v>0</v>
      </c>
    </row>
    <row r="49" spans="1:6">
      <c r="A49" s="1248" t="s">
        <v>31</v>
      </c>
      <c r="B49" s="1248" t="s">
        <v>39</v>
      </c>
      <c r="C49" s="1249">
        <v>0</v>
      </c>
      <c r="D49" s="1249">
        <v>0</v>
      </c>
      <c r="E49" s="1249">
        <v>6</v>
      </c>
      <c r="F49" s="1249">
        <v>141192</v>
      </c>
    </row>
    <row r="50" spans="1:6">
      <c r="A50" s="1248" t="s">
        <v>31</v>
      </c>
      <c r="B50" s="1248" t="s">
        <v>40</v>
      </c>
      <c r="C50" s="1249">
        <v>28</v>
      </c>
      <c r="D50" s="1249">
        <v>31474578.978</v>
      </c>
      <c r="E50" s="1249">
        <v>39</v>
      </c>
      <c r="F50" s="1249">
        <v>30498939.84</v>
      </c>
    </row>
    <row r="51" spans="1:6">
      <c r="A51" s="1248" t="s">
        <v>41</v>
      </c>
      <c r="B51" s="1248" t="s">
        <v>42</v>
      </c>
      <c r="C51" s="1249">
        <v>10</v>
      </c>
      <c r="D51" s="1249">
        <v>414281</v>
      </c>
      <c r="E51" s="1249">
        <v>41</v>
      </c>
      <c r="F51" s="1249">
        <v>535677</v>
      </c>
    </row>
    <row r="52" spans="1:6">
      <c r="A52" s="1248" t="s">
        <v>41</v>
      </c>
      <c r="B52" s="1248" t="s">
        <v>28</v>
      </c>
      <c r="C52" s="1249">
        <v>0</v>
      </c>
      <c r="D52" s="1249">
        <v>0</v>
      </c>
      <c r="E52" s="1249">
        <v>0</v>
      </c>
      <c r="F52" s="1249">
        <v>0</v>
      </c>
    </row>
    <row r="53" spans="1:6">
      <c r="A53" s="1248" t="s">
        <v>43</v>
      </c>
      <c r="B53" s="1248" t="s">
        <v>44</v>
      </c>
      <c r="C53" s="1249">
        <v>103</v>
      </c>
      <c r="D53" s="1249">
        <v>2529532.0499999998</v>
      </c>
      <c r="E53" s="1249">
        <v>300</v>
      </c>
      <c r="F53" s="1249">
        <v>3219713.719</v>
      </c>
    </row>
    <row r="54" spans="1:6">
      <c r="A54" s="1248" t="s">
        <v>45</v>
      </c>
      <c r="B54" s="1248" t="s">
        <v>46</v>
      </c>
      <c r="C54" s="1249">
        <v>0</v>
      </c>
      <c r="D54" s="1249">
        <v>0</v>
      </c>
      <c r="E54" s="1249">
        <v>3</v>
      </c>
      <c r="F54" s="1249">
        <v>1981541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101</v>
      </c>
      <c r="D57" s="1249">
        <v>7978700.443</v>
      </c>
      <c r="E57" s="1249">
        <v>216</v>
      </c>
      <c r="F57" s="1249">
        <v>11641438.793</v>
      </c>
    </row>
    <row r="58" spans="1:6">
      <c r="A58" s="1248" t="s">
        <v>48</v>
      </c>
      <c r="B58" s="1248" t="s">
        <v>50</v>
      </c>
      <c r="C58" s="1249">
        <v>66</v>
      </c>
      <c r="D58" s="1249">
        <v>3421074</v>
      </c>
      <c r="E58" s="1249">
        <v>84</v>
      </c>
      <c r="F58" s="1249">
        <v>1395974</v>
      </c>
    </row>
    <row r="59" spans="1:6">
      <c r="A59" s="1248" t="s">
        <v>48</v>
      </c>
      <c r="B59" s="1248" t="s">
        <v>51</v>
      </c>
      <c r="C59" s="1249">
        <v>241</v>
      </c>
      <c r="D59" s="1249">
        <v>11073548.313999999</v>
      </c>
      <c r="E59" s="1249">
        <v>531</v>
      </c>
      <c r="F59" s="1249">
        <v>20232737.228999998</v>
      </c>
    </row>
    <row r="60" spans="1:6">
      <c r="A60" s="1248" t="s">
        <v>48</v>
      </c>
      <c r="B60" s="1248" t="s">
        <v>52</v>
      </c>
      <c r="C60" s="1249">
        <v>157</v>
      </c>
      <c r="D60" s="1249">
        <v>9536731.1429999992</v>
      </c>
      <c r="E60" s="1249">
        <v>217</v>
      </c>
      <c r="F60" s="1249">
        <v>8110594.9819999998</v>
      </c>
    </row>
    <row r="61" spans="1:6">
      <c r="A61" s="1248" t="s">
        <v>48</v>
      </c>
      <c r="B61" s="1248" t="s">
        <v>53</v>
      </c>
      <c r="C61" s="1249">
        <v>284</v>
      </c>
      <c r="D61" s="1249">
        <v>19482786.409000002</v>
      </c>
      <c r="E61" s="1249">
        <v>647</v>
      </c>
      <c r="F61" s="1249">
        <v>9405831.8920000009</v>
      </c>
    </row>
    <row r="62" spans="1:6">
      <c r="A62" s="1248" t="s">
        <v>48</v>
      </c>
      <c r="B62" s="1248" t="s">
        <v>54</v>
      </c>
      <c r="C62" s="1249">
        <v>29</v>
      </c>
      <c r="D62" s="1249">
        <v>7044486.4160000002</v>
      </c>
      <c r="E62" s="1249">
        <v>39</v>
      </c>
      <c r="F62" s="1249">
        <v>1946727.48</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1</v>
      </c>
      <c r="D65" s="1249">
        <v>37585</v>
      </c>
      <c r="E65" s="1249">
        <v>0</v>
      </c>
      <c r="F65" s="1249">
        <v>0</v>
      </c>
    </row>
    <row r="66" spans="1:6">
      <c r="A66" s="1248" t="s">
        <v>55</v>
      </c>
      <c r="B66" s="1248" t="s">
        <v>57</v>
      </c>
      <c r="C66" s="1249">
        <v>0</v>
      </c>
      <c r="D66" s="1249">
        <v>0</v>
      </c>
      <c r="E66" s="1249">
        <v>30</v>
      </c>
      <c r="F66" s="1249">
        <v>766933.05900000001</v>
      </c>
    </row>
    <row r="67" spans="1:6">
      <c r="A67" s="1248" t="s">
        <v>55</v>
      </c>
      <c r="B67" s="1248" t="s">
        <v>58</v>
      </c>
      <c r="C67" s="1249">
        <v>3</v>
      </c>
      <c r="D67" s="1249">
        <v>8815</v>
      </c>
      <c r="E67" s="1249">
        <v>6</v>
      </c>
      <c r="F67" s="1249">
        <v>52035</v>
      </c>
    </row>
    <row r="68" spans="1:6">
      <c r="A68" s="1243" t="s">
        <v>55</v>
      </c>
      <c r="B68" s="1243" t="s">
        <v>59</v>
      </c>
      <c r="C68" s="1251">
        <v>4</v>
      </c>
      <c r="D68" s="1251">
        <v>189745</v>
      </c>
      <c r="E68" s="1251">
        <v>18</v>
      </c>
      <c r="F68" s="1251">
        <v>251812.611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82141328</v>
      </c>
      <c r="E73" s="439"/>
      <c r="F73" s="322"/>
    </row>
    <row r="74" spans="1:6">
      <c r="A74" s="1248" t="s">
        <v>63</v>
      </c>
      <c r="B74" s="1248" t="s">
        <v>617</v>
      </c>
      <c r="C74" s="1261" t="s">
        <v>619</v>
      </c>
      <c r="D74" s="1249">
        <v>3683986.5</v>
      </c>
      <c r="E74" s="439"/>
      <c r="F74" s="322"/>
    </row>
    <row r="75" spans="1:6">
      <c r="A75" s="1248" t="s">
        <v>64</v>
      </c>
      <c r="B75" s="1248" t="s">
        <v>616</v>
      </c>
      <c r="C75" s="1261" t="s">
        <v>620</v>
      </c>
      <c r="D75" s="1249">
        <v>54504680</v>
      </c>
      <c r="E75" s="439"/>
      <c r="F75" s="322"/>
    </row>
    <row r="76" spans="1:6">
      <c r="A76" s="1248" t="s">
        <v>64</v>
      </c>
      <c r="B76" s="1248" t="s">
        <v>617</v>
      </c>
      <c r="C76" s="1261" t="s">
        <v>621</v>
      </c>
      <c r="D76" s="1249">
        <v>184319.5</v>
      </c>
      <c r="E76" s="439"/>
      <c r="F76" s="322"/>
    </row>
    <row r="77" spans="1:6">
      <c r="A77" s="1248" t="s">
        <v>65</v>
      </c>
      <c r="B77" s="1248" t="s">
        <v>616</v>
      </c>
      <c r="C77" s="1261" t="s">
        <v>622</v>
      </c>
      <c r="D77" s="1249">
        <v>177490472</v>
      </c>
      <c r="E77" s="439"/>
      <c r="F77" s="322"/>
    </row>
    <row r="78" spans="1:6">
      <c r="A78" s="1243" t="s">
        <v>65</v>
      </c>
      <c r="B78" s="1243" t="s">
        <v>617</v>
      </c>
      <c r="C78" s="1243" t="s">
        <v>623</v>
      </c>
      <c r="D78" s="1251">
        <v>36339783</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1345533</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13779.58500203706</v>
      </c>
      <c r="C90" s="322"/>
      <c r="D90" s="322"/>
      <c r="E90" s="322"/>
      <c r="F90" s="322"/>
    </row>
    <row r="91" spans="1:6">
      <c r="A91" s="1248" t="s">
        <v>67</v>
      </c>
      <c r="B91" s="1249">
        <v>8666.2565831553566</v>
      </c>
      <c r="C91" s="322"/>
      <c r="D91" s="322"/>
      <c r="E91" s="322"/>
      <c r="F91" s="322"/>
    </row>
    <row r="92" spans="1:6">
      <c r="A92" s="1243" t="s">
        <v>68</v>
      </c>
      <c r="B92" s="1244">
        <v>5247.5241971643736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3400</v>
      </c>
      <c r="C97" s="322"/>
      <c r="D97" s="322"/>
      <c r="E97" s="322"/>
      <c r="F97" s="322"/>
    </row>
    <row r="98" spans="1:6">
      <c r="A98" s="1248" t="s">
        <v>71</v>
      </c>
      <c r="B98" s="1249">
        <v>6</v>
      </c>
      <c r="C98" s="322"/>
      <c r="D98" s="322"/>
      <c r="E98" s="322"/>
      <c r="F98" s="322"/>
    </row>
    <row r="99" spans="1:6">
      <c r="A99" s="1248" t="s">
        <v>72</v>
      </c>
      <c r="B99" s="1249">
        <v>67</v>
      </c>
      <c r="C99" s="322"/>
      <c r="D99" s="322"/>
      <c r="E99" s="322"/>
      <c r="F99" s="322"/>
    </row>
    <row r="100" spans="1:6">
      <c r="A100" s="1248" t="s">
        <v>73</v>
      </c>
      <c r="B100" s="1249">
        <v>207</v>
      </c>
      <c r="C100" s="322"/>
      <c r="D100" s="322"/>
      <c r="E100" s="322"/>
      <c r="F100" s="322"/>
    </row>
    <row r="101" spans="1:6">
      <c r="A101" s="1248" t="s">
        <v>74</v>
      </c>
      <c r="B101" s="1249">
        <v>62</v>
      </c>
      <c r="C101" s="322"/>
      <c r="D101" s="322"/>
      <c r="E101" s="322"/>
      <c r="F101" s="322"/>
    </row>
    <row r="102" spans="1:6">
      <c r="A102" s="1248" t="s">
        <v>75</v>
      </c>
      <c r="B102" s="1249">
        <v>166</v>
      </c>
      <c r="C102" s="322"/>
      <c r="D102" s="322"/>
      <c r="E102" s="322"/>
      <c r="F102" s="322"/>
    </row>
    <row r="103" spans="1:6">
      <c r="A103" s="1248" t="s">
        <v>76</v>
      </c>
      <c r="B103" s="1249">
        <v>284</v>
      </c>
      <c r="C103" s="322"/>
      <c r="D103" s="322"/>
      <c r="E103" s="322"/>
      <c r="F103" s="322"/>
    </row>
    <row r="104" spans="1:6">
      <c r="A104" s="1248" t="s">
        <v>77</v>
      </c>
      <c r="B104" s="1249">
        <v>8734</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27</v>
      </c>
      <c r="C123" s="1249">
        <v>30</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461</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35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186779.13740984641</v>
      </c>
      <c r="C3" s="43" t="s">
        <v>163</v>
      </c>
      <c r="D3" s="43"/>
      <c r="E3" s="153"/>
      <c r="F3" s="43"/>
      <c r="G3" s="43"/>
      <c r="H3" s="43"/>
      <c r="I3" s="43"/>
      <c r="J3" s="43"/>
      <c r="K3" s="96"/>
    </row>
    <row r="4" spans="1:11">
      <c r="A4" s="348" t="s">
        <v>164</v>
      </c>
      <c r="B4" s="49">
        <f>IF(ISERROR('SEAP template'!B78+'SEAP template'!C78),0,'SEAP template'!B78+'SEAP template'!C78)</f>
        <v>27693.365782356792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0.18823277597930371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1981.5409999999999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1981.5409999999999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0.18823277597930371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372.99096314680543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47201.315649999997</v>
      </c>
      <c r="C5" s="17">
        <f>IF(ISERROR('Eigen informatie GS &amp; warmtenet'!B57),0,'Eigen informatie GS &amp; warmtenet'!B57)</f>
        <v>0</v>
      </c>
      <c r="D5" s="30">
        <f>(SUM(HH_hh_gas_kWh,HH_rest_gas_kWh)/1000)*0.902</f>
        <v>118410.76853320001</v>
      </c>
      <c r="E5" s="17">
        <f>B32*B41</f>
        <v>4067.6945021618385</v>
      </c>
      <c r="F5" s="17">
        <f>B36*B45</f>
        <v>94285.993827889106</v>
      </c>
      <c r="G5" s="18"/>
      <c r="H5" s="17"/>
      <c r="I5" s="17"/>
      <c r="J5" s="17">
        <f>B35*B44+C35*C44</f>
        <v>484.5469555845242</v>
      </c>
      <c r="K5" s="17"/>
      <c r="L5" s="17"/>
      <c r="M5" s="17"/>
      <c r="N5" s="17">
        <f>B34*B43+C34*C43</f>
        <v>22355.188934879538</v>
      </c>
      <c r="O5" s="17">
        <f>B52*B53*B54</f>
        <v>769.16000000000008</v>
      </c>
      <c r="P5" s="17">
        <f>B60*B61*B62/1000-B60*B61*B62/1000/B63</f>
        <v>1182.1333333333332</v>
      </c>
    </row>
    <row r="6" spans="1:16">
      <c r="A6" s="16" t="s">
        <v>582</v>
      </c>
      <c r="B6" s="716">
        <f>kWh_PV_kleiner_dan_10kW</f>
        <v>8666.2565831553566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55867.572233155355</v>
      </c>
      <c r="C8" s="21">
        <f>C5</f>
        <v>0</v>
      </c>
      <c r="D8" s="21">
        <f>D5</f>
        <v>118410.76853320001</v>
      </c>
      <c r="E8" s="21">
        <f>E5</f>
        <v>4067.6945021618385</v>
      </c>
      <c r="F8" s="21">
        <f>F5</f>
        <v>94285.993827889106</v>
      </c>
      <c r="G8" s="21"/>
      <c r="H8" s="21"/>
      <c r="I8" s="21"/>
      <c r="J8" s="21">
        <f>J5</f>
        <v>484.5469555845242</v>
      </c>
      <c r="K8" s="21"/>
      <c r="L8" s="21">
        <f>L5</f>
        <v>0</v>
      </c>
      <c r="M8" s="21">
        <f>M5</f>
        <v>0</v>
      </c>
      <c r="N8" s="21">
        <f>N5</f>
        <v>22355.188934879538</v>
      </c>
      <c r="O8" s="21">
        <f>O5</f>
        <v>769.16000000000008</v>
      </c>
      <c r="P8" s="21">
        <f>P5</f>
        <v>1182.1333333333332</v>
      </c>
    </row>
    <row r="9" spans="1:16">
      <c r="B9" s="19"/>
      <c r="C9" s="19"/>
      <c r="D9" s="253"/>
      <c r="E9" s="19"/>
      <c r="F9" s="19"/>
      <c r="G9" s="19"/>
      <c r="H9" s="19"/>
      <c r="I9" s="19"/>
      <c r="J9" s="19"/>
      <c r="K9" s="19"/>
      <c r="L9" s="19"/>
      <c r="M9" s="19"/>
      <c r="N9" s="19"/>
      <c r="O9" s="19"/>
      <c r="P9" s="19"/>
    </row>
    <row r="10" spans="1:16">
      <c r="A10" s="24" t="s">
        <v>207</v>
      </c>
      <c r="B10" s="25">
        <f ca="1">'EF ele_warmte'!B12</f>
        <v>0.18823277597930371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10516.108208671101</v>
      </c>
      <c r="C12" s="23">
        <f ca="1">C10*C8</f>
        <v>0</v>
      </c>
      <c r="D12" s="23">
        <f>D8*D10</f>
        <v>23918.975243706405</v>
      </c>
      <c r="E12" s="23">
        <f>E10*E8</f>
        <v>923.36665199073741</v>
      </c>
      <c r="F12" s="23">
        <f>F10*F8</f>
        <v>25174.360352046391</v>
      </c>
      <c r="G12" s="23"/>
      <c r="H12" s="23"/>
      <c r="I12" s="23"/>
      <c r="J12" s="23">
        <f>J10*J8</f>
        <v>171.52962227692154</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15027</v>
      </c>
      <c r="C26" s="36"/>
      <c r="D26" s="224"/>
    </row>
    <row r="27" spans="1:5" s="15" customFormat="1">
      <c r="A27" s="226" t="s">
        <v>736</v>
      </c>
      <c r="B27" s="37">
        <f>SUM(HH_hh_gas_aantal,HH_rest_gas_aantal)</f>
        <v>8568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8139.6</v>
      </c>
      <c r="C31" s="34" t="s">
        <v>104</v>
      </c>
      <c r="D31" s="170"/>
    </row>
    <row r="32" spans="1:5">
      <c r="A32" s="167" t="s">
        <v>72</v>
      </c>
      <c r="B32" s="33">
        <f>IF((B21*($B$26-($B$27-0.05*$B$27)-$B$60))&lt;0,0,B21*($B$26-($B$27-0.05*$B$27)-$B$60))</f>
        <v>75.166990655460822</v>
      </c>
      <c r="C32" s="34" t="s">
        <v>104</v>
      </c>
      <c r="D32" s="170"/>
    </row>
    <row r="33" spans="1:6">
      <c r="A33" s="167" t="s">
        <v>73</v>
      </c>
      <c r="B33" s="33">
        <f>IF((B22*($B$26-($B$27-0.05*$B$27)-$B$60))&lt;0,0,B22*($B$26-($B$27-0.05*$B$27)-$B$60))</f>
        <v>1562.7848586569089</v>
      </c>
      <c r="C33" s="34" t="s">
        <v>104</v>
      </c>
      <c r="D33" s="170"/>
    </row>
    <row r="34" spans="1:6">
      <c r="A34" s="167" t="s">
        <v>74</v>
      </c>
      <c r="B34" s="33">
        <f>IF((B24*($B$26-($B$27-0.05*$B$27)-$B$60))&lt;0,0,B24*($B$26-($B$27-0.05*$B$27)-$B$60))</f>
        <v>609.94957272656234</v>
      </c>
      <c r="C34" s="33">
        <f>B26*C24</f>
        <v>2661.6519466037666</v>
      </c>
      <c r="D34" s="229"/>
    </row>
    <row r="35" spans="1:6">
      <c r="A35" s="167" t="s">
        <v>76</v>
      </c>
      <c r="B35" s="33">
        <f>IF((B19*($B$26-($B$27-0.05*$B$27)-$B$60))&lt;0,0,B19*($B$26-($B$27-0.05*$B$27)-$B$60))</f>
        <v>56.893306618656915</v>
      </c>
      <c r="C35" s="33">
        <f>B35/2</f>
        <v>28.446653309328457</v>
      </c>
      <c r="D35" s="229"/>
    </row>
    <row r="36" spans="1:6">
      <c r="A36" s="167" t="s">
        <v>77</v>
      </c>
      <c r="B36" s="33">
        <f>IF((B18*($B$26-($B$27-0.05*$B$27)-$B$60))&lt;0,0,B18*($B$26-($B$27-0.05*$B$27)-$B$60))</f>
        <v>4520.6052713424106</v>
      </c>
      <c r="C36" s="34" t="s">
        <v>104</v>
      </c>
      <c r="D36" s="170"/>
    </row>
    <row r="37" spans="1:6">
      <c r="A37" s="167" t="s">
        <v>78</v>
      </c>
      <c r="B37" s="33">
        <f>B60</f>
        <v>62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492</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62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52733.304376000007</v>
      </c>
      <c r="C5" s="17">
        <f>IF(ISERROR('Eigen informatie GS &amp; warmtenet'!B58),0,'Eigen informatie GS &amp; warmtenet'!B58)</f>
        <v>0</v>
      </c>
      <c r="D5" s="30">
        <f>SUM(D6:D12)</f>
        <v>52800.668705949996</v>
      </c>
      <c r="E5" s="17">
        <f>SUM(E6:E12)</f>
        <v>881.80984110416716</v>
      </c>
      <c r="F5" s="17">
        <f>SUM(F6:F12)</f>
        <v>11696.446314224684</v>
      </c>
      <c r="G5" s="18"/>
      <c r="H5" s="17"/>
      <c r="I5" s="17"/>
      <c r="J5" s="17">
        <f>SUM(J6:J12)</f>
        <v>0.12780061873497953</v>
      </c>
      <c r="K5" s="17"/>
      <c r="L5" s="17"/>
      <c r="M5" s="17"/>
      <c r="N5" s="17">
        <f>SUM(N6:N12)</f>
        <v>5075.8803486744646</v>
      </c>
      <c r="O5" s="17">
        <f>B38*B39*B40</f>
        <v>0</v>
      </c>
      <c r="P5" s="17">
        <f>B46*B47*B48/1000-B46*B47*B48/1000/B49</f>
        <v>0</v>
      </c>
      <c r="R5" s="32"/>
    </row>
    <row r="6" spans="1:18">
      <c r="A6" s="32" t="s">
        <v>53</v>
      </c>
      <c r="B6" s="37">
        <f>B26</f>
        <v>9405.8318920000002</v>
      </c>
      <c r="C6" s="33"/>
      <c r="D6" s="37">
        <f>IF(ISERROR(TER_kantoor_gas_kWh/1000),0,TER_kantoor_gas_kWh/1000)*0.902</f>
        <v>17573.473340918001</v>
      </c>
      <c r="E6" s="33">
        <f>$C$26*'E Balans VL '!I12/100/3.6*1000000</f>
        <v>-7.7234123037183051E-4</v>
      </c>
      <c r="F6" s="33">
        <f>$C$26*('E Balans VL '!L12+'E Balans VL '!N12)/100/3.6*1000000</f>
        <v>1192.0140605466854</v>
      </c>
      <c r="G6" s="34"/>
      <c r="H6" s="33"/>
      <c r="I6" s="33"/>
      <c r="J6" s="33">
        <f>$C$26*('E Balans VL '!D12+'E Balans VL '!E12)/100/3.6*1000000</f>
        <v>0</v>
      </c>
      <c r="K6" s="33"/>
      <c r="L6" s="33"/>
      <c r="M6" s="33"/>
      <c r="N6" s="33">
        <f>$C$26*'E Balans VL '!Y12/100/3.6*1000000</f>
        <v>11.536809163359091</v>
      </c>
      <c r="O6" s="33"/>
      <c r="P6" s="33"/>
      <c r="R6" s="32"/>
    </row>
    <row r="7" spans="1:18">
      <c r="A7" s="32" t="s">
        <v>52</v>
      </c>
      <c r="B7" s="37">
        <f t="shared" ref="B7:B12" si="0">B27</f>
        <v>8110.5949819999996</v>
      </c>
      <c r="C7" s="33"/>
      <c r="D7" s="37">
        <f>IF(ISERROR(TER_horeca_gas_kWh/1000),0,TER_horeca_gas_kWh/1000)*0.902</f>
        <v>8602.1314909859993</v>
      </c>
      <c r="E7" s="33">
        <f>$C$27*'E Balans VL '!I9/100/3.6*1000000</f>
        <v>93.356920310240668</v>
      </c>
      <c r="F7" s="33">
        <f>$C$27*('E Balans VL '!L9+'E Balans VL '!N9)/100/3.6*1000000</f>
        <v>1045.7301298243026</v>
      </c>
      <c r="G7" s="34"/>
      <c r="H7" s="33"/>
      <c r="I7" s="33"/>
      <c r="J7" s="33">
        <f>$C$27*('E Balans VL '!D9+'E Balans VL '!E9)/100/3.6*1000000</f>
        <v>0</v>
      </c>
      <c r="K7" s="33"/>
      <c r="L7" s="33"/>
      <c r="M7" s="33"/>
      <c r="N7" s="33">
        <f>$C$27*'E Balans VL '!Y9/100/3.6*1000000</f>
        <v>85.605471406875736</v>
      </c>
      <c r="O7" s="33"/>
      <c r="P7" s="33"/>
      <c r="R7" s="32"/>
    </row>
    <row r="8" spans="1:18">
      <c r="A8" s="6" t="s">
        <v>51</v>
      </c>
      <c r="B8" s="37">
        <f t="shared" si="0"/>
        <v>20232.737228999998</v>
      </c>
      <c r="C8" s="33"/>
      <c r="D8" s="37">
        <f>IF(ISERROR(TER_handel_gas_kWh/1000),0,TER_handel_gas_kWh/1000)*0.902</f>
        <v>9988.3405792279991</v>
      </c>
      <c r="E8" s="33">
        <f>$C$28*'E Balans VL '!I13/100/3.6*1000000</f>
        <v>570.85464216762625</v>
      </c>
      <c r="F8" s="33">
        <f>$C$28*('E Balans VL '!L13+'E Balans VL '!N13)/100/3.6*1000000</f>
        <v>2034.9795995942254</v>
      </c>
      <c r="G8" s="34"/>
      <c r="H8" s="33"/>
      <c r="I8" s="33"/>
      <c r="J8" s="33">
        <f>$C$28*('E Balans VL '!D13+'E Balans VL '!E13)/100/3.6*1000000</f>
        <v>0</v>
      </c>
      <c r="K8" s="33"/>
      <c r="L8" s="33"/>
      <c r="M8" s="33"/>
      <c r="N8" s="33">
        <f>$C$28*'E Balans VL '!Y13/100/3.6*1000000</f>
        <v>27.929027449496083</v>
      </c>
      <c r="O8" s="33"/>
      <c r="P8" s="33"/>
      <c r="R8" s="32"/>
    </row>
    <row r="9" spans="1:18">
      <c r="A9" s="32" t="s">
        <v>50</v>
      </c>
      <c r="B9" s="37">
        <f t="shared" si="0"/>
        <v>1395.9739999999999</v>
      </c>
      <c r="C9" s="33"/>
      <c r="D9" s="37">
        <f>IF(ISERROR(TER_gezond_gas_kWh/1000),0,TER_gezond_gas_kWh/1000)*0.902</f>
        <v>3085.8087479999999</v>
      </c>
      <c r="E9" s="33">
        <f>$C$29*'E Balans VL '!I10/100/3.6*1000000</f>
        <v>2.7887262789256719</v>
      </c>
      <c r="F9" s="33">
        <f>$C$29*('E Balans VL '!L10+'E Balans VL '!N10)/100/3.6*1000000</f>
        <v>122.31532427710819</v>
      </c>
      <c r="G9" s="34"/>
      <c r="H9" s="33"/>
      <c r="I9" s="33"/>
      <c r="J9" s="33">
        <f>$C$29*('E Balans VL '!D10+'E Balans VL '!E10)/100/3.6*1000000</f>
        <v>0</v>
      </c>
      <c r="K9" s="33"/>
      <c r="L9" s="33"/>
      <c r="M9" s="33"/>
      <c r="N9" s="33">
        <f>$C$29*'E Balans VL '!Y10/100/3.6*1000000</f>
        <v>21.116113354472343</v>
      </c>
      <c r="O9" s="33"/>
      <c r="P9" s="33"/>
      <c r="R9" s="32"/>
    </row>
    <row r="10" spans="1:18">
      <c r="A10" s="32" t="s">
        <v>49</v>
      </c>
      <c r="B10" s="37">
        <f t="shared" si="0"/>
        <v>11641.438792999999</v>
      </c>
      <c r="C10" s="33"/>
      <c r="D10" s="37">
        <f>IF(ISERROR(TER_ander_gas_kWh/1000),0,TER_ander_gas_kWh/1000)*0.902</f>
        <v>7196.7877995859999</v>
      </c>
      <c r="E10" s="33">
        <f>$C$30*'E Balans VL '!I14/100/3.6*1000000</f>
        <v>163.99978057939694</v>
      </c>
      <c r="F10" s="33">
        <f>$C$30*('E Balans VL '!L14+'E Balans VL '!N14)/100/3.6*1000000</f>
        <v>7061.8460250866001</v>
      </c>
      <c r="G10" s="34"/>
      <c r="H10" s="33"/>
      <c r="I10" s="33"/>
      <c r="J10" s="33">
        <f>$C$30*('E Balans VL '!D14+'E Balans VL '!E14)/100/3.6*1000000</f>
        <v>0.12780061873497953</v>
      </c>
      <c r="K10" s="33"/>
      <c r="L10" s="33"/>
      <c r="M10" s="33"/>
      <c r="N10" s="33">
        <f>$C$30*'E Balans VL '!Y14/100/3.6*1000000</f>
        <v>4923.5282157072434</v>
      </c>
      <c r="O10" s="33"/>
      <c r="P10" s="33"/>
      <c r="R10" s="32"/>
    </row>
    <row r="11" spans="1:18">
      <c r="A11" s="32" t="s">
        <v>54</v>
      </c>
      <c r="B11" s="37">
        <f t="shared" si="0"/>
        <v>1946.72748</v>
      </c>
      <c r="C11" s="33"/>
      <c r="D11" s="37">
        <f>IF(ISERROR(TER_onderwijs_gas_kWh/1000),0,TER_onderwijs_gas_kWh/1000)*0.902</f>
        <v>6354.1267472320005</v>
      </c>
      <c r="E11" s="33">
        <f>$C$31*'E Balans VL '!I11/100/3.6*1000000</f>
        <v>50.81054410920801</v>
      </c>
      <c r="F11" s="33">
        <f>$C$31*('E Balans VL '!L11+'E Balans VL '!N11)/100/3.6*1000000</f>
        <v>239.56117489576184</v>
      </c>
      <c r="G11" s="34"/>
      <c r="H11" s="33"/>
      <c r="I11" s="33"/>
      <c r="J11" s="33">
        <f>$C$31*('E Balans VL '!D11+'E Balans VL '!E11)/100/3.6*1000000</f>
        <v>0</v>
      </c>
      <c r="K11" s="33"/>
      <c r="L11" s="33"/>
      <c r="M11" s="33"/>
      <c r="N11" s="33">
        <f>$C$31*'E Balans VL '!Y11/100/3.6*1000000</f>
        <v>6.1647115930178451</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52733.304376000007</v>
      </c>
      <c r="C16" s="21">
        <f t="shared" ca="1" si="1"/>
        <v>0</v>
      </c>
      <c r="D16" s="21">
        <f t="shared" ca="1" si="1"/>
        <v>52800.668705949996</v>
      </c>
      <c r="E16" s="21">
        <f t="shared" si="1"/>
        <v>881.80984110416716</v>
      </c>
      <c r="F16" s="21">
        <f t="shared" ca="1" si="1"/>
        <v>11696.446314224684</v>
      </c>
      <c r="G16" s="21">
        <f t="shared" si="1"/>
        <v>0</v>
      </c>
      <c r="H16" s="21">
        <f t="shared" si="1"/>
        <v>0</v>
      </c>
      <c r="I16" s="21">
        <f t="shared" si="1"/>
        <v>0</v>
      </c>
      <c r="J16" s="21">
        <f t="shared" si="1"/>
        <v>0.12780061873497953</v>
      </c>
      <c r="K16" s="21">
        <f t="shared" si="1"/>
        <v>0</v>
      </c>
      <c r="L16" s="21">
        <f t="shared" ca="1" si="1"/>
        <v>0</v>
      </c>
      <c r="M16" s="21">
        <f t="shared" si="1"/>
        <v>0</v>
      </c>
      <c r="N16" s="21">
        <f t="shared" ca="1" si="1"/>
        <v>5075.8803486744646</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0.18823277597930371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9926.1362692560451</v>
      </c>
      <c r="C20" s="23">
        <f t="shared" ref="C20:P20" ca="1" si="2">C16*C18</f>
        <v>0</v>
      </c>
      <c r="D20" s="23">
        <f t="shared" ca="1" si="2"/>
        <v>10665.7350786019</v>
      </c>
      <c r="E20" s="23">
        <f t="shared" si="2"/>
        <v>200.17083393064595</v>
      </c>
      <c r="F20" s="23">
        <f t="shared" ca="1" si="2"/>
        <v>3122.9511658979909</v>
      </c>
      <c r="G20" s="23">
        <f t="shared" si="2"/>
        <v>0</v>
      </c>
      <c r="H20" s="23">
        <f t="shared" si="2"/>
        <v>0</v>
      </c>
      <c r="I20" s="23">
        <f t="shared" si="2"/>
        <v>0</v>
      </c>
      <c r="J20" s="23">
        <f t="shared" si="2"/>
        <v>4.5241419032182748E-2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9405.8318920000002</v>
      </c>
      <c r="C26" s="39">
        <f>IF(ISERROR(B26*3.6/1000000/'E Balans VL '!Z12*100),0,B26*3.6/1000000/'E Balans VL '!Z12*100)</f>
        <v>0.25500018594692619</v>
      </c>
      <c r="D26" s="232" t="s">
        <v>700</v>
      </c>
      <c r="F26" s="6"/>
    </row>
    <row r="27" spans="1:18">
      <c r="A27" s="227" t="s">
        <v>52</v>
      </c>
      <c r="B27" s="33">
        <f>IF(ISERROR(TER_horeca_ele_kWh/1000),0,TER_horeca_ele_kWh/1000)</f>
        <v>8110.5949819999996</v>
      </c>
      <c r="C27" s="39">
        <f>IF(ISERROR(B27*3.6/1000000/'E Balans VL '!Z9*100),0,B27*3.6/1000000/'E Balans VL '!Z9*100)</f>
        <v>0.62736302971316937</v>
      </c>
      <c r="D27" s="232" t="s">
        <v>700</v>
      </c>
      <c r="F27" s="6"/>
    </row>
    <row r="28" spans="1:18">
      <c r="A28" s="167" t="s">
        <v>51</v>
      </c>
      <c r="B28" s="33">
        <f>IF(ISERROR(TER_handel_ele_kWh/1000),0,TER_handel_ele_kWh/1000)</f>
        <v>20232.737228999998</v>
      </c>
      <c r="C28" s="39">
        <f>IF(ISERROR(B28*3.6/1000000/'E Balans VL '!Z13*100),0,B28*3.6/1000000/'E Balans VL '!Z13*100)</f>
        <v>0.58518308871956826</v>
      </c>
      <c r="D28" s="232" t="s">
        <v>700</v>
      </c>
      <c r="F28" s="6"/>
    </row>
    <row r="29" spans="1:18">
      <c r="A29" s="227" t="s">
        <v>50</v>
      </c>
      <c r="B29" s="33">
        <f>IF(ISERROR(TER_gezond_ele_kWh/1000),0,TER_gezond_ele_kWh/1000)</f>
        <v>1395.9739999999999</v>
      </c>
      <c r="C29" s="39">
        <f>IF(ISERROR(B29*3.6/1000000/'E Balans VL '!Z10*100),0,B29*3.6/1000000/'E Balans VL '!Z10*100)</f>
        <v>0.14377163170307014</v>
      </c>
      <c r="D29" s="232" t="s">
        <v>700</v>
      </c>
      <c r="F29" s="6"/>
    </row>
    <row r="30" spans="1:18">
      <c r="A30" s="227" t="s">
        <v>49</v>
      </c>
      <c r="B30" s="33">
        <f>IF(ISERROR(TER_ander_ele_kWh/1000),0,TER_ander_ele_kWh/1000)</f>
        <v>11641.438792999999</v>
      </c>
      <c r="C30" s="39">
        <f>IF(ISERROR(B30*3.6/1000000/'E Balans VL '!Z14*100),0,B30*3.6/1000000/'E Balans VL '!Z14*100)</f>
        <v>0.52341550335145193</v>
      </c>
      <c r="D30" s="232" t="s">
        <v>700</v>
      </c>
      <c r="F30" s="6"/>
    </row>
    <row r="31" spans="1:18">
      <c r="A31" s="227" t="s">
        <v>54</v>
      </c>
      <c r="B31" s="33">
        <f>IF(ISERROR(TER_onderwijs_ele_kWh/1000),0,TER_onderwijs_ele_kWh/1000)</f>
        <v>1946.72748</v>
      </c>
      <c r="C31" s="39">
        <f>IF(ISERROR(B31*3.6/1000000/'E Balans VL '!Z11*100),0,B31*3.6/1000000/'E Balans VL '!Z11*100)</f>
        <v>0.54404594907449133</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72206.809169</v>
      </c>
      <c r="C5" s="17">
        <f>IF(ISERROR('Eigen informatie GS &amp; warmtenet'!B59),0,'Eigen informatie GS &amp; warmtenet'!B59)</f>
        <v>0</v>
      </c>
      <c r="D5" s="30">
        <f>SUM(D6:D15)</f>
        <v>40880.138214784005</v>
      </c>
      <c r="E5" s="17">
        <f>SUM(E6:E15)</f>
        <v>4301.2509495536506</v>
      </c>
      <c r="F5" s="17">
        <f>SUM(F6:F15)</f>
        <v>9191.3812931541815</v>
      </c>
      <c r="G5" s="18"/>
      <c r="H5" s="17"/>
      <c r="I5" s="17"/>
      <c r="J5" s="17">
        <f>SUM(J6:J15)</f>
        <v>20.481337739741885</v>
      </c>
      <c r="K5" s="17"/>
      <c r="L5" s="17"/>
      <c r="M5" s="17"/>
      <c r="N5" s="17">
        <f>SUM(N6:N15)</f>
        <v>3889.5961807292801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3514.0650000000001</v>
      </c>
      <c r="C8" s="33"/>
      <c r="D8" s="37">
        <f>IF( ISERROR(IND_metaal_Gas_kWH/1000),0,IND_metaal_Gas_kWH/1000)*0.902</f>
        <v>3080.4445801580005</v>
      </c>
      <c r="E8" s="33">
        <f>C30*'E Balans VL '!I18/100/3.6*1000000</f>
        <v>31.891216526160971</v>
      </c>
      <c r="F8" s="33">
        <f>C30*'E Balans VL '!L18/100/3.6*1000000+C30*'E Balans VL '!N18/100/3.6*1000000</f>
        <v>323.44186489403791</v>
      </c>
      <c r="G8" s="34"/>
      <c r="H8" s="33"/>
      <c r="I8" s="33"/>
      <c r="J8" s="40">
        <f>C30*'E Balans VL '!D18/100/3.6*1000000+C30*'E Balans VL '!E18/100/3.6*1000000</f>
        <v>0</v>
      </c>
      <c r="K8" s="33"/>
      <c r="L8" s="33"/>
      <c r="M8" s="33"/>
      <c r="N8" s="33">
        <f>C30*'E Balans VL '!Y18/100/3.6*1000000</f>
        <v>51.302581719156727</v>
      </c>
      <c r="O8" s="33"/>
      <c r="P8" s="33"/>
      <c r="R8" s="32"/>
    </row>
    <row r="9" spans="1:18">
      <c r="A9" s="6" t="s">
        <v>32</v>
      </c>
      <c r="B9" s="37">
        <f t="shared" si="0"/>
        <v>5036.3530580000006</v>
      </c>
      <c r="C9" s="33"/>
      <c r="D9" s="37">
        <f>IF( ISERROR(IND_andere_gas_kWh/1000),0,IND_andere_gas_kWh/1000)*0.902</f>
        <v>6039.2196548420006</v>
      </c>
      <c r="E9" s="33">
        <f>C31*'E Balans VL '!I19/100/3.6*1000000</f>
        <v>29.232131345700658</v>
      </c>
      <c r="F9" s="33">
        <f>C31*'E Balans VL '!L19/100/3.6*1000000+C31*'E Balans VL '!N19/100/3.6*1000000</f>
        <v>3321.4182898274316</v>
      </c>
      <c r="G9" s="34"/>
      <c r="H9" s="33"/>
      <c r="I9" s="33"/>
      <c r="J9" s="40">
        <f>C31*'E Balans VL '!D19/100/3.6*1000000+C31*'E Balans VL '!E19/100/3.6*1000000</f>
        <v>0</v>
      </c>
      <c r="K9" s="33"/>
      <c r="L9" s="33"/>
      <c r="M9" s="33"/>
      <c r="N9" s="33">
        <f>C31*'E Balans VL '!Y19/100/3.6*1000000</f>
        <v>233.23788800965528</v>
      </c>
      <c r="O9" s="33"/>
      <c r="P9" s="33"/>
      <c r="R9" s="32"/>
    </row>
    <row r="10" spans="1:18">
      <c r="A10" s="6" t="s">
        <v>40</v>
      </c>
      <c r="B10" s="37">
        <f t="shared" si="0"/>
        <v>30498.939839999999</v>
      </c>
      <c r="C10" s="33"/>
      <c r="D10" s="37">
        <f>IF( ISERROR(IND_voed_gas_kWh/1000),0,IND_voed_gas_kWh/1000)*0.902</f>
        <v>28390.070238156</v>
      </c>
      <c r="E10" s="33">
        <f>C32*'E Balans VL '!I20/100/3.6*1000000</f>
        <v>64.63436761665038</v>
      </c>
      <c r="F10" s="33">
        <f>C32*'E Balans VL '!L20/100/3.6*1000000+C32*'E Balans VL '!N20/100/3.6*1000000</f>
        <v>1938.3336129705569</v>
      </c>
      <c r="G10" s="34"/>
      <c r="H10" s="33"/>
      <c r="I10" s="33"/>
      <c r="J10" s="40">
        <f>C32*'E Balans VL '!D20/100/3.6*1000000+C32*'E Balans VL '!E20/100/3.6*1000000</f>
        <v>0</v>
      </c>
      <c r="K10" s="33"/>
      <c r="L10" s="33"/>
      <c r="M10" s="33"/>
      <c r="N10" s="33">
        <f>C32*'E Balans VL '!Y20/100/3.6*1000000</f>
        <v>884.13048572154253</v>
      </c>
      <c r="O10" s="33"/>
      <c r="P10" s="33"/>
      <c r="R10" s="32"/>
    </row>
    <row r="11" spans="1:18">
      <c r="A11" s="6" t="s">
        <v>39</v>
      </c>
      <c r="B11" s="37">
        <f t="shared" si="0"/>
        <v>141.19200000000001</v>
      </c>
      <c r="C11" s="33"/>
      <c r="D11" s="37">
        <f>IF( ISERROR(IND_textiel_gas_kWh/1000),0,IND_textiel_gas_kWh/1000)*0.902</f>
        <v>0</v>
      </c>
      <c r="E11" s="33">
        <f>C33*'E Balans VL '!I21/100/3.6*1000000</f>
        <v>0.44198906764630558</v>
      </c>
      <c r="F11" s="33">
        <f>C33*'E Balans VL '!L21/100/3.6*1000000+C33*'E Balans VL '!N21/100/3.6*1000000</f>
        <v>14.432147639004057</v>
      </c>
      <c r="G11" s="34"/>
      <c r="H11" s="33"/>
      <c r="I11" s="33"/>
      <c r="J11" s="40">
        <f>C33*'E Balans VL '!D21/100/3.6*1000000+C33*'E Balans VL '!E21/100/3.6*1000000</f>
        <v>0</v>
      </c>
      <c r="K11" s="33"/>
      <c r="L11" s="33"/>
      <c r="M11" s="33"/>
      <c r="N11" s="33">
        <f>C33*'E Balans VL '!Y21/100/3.6*1000000</f>
        <v>1.9493227667956168E-2</v>
      </c>
      <c r="O11" s="33"/>
      <c r="P11" s="33"/>
      <c r="R11" s="32"/>
    </row>
    <row r="12" spans="1:18">
      <c r="A12" s="6" t="s">
        <v>36</v>
      </c>
      <c r="B12" s="37">
        <f t="shared" si="0"/>
        <v>11952.488167</v>
      </c>
      <c r="C12" s="33"/>
      <c r="D12" s="37">
        <f>IF( ISERROR(IND_min_gas_kWh/1000),0,IND_min_gas_kWh/1000)*0.902</f>
        <v>2583.4358016280003</v>
      </c>
      <c r="E12" s="33">
        <f>C34*'E Balans VL '!I22/100/3.6*1000000</f>
        <v>291.31814508425157</v>
      </c>
      <c r="F12" s="33">
        <f>C34*'E Balans VL '!L22/100/3.6*1000000+C34*'E Balans VL '!N22/100/3.6*1000000</f>
        <v>3371.6862453751924</v>
      </c>
      <c r="G12" s="34"/>
      <c r="H12" s="33"/>
      <c r="I12" s="33"/>
      <c r="J12" s="40">
        <f>C34*'E Balans VL '!D22/100/3.6*1000000+C34*'E Balans VL '!E22/100/3.6*1000000</f>
        <v>20.434704619506011</v>
      </c>
      <c r="K12" s="33"/>
      <c r="L12" s="33"/>
      <c r="M12" s="33"/>
      <c r="N12" s="33">
        <f>C34*'E Balans VL '!Y22/100/3.6*1000000</f>
        <v>2722.2594704858307</v>
      </c>
      <c r="O12" s="33"/>
      <c r="P12" s="33"/>
      <c r="R12" s="32"/>
    </row>
    <row r="13" spans="1:18">
      <c r="A13" s="6" t="s">
        <v>38</v>
      </c>
      <c r="B13" s="37">
        <f t="shared" si="0"/>
        <v>289.81799999999998</v>
      </c>
      <c r="C13" s="33"/>
      <c r="D13" s="37">
        <f>IF( ISERROR(IND_papier_gas_kWh/1000),0,IND_papier_gas_kWh/1000)*0.902</f>
        <v>0</v>
      </c>
      <c r="E13" s="33">
        <f>C35*'E Balans VL '!I23/100/3.6*1000000</f>
        <v>0.42778995387045637</v>
      </c>
      <c r="F13" s="33">
        <f>C35*'E Balans VL '!L23/100/3.6*1000000+C35*'E Balans VL '!N23/100/3.6*1000000</f>
        <v>7.5054112685485714</v>
      </c>
      <c r="G13" s="34"/>
      <c r="H13" s="33"/>
      <c r="I13" s="33"/>
      <c r="J13" s="40">
        <f>C35*'E Balans VL '!D23/100/3.6*1000000+C35*'E Balans VL '!E23/100/3.6*1000000</f>
        <v>4.6633120235873703E-2</v>
      </c>
      <c r="K13" s="33"/>
      <c r="L13" s="33"/>
      <c r="M13" s="33"/>
      <c r="N13" s="33">
        <f>C35*'E Balans VL '!Y23/100/3.6*1000000</f>
        <v>-13.162654878946299</v>
      </c>
      <c r="O13" s="33"/>
      <c r="P13" s="33"/>
      <c r="R13" s="32"/>
    </row>
    <row r="14" spans="1:18">
      <c r="A14" s="6" t="s">
        <v>33</v>
      </c>
      <c r="B14" s="37">
        <f t="shared" si="0"/>
        <v>20773.953104</v>
      </c>
      <c r="C14" s="33"/>
      <c r="D14" s="37">
        <f>IF( ISERROR(IND_chemie_gas_kWh/1000),0,IND_chemie_gas_kWh/1000)*0.902</f>
        <v>0</v>
      </c>
      <c r="E14" s="33">
        <f>C36*'E Balans VL '!I24/100/3.6*1000000</f>
        <v>3883.3053099593699</v>
      </c>
      <c r="F14" s="33">
        <f>C36*'E Balans VL '!L24/100/3.6*1000000+C36*'E Balans VL '!N24/100/3.6*1000000</f>
        <v>214.56372117941027</v>
      </c>
      <c r="G14" s="34"/>
      <c r="H14" s="33"/>
      <c r="I14" s="33"/>
      <c r="J14" s="40">
        <f>C36*'E Balans VL '!D24/100/3.6*1000000+C36*'E Balans VL '!E24/100/3.6*1000000</f>
        <v>0</v>
      </c>
      <c r="K14" s="33"/>
      <c r="L14" s="33"/>
      <c r="M14" s="33"/>
      <c r="N14" s="33">
        <f>C36*'E Balans VL '!Y24/100/3.6*1000000</f>
        <v>11.808916444373208</v>
      </c>
      <c r="O14" s="33"/>
      <c r="P14" s="33"/>
      <c r="R14" s="32"/>
    </row>
    <row r="15" spans="1:18">
      <c r="A15" s="6" t="s">
        <v>258</v>
      </c>
      <c r="B15" s="37">
        <f t="shared" si="0"/>
        <v>0</v>
      </c>
      <c r="C15" s="33"/>
      <c r="D15" s="37">
        <f>IF( ISERROR(IND_rest_gas_kWh/1000),0,IND_rest_gas_kWh/1000)*0.902</f>
        <v>786.96794</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72206.809169</v>
      </c>
      <c r="C18" s="21">
        <f>C5+C16</f>
        <v>0</v>
      </c>
      <c r="D18" s="21">
        <f>MAX((D5+D16),0)</f>
        <v>40880.138214784005</v>
      </c>
      <c r="E18" s="21">
        <f>MAX((E5+E16),0)</f>
        <v>4301.2509495536506</v>
      </c>
      <c r="F18" s="21">
        <f>MAX((F5+F16),0)</f>
        <v>9191.3812931541815</v>
      </c>
      <c r="G18" s="21"/>
      <c r="H18" s="21"/>
      <c r="I18" s="21"/>
      <c r="J18" s="21">
        <f>MAX((J5+J16),0)</f>
        <v>20.481337739741885</v>
      </c>
      <c r="K18" s="21"/>
      <c r="L18" s="21">
        <f>MAX((L5+L16),0)</f>
        <v>0</v>
      </c>
      <c r="M18" s="21"/>
      <c r="N18" s="21">
        <f>MAX((N5+N16),0)</f>
        <v>3889.5961807292801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0.18823277597930371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13591.68813448871</v>
      </c>
      <c r="C22" s="23">
        <f ca="1">C18*C20</f>
        <v>0</v>
      </c>
      <c r="D22" s="23">
        <f>D18*D20</f>
        <v>8257.78791938637</v>
      </c>
      <c r="E22" s="23">
        <f>E18*E20</f>
        <v>976.3839655486787</v>
      </c>
      <c r="F22" s="23">
        <f>F18*F20</f>
        <v>2454.0988052721668</v>
      </c>
      <c r="G22" s="23"/>
      <c r="H22" s="23"/>
      <c r="I22" s="23"/>
      <c r="J22" s="23">
        <f>J18*J20</f>
        <v>7.2503935598686269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3514.0650000000001</v>
      </c>
      <c r="C30" s="39">
        <f>IF(ISERROR(B30*3.6/1000000/'E Balans VL '!Z18*100),0,B30*3.6/1000000/'E Balans VL '!Z18*100)</f>
        <v>0.2037933453741704</v>
      </c>
      <c r="D30" s="232" t="s">
        <v>700</v>
      </c>
    </row>
    <row r="31" spans="1:18">
      <c r="A31" s="6" t="s">
        <v>32</v>
      </c>
      <c r="B31" s="37">
        <f>IF( ISERROR(IND_ander_ele_kWh/1000),0,IND_ander_ele_kWh/1000)</f>
        <v>5036.3530580000006</v>
      </c>
      <c r="C31" s="39">
        <f>IF(ISERROR(B31*3.6/1000000/'E Balans VL '!Z19*100),0,B31*3.6/1000000/'E Balans VL '!Z19*100)</f>
        <v>0.2103370559150777</v>
      </c>
      <c r="D31" s="232" t="s">
        <v>700</v>
      </c>
    </row>
    <row r="32" spans="1:18">
      <c r="A32" s="167" t="s">
        <v>40</v>
      </c>
      <c r="B32" s="37">
        <f>IF( ISERROR(IND_voed_ele_kWh/1000),0,IND_voed_ele_kWh/1000)</f>
        <v>30498.939839999999</v>
      </c>
      <c r="C32" s="39">
        <f>IF(ISERROR(B32*3.6/1000000/'E Balans VL '!Z20*100),0,B32*3.6/1000000/'E Balans VL '!Z20*100)</f>
        <v>0.9459569446292776</v>
      </c>
      <c r="D32" s="232" t="s">
        <v>700</v>
      </c>
    </row>
    <row r="33" spans="1:5">
      <c r="A33" s="167" t="s">
        <v>39</v>
      </c>
      <c r="B33" s="37">
        <f>IF( ISERROR(IND_textiel_ele_kWh/1000),0,IND_textiel_ele_kWh/1000)</f>
        <v>141.19200000000001</v>
      </c>
      <c r="C33" s="39">
        <f>IF(ISERROR(B33*3.6/1000000/'E Balans VL '!Z21*100),0,B33*3.6/1000000/'E Balans VL '!Z21*100)</f>
        <v>1.9569330620368711E-2</v>
      </c>
      <c r="D33" s="232" t="s">
        <v>700</v>
      </c>
    </row>
    <row r="34" spans="1:5">
      <c r="A34" s="167" t="s">
        <v>36</v>
      </c>
      <c r="B34" s="37">
        <f>IF( ISERROR(IND_min_ele_kWh/1000),0,IND_min_ele_kWh/1000)</f>
        <v>11952.488167</v>
      </c>
      <c r="C34" s="39">
        <f>IF(ISERROR(B34*3.6/1000000/'E Balans VL '!Z22*100),0,B34*3.6/1000000/'E Balans VL '!Z22*100)</f>
        <v>2.2366961578054712</v>
      </c>
      <c r="D34" s="232" t="s">
        <v>700</v>
      </c>
    </row>
    <row r="35" spans="1:5">
      <c r="A35" s="167" t="s">
        <v>38</v>
      </c>
      <c r="B35" s="37">
        <f>IF( ISERROR(IND_papier_ele_kWh/1000),0,IND_papier_ele_kWh/1000)</f>
        <v>289.81799999999998</v>
      </c>
      <c r="C35" s="39">
        <f>IF(ISERROR(B35*3.6/1000000/'E Balans VL '!Z22*100),0,B35*3.6/1000000/'E Balans VL '!Z22*100)</f>
        <v>5.4234298165012858E-2</v>
      </c>
      <c r="D35" s="232" t="s">
        <v>700</v>
      </c>
    </row>
    <row r="36" spans="1:5">
      <c r="A36" s="167" t="s">
        <v>33</v>
      </c>
      <c r="B36" s="37">
        <f>IF( ISERROR(IND_chemie_ele_kWh/1000),0,IND_chemie_ele_kWh/1000)</f>
        <v>20773.953104</v>
      </c>
      <c r="C36" s="39">
        <f>IF(ISERROR(B36*3.6/1000000/'E Balans VL '!Z24*100),0,B36*3.6/1000000/'E Balans VL '!Z24*100)</f>
        <v>0.6071422336438661</v>
      </c>
      <c r="D36" s="232" t="s">
        <v>700</v>
      </c>
    </row>
    <row r="37" spans="1:5">
      <c r="A37" s="167" t="s">
        <v>258</v>
      </c>
      <c r="B37" s="37">
        <f>IF( ISERROR(IND_rest_ele_kWh/1000),0,IND_rest_ele_kWh/1000)</f>
        <v>0</v>
      </c>
      <c r="C37" s="39">
        <f>IF(ISERROR(B37*3.6/1000000/'E Balans VL '!Z15*100),0,B37*3.6/1000000/'E Balans VL '!Z15*100)</f>
        <v>0</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535.67700000000002</v>
      </c>
      <c r="C5" s="17">
        <f>'Eigen informatie GS &amp; warmtenet'!B60</f>
        <v>0</v>
      </c>
      <c r="D5" s="30">
        <f>IF(ISERROR(SUM(LB_lb_gas_kWh,LB_rest_gas_kWh)/1000),0,SUM(LB_lb_gas_kWh,LB_rest_gas_kWh)/1000)*0.902</f>
        <v>373.68146200000001</v>
      </c>
      <c r="E5" s="17">
        <f>B17*'E Balans VL '!I25/3.6*1000000/100</f>
        <v>17.38447956194922</v>
      </c>
      <c r="F5" s="17">
        <f>B17*('E Balans VL '!L25/3.6*1000000+'E Balans VL '!N25/3.6*1000000)/100</f>
        <v>1976.2163994850171</v>
      </c>
      <c r="G5" s="18"/>
      <c r="H5" s="17"/>
      <c r="I5" s="17"/>
      <c r="J5" s="17">
        <f>('E Balans VL '!D25+'E Balans VL '!E25)/3.6*1000000*landbouw!B17/100</f>
        <v>140.87751280991998</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535.67700000000002</v>
      </c>
      <c r="C8" s="21">
        <f>C5+C6</f>
        <v>0</v>
      </c>
      <c r="D8" s="21">
        <f>MAX((D5+D6),0)</f>
        <v>373.68146200000001</v>
      </c>
      <c r="E8" s="21">
        <f>MAX((E5+E6),0)</f>
        <v>17.38447956194922</v>
      </c>
      <c r="F8" s="21">
        <f>MAX((F5+F6),0)</f>
        <v>1976.2163994850171</v>
      </c>
      <c r="G8" s="21"/>
      <c r="H8" s="21"/>
      <c r="I8" s="21"/>
      <c r="J8" s="21">
        <f>MAX((J5+J6),0)</f>
        <v>140.87751280991998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0.18823277597930371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100.83196873826547</v>
      </c>
      <c r="C12" s="23">
        <f ca="1">C8*C10</f>
        <v>0</v>
      </c>
      <c r="D12" s="23">
        <f>D8*D10</f>
        <v>75.483655324000011</v>
      </c>
      <c r="E12" s="23">
        <f>E8*E10</f>
        <v>3.946276860562473</v>
      </c>
      <c r="F12" s="23">
        <f>F8*F10</f>
        <v>527.64977866249956</v>
      </c>
      <c r="G12" s="23"/>
      <c r="H12" s="23"/>
      <c r="I12" s="23"/>
      <c r="J12" s="23">
        <f>J8*J10</f>
        <v>49.870639534711671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7.6014246935333346E-2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103.74781252599028</v>
      </c>
      <c r="C26" s="242">
        <f>B26*'GWP N2O_CH4'!B5</f>
        <v>2178.7040630457959</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32.655725909700173</v>
      </c>
      <c r="C27" s="242">
        <f>B27*'GWP N2O_CH4'!B5</f>
        <v>685.77024410370359</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1.4017719364072914</v>
      </c>
      <c r="C28" s="242">
        <f>B28*'GWP N2O_CH4'!B4</f>
        <v>434.54930028626035</v>
      </c>
      <c r="D28" s="50"/>
    </row>
    <row r="29" spans="1:4">
      <c r="A29" s="41" t="s">
        <v>265</v>
      </c>
      <c r="B29" s="242">
        <f>B34*'ha_N2O bodem landbouw'!B4</f>
        <v>12.81260906541071</v>
      </c>
      <c r="C29" s="242">
        <f>B29*'GWP N2O_CH4'!B4</f>
        <v>3971.9088102773198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2.9237932345115925E-3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6.6679835009861039E-4</v>
      </c>
      <c r="C5" s="427" t="s">
        <v>204</v>
      </c>
      <c r="D5" s="412">
        <f>SUM(D6:D11)</f>
        <v>1.0433511980027981E-3</v>
      </c>
      <c r="E5" s="412">
        <f>SUM(E6:E11)</f>
        <v>2.0041213108471781E-3</v>
      </c>
      <c r="F5" s="425" t="s">
        <v>204</v>
      </c>
      <c r="G5" s="412">
        <f>SUM(G6:G11)</f>
        <v>0.92716545115477367</v>
      </c>
      <c r="H5" s="412">
        <f>SUM(H6:H11)</f>
        <v>0.18420271099382721</v>
      </c>
      <c r="I5" s="427" t="s">
        <v>204</v>
      </c>
      <c r="J5" s="427" t="s">
        <v>204</v>
      </c>
      <c r="K5" s="427" t="s">
        <v>204</v>
      </c>
      <c r="L5" s="427" t="s">
        <v>204</v>
      </c>
      <c r="M5" s="412">
        <f>SUM(M6:M11)</f>
        <v>5.9593004393498829E-2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1.4407961513863174E-4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2.4344578191369599E-4</v>
      </c>
      <c r="E6" s="818">
        <f>vkm_GW_PW*SUMIFS(TableVerdeelsleutelVkm[LPG],TableVerdeelsleutelVkm[Voertuigtype],"Lichte voertuigen")*SUMIFS(TableECFTransport[EnergieConsumptieFactor (PJ per km)],TableECFTransport[Index],CONCATENATE($A6,"_LPG_LPG"))</f>
        <v>4.2318193435477688E-4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0.12817058471683312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4.2208924898546357E-2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8.7310915086891774E-3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1.0775123644587603E-6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3.4609956574259561E-2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6.9050035035849917E-7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2.0221092405144454E-3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1.2642852188352589E-4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2.7350093771957076E-4</v>
      </c>
      <c r="E8" s="415">
        <f>vkm_NGW_PW*SUMIFS(TableVerdeelsleutelVkm[LPG],TableVerdeelsleutelVkm[Voertuigtype],"Lichte voertuigen")*SUMIFS(TableECFTransport[EnergieConsumptieFactor (PJ per km)],TableECFTransport[Index],CONCATENATE($A8,"_LPG_LPG"))</f>
        <v>4.5387167889139395E-4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0.12838182978897056</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4.632552520748788E-2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8.8646346363373072E-3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5.3910767659125915E-8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2.2217918762379744E-3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4.1699764577212839E-8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1.2980955919145341E-4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3.8452993299704463E-4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5.2640447836953133E-4</v>
      </c>
      <c r="E10" s="415">
        <f>vkm_SW_PW*SUMIFS(TableVerdeelsleutelVkm[LPG],TableVerdeelsleutelVkm[Voertuigtype],"Lichte voertuigen")*SUMIFS(TableECFTransport[EnergieConsumptieFactor (PJ per km)],TableECFTransport[Index],CONCATENATE($A10,"_LPG_LPG"))</f>
        <v>1.1270676976010074E-3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0.30860204435739885</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9.5660518031926614E-2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2.0846535068656032E-2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1.0628856947290186E-5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0.32517924384107355</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7.0106557514277319E-6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1.8998824380110406E-2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185.22176391628065</v>
      </c>
      <c r="C14" s="21"/>
      <c r="D14" s="21">
        <f t="shared" ref="D14:M14" si="0">((D5)*10^9/3600)+D12</f>
        <v>289.81977722299945</v>
      </c>
      <c r="E14" s="21">
        <f t="shared" si="0"/>
        <v>556.70036412421609</v>
      </c>
      <c r="F14" s="21"/>
      <c r="G14" s="21">
        <f t="shared" si="0"/>
        <v>257545.9586541038</v>
      </c>
      <c r="H14" s="21">
        <f t="shared" si="0"/>
        <v>51167.419720507554</v>
      </c>
      <c r="I14" s="21"/>
      <c r="J14" s="21"/>
      <c r="K14" s="21"/>
      <c r="L14" s="21"/>
      <c r="M14" s="21">
        <f t="shared" si="0"/>
        <v>16553.612331527453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0.18823277597930371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34.864806793744734</v>
      </c>
      <c r="C18" s="23"/>
      <c r="D18" s="23">
        <f t="shared" ref="D18:M18" si="1">D14*D16</f>
        <v>58.543594999045894</v>
      </c>
      <c r="E18" s="23">
        <f t="shared" si="1"/>
        <v>126.37098265619706</v>
      </c>
      <c r="F18" s="23"/>
      <c r="G18" s="23">
        <f t="shared" si="1"/>
        <v>68764.770960645721</v>
      </c>
      <c r="H18" s="23">
        <f t="shared" si="1"/>
        <v>12740.68751040638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1.7747333558922184E-4</v>
      </c>
      <c r="C50" s="311">
        <f t="shared" ref="C50:P50" si="2">SUM(C51:C52)</f>
        <v>0</v>
      </c>
      <c r="D50" s="311">
        <f t="shared" si="2"/>
        <v>0</v>
      </c>
      <c r="E50" s="311">
        <f t="shared" si="2"/>
        <v>0</v>
      </c>
      <c r="F50" s="311">
        <f t="shared" si="2"/>
        <v>0</v>
      </c>
      <c r="G50" s="311">
        <f t="shared" si="2"/>
        <v>1.6671858604943336E-2</v>
      </c>
      <c r="H50" s="311">
        <f t="shared" si="2"/>
        <v>0</v>
      </c>
      <c r="I50" s="311">
        <f t="shared" si="2"/>
        <v>0</v>
      </c>
      <c r="J50" s="311">
        <f t="shared" si="2"/>
        <v>0</v>
      </c>
      <c r="K50" s="311">
        <f t="shared" si="2"/>
        <v>0</v>
      </c>
      <c r="L50" s="311">
        <f t="shared" si="2"/>
        <v>0</v>
      </c>
      <c r="M50" s="311">
        <f t="shared" si="2"/>
        <v>9.6008228006092293E-4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1.7747333558922184E-4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1.6671858604943336E-2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9.6008228006092293E-4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49.298148774783847</v>
      </c>
      <c r="C54" s="21">
        <f t="shared" ref="C54:P54" si="3">(C50)*10^9/3600</f>
        <v>0</v>
      </c>
      <c r="D54" s="21">
        <f t="shared" si="3"/>
        <v>0</v>
      </c>
      <c r="E54" s="21">
        <f t="shared" si="3"/>
        <v>0</v>
      </c>
      <c r="F54" s="21">
        <f t="shared" si="3"/>
        <v>0</v>
      </c>
      <c r="G54" s="21">
        <f t="shared" si="3"/>
        <v>4631.0718347064822</v>
      </c>
      <c r="H54" s="21">
        <f t="shared" si="3"/>
        <v>0</v>
      </c>
      <c r="I54" s="21">
        <f t="shared" si="3"/>
        <v>0</v>
      </c>
      <c r="J54" s="21">
        <f t="shared" si="3"/>
        <v>0</v>
      </c>
      <c r="K54" s="21">
        <f t="shared" si="3"/>
        <v>0</v>
      </c>
      <c r="L54" s="21">
        <f t="shared" si="3"/>
        <v>0</v>
      </c>
      <c r="M54" s="21">
        <f t="shared" si="3"/>
        <v>266.68952223914528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0.18823277597930371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9.2795273945182739</v>
      </c>
      <c r="C58" s="23">
        <f t="shared" ref="C58:P58" ca="1" si="4">C54*C56</f>
        <v>0</v>
      </c>
      <c r="D58" s="23">
        <f t="shared" si="4"/>
        <v>0</v>
      </c>
      <c r="E58" s="23">
        <f t="shared" si="4"/>
        <v>0</v>
      </c>
      <c r="F58" s="23">
        <f t="shared" si="4"/>
        <v>0</v>
      </c>
      <c r="G58" s="23">
        <f t="shared" si="4"/>
        <v>1236.4961798666309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13779.58500203706</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13913.78078031973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27693.365782356792</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54714.845376000005</v>
      </c>
      <c r="D10" s="931">
        <f ca="1">tertiair!C16</f>
        <v>0</v>
      </c>
      <c r="E10" s="931">
        <f ca="1">tertiair!D16</f>
        <v>52800.668705949996</v>
      </c>
      <c r="F10" s="931">
        <f>tertiair!E16</f>
        <v>881.80984110416716</v>
      </c>
      <c r="G10" s="931">
        <f ca="1">tertiair!F16</f>
        <v>11696.446314224684</v>
      </c>
      <c r="H10" s="931">
        <f>tertiair!G16</f>
        <v>0</v>
      </c>
      <c r="I10" s="931">
        <f>tertiair!H16</f>
        <v>0</v>
      </c>
      <c r="J10" s="931">
        <f>tertiair!I16</f>
        <v>0</v>
      </c>
      <c r="K10" s="931">
        <f>tertiair!J16</f>
        <v>0.12780061873497953</v>
      </c>
      <c r="L10" s="931">
        <f>tertiair!K16</f>
        <v>0</v>
      </c>
      <c r="M10" s="931">
        <f ca="1">tertiair!L16</f>
        <v>0</v>
      </c>
      <c r="N10" s="931">
        <f>tertiair!M16</f>
        <v>0</v>
      </c>
      <c r="O10" s="931">
        <f ca="1">tertiair!N16</f>
        <v>5075.8803486744646</v>
      </c>
      <c r="P10" s="931">
        <f>tertiair!O16</f>
        <v>0</v>
      </c>
      <c r="Q10" s="932">
        <f>tertiair!P16</f>
        <v>0</v>
      </c>
      <c r="R10" s="628">
        <f ca="1">SUM(C10:Q10)</f>
        <v>125169.77838657206</v>
      </c>
      <c r="S10" s="67"/>
    </row>
    <row r="11" spans="1:19" s="437" customFormat="1">
      <c r="A11" s="736" t="s">
        <v>213</v>
      </c>
      <c r="B11" s="741"/>
      <c r="C11" s="931">
        <f>huishoudens!B8</f>
        <v>55867.572233155355</v>
      </c>
      <c r="D11" s="931">
        <f>huishoudens!C8</f>
        <v>0</v>
      </c>
      <c r="E11" s="931">
        <f>huishoudens!D8</f>
        <v>118410.76853320001</v>
      </c>
      <c r="F11" s="931">
        <f>huishoudens!E8</f>
        <v>4067.6945021618385</v>
      </c>
      <c r="G11" s="931">
        <f>huishoudens!F8</f>
        <v>94285.993827889106</v>
      </c>
      <c r="H11" s="931">
        <f>huishoudens!G8</f>
        <v>0</v>
      </c>
      <c r="I11" s="931">
        <f>huishoudens!H8</f>
        <v>0</v>
      </c>
      <c r="J11" s="931">
        <f>huishoudens!I8</f>
        <v>0</v>
      </c>
      <c r="K11" s="931">
        <f>huishoudens!J8</f>
        <v>484.5469555845242</v>
      </c>
      <c r="L11" s="931">
        <f>huishoudens!K8</f>
        <v>0</v>
      </c>
      <c r="M11" s="931">
        <f>huishoudens!L8</f>
        <v>0</v>
      </c>
      <c r="N11" s="931">
        <f>huishoudens!M8</f>
        <v>0</v>
      </c>
      <c r="O11" s="931">
        <f>huishoudens!N8</f>
        <v>22355.188934879538</v>
      </c>
      <c r="P11" s="931">
        <f>huishoudens!O8</f>
        <v>769.16000000000008</v>
      </c>
      <c r="Q11" s="932">
        <f>huishoudens!P8</f>
        <v>1182.1333333333332</v>
      </c>
      <c r="R11" s="628">
        <f>SUM(C11:Q11)</f>
        <v>297423.05832020374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72206.809169</v>
      </c>
      <c r="D13" s="931">
        <f>industrie!C18</f>
        <v>0</v>
      </c>
      <c r="E13" s="931">
        <f>industrie!D18</f>
        <v>40880.138214784005</v>
      </c>
      <c r="F13" s="931">
        <f>industrie!E18</f>
        <v>4301.2509495536506</v>
      </c>
      <c r="G13" s="931">
        <f>industrie!F18</f>
        <v>9191.3812931541815</v>
      </c>
      <c r="H13" s="931">
        <f>industrie!G18</f>
        <v>0</v>
      </c>
      <c r="I13" s="931">
        <f>industrie!H18</f>
        <v>0</v>
      </c>
      <c r="J13" s="931">
        <f>industrie!I18</f>
        <v>0</v>
      </c>
      <c r="K13" s="931">
        <f>industrie!J18</f>
        <v>20.481337739741885</v>
      </c>
      <c r="L13" s="931">
        <f>industrie!K18</f>
        <v>0</v>
      </c>
      <c r="M13" s="931">
        <f>industrie!L18</f>
        <v>0</v>
      </c>
      <c r="N13" s="931">
        <f>industrie!M18</f>
        <v>0</v>
      </c>
      <c r="O13" s="931">
        <f>industrie!N18</f>
        <v>3889.5961807292801</v>
      </c>
      <c r="P13" s="931">
        <f>industrie!O18</f>
        <v>0</v>
      </c>
      <c r="Q13" s="932">
        <f>industrie!P18</f>
        <v>0</v>
      </c>
      <c r="R13" s="628">
        <f>SUM(C13:Q13)</f>
        <v>130489.65714496085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182789.22677815537</v>
      </c>
      <c r="D16" s="660">
        <f t="shared" ref="D16:R16" ca="1" si="0">SUM(D9:D15)</f>
        <v>0</v>
      </c>
      <c r="E16" s="660">
        <f t="shared" ca="1" si="0"/>
        <v>212091.575453934</v>
      </c>
      <c r="F16" s="660">
        <f t="shared" si="0"/>
        <v>9250.7552928196565</v>
      </c>
      <c r="G16" s="660">
        <f t="shared" ca="1" si="0"/>
        <v>115173.82143526796</v>
      </c>
      <c r="H16" s="660">
        <f t="shared" si="0"/>
        <v>0</v>
      </c>
      <c r="I16" s="660">
        <f t="shared" si="0"/>
        <v>0</v>
      </c>
      <c r="J16" s="660">
        <f t="shared" si="0"/>
        <v>0</v>
      </c>
      <c r="K16" s="660">
        <f t="shared" si="0"/>
        <v>505.15609394300105</v>
      </c>
      <c r="L16" s="660">
        <f t="shared" si="0"/>
        <v>0</v>
      </c>
      <c r="M16" s="660">
        <f t="shared" ca="1" si="0"/>
        <v>0</v>
      </c>
      <c r="N16" s="660">
        <f t="shared" si="0"/>
        <v>0</v>
      </c>
      <c r="O16" s="660">
        <f t="shared" ca="1" si="0"/>
        <v>31320.665464283284</v>
      </c>
      <c r="P16" s="660">
        <f t="shared" si="0"/>
        <v>769.16000000000008</v>
      </c>
      <c r="Q16" s="660">
        <f t="shared" si="0"/>
        <v>1182.1333333333332</v>
      </c>
      <c r="R16" s="660">
        <f t="shared" ca="1" si="0"/>
        <v>553082.49385173665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49.298148774783847</v>
      </c>
      <c r="D19" s="931">
        <f>transport!C54</f>
        <v>0</v>
      </c>
      <c r="E19" s="931">
        <f>transport!D54</f>
        <v>0</v>
      </c>
      <c r="F19" s="931">
        <f>transport!E54</f>
        <v>0</v>
      </c>
      <c r="G19" s="931">
        <f>transport!F54</f>
        <v>0</v>
      </c>
      <c r="H19" s="931">
        <f>transport!G54</f>
        <v>4631.0718347064822</v>
      </c>
      <c r="I19" s="931">
        <f>transport!H54</f>
        <v>0</v>
      </c>
      <c r="J19" s="931">
        <f>transport!I54</f>
        <v>0</v>
      </c>
      <c r="K19" s="931">
        <f>transport!J54</f>
        <v>0</v>
      </c>
      <c r="L19" s="931">
        <f>transport!K54</f>
        <v>0</v>
      </c>
      <c r="M19" s="931">
        <f>transport!L54</f>
        <v>0</v>
      </c>
      <c r="N19" s="931">
        <f>transport!M54</f>
        <v>266.68952223914528</v>
      </c>
      <c r="O19" s="931">
        <f>transport!N54</f>
        <v>0</v>
      </c>
      <c r="P19" s="931">
        <f>transport!O54</f>
        <v>0</v>
      </c>
      <c r="Q19" s="932">
        <f>transport!P54</f>
        <v>0</v>
      </c>
      <c r="R19" s="628">
        <f>SUM(C19:Q19)</f>
        <v>4947.0595057204109</v>
      </c>
      <c r="S19" s="67"/>
    </row>
    <row r="20" spans="1:19" s="437" customFormat="1">
      <c r="A20" s="736" t="s">
        <v>295</v>
      </c>
      <c r="B20" s="741"/>
      <c r="C20" s="931">
        <f>transport!B14</f>
        <v>185.22176391628065</v>
      </c>
      <c r="D20" s="931">
        <f>transport!C14</f>
        <v>0</v>
      </c>
      <c r="E20" s="931">
        <f>transport!D14</f>
        <v>289.81977722299945</v>
      </c>
      <c r="F20" s="931">
        <f>transport!E14</f>
        <v>556.70036412421609</v>
      </c>
      <c r="G20" s="931">
        <f>transport!F14</f>
        <v>0</v>
      </c>
      <c r="H20" s="931">
        <f>transport!G14</f>
        <v>257545.9586541038</v>
      </c>
      <c r="I20" s="931">
        <f>transport!H14</f>
        <v>51167.419720507554</v>
      </c>
      <c r="J20" s="931">
        <f>transport!I14</f>
        <v>0</v>
      </c>
      <c r="K20" s="931">
        <f>transport!J14</f>
        <v>0</v>
      </c>
      <c r="L20" s="931">
        <f>transport!K14</f>
        <v>0</v>
      </c>
      <c r="M20" s="931">
        <f>transport!L14</f>
        <v>0</v>
      </c>
      <c r="N20" s="931">
        <f>transport!M14</f>
        <v>16553.612331527453</v>
      </c>
      <c r="O20" s="931">
        <f>transport!N14</f>
        <v>0</v>
      </c>
      <c r="P20" s="931">
        <f>transport!O14</f>
        <v>0</v>
      </c>
      <c r="Q20" s="932">
        <f>transport!P14</f>
        <v>0</v>
      </c>
      <c r="R20" s="628">
        <f>SUM(C20:Q20)</f>
        <v>326298.73261140235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234.51991269106449</v>
      </c>
      <c r="D22" s="739">
        <f t="shared" ref="D22:R22" si="1">SUM(D18:D21)</f>
        <v>0</v>
      </c>
      <c r="E22" s="739">
        <f t="shared" si="1"/>
        <v>289.81977722299945</v>
      </c>
      <c r="F22" s="739">
        <f t="shared" si="1"/>
        <v>556.70036412421609</v>
      </c>
      <c r="G22" s="739">
        <f t="shared" si="1"/>
        <v>0</v>
      </c>
      <c r="H22" s="739">
        <f t="shared" si="1"/>
        <v>262177.03048881027</v>
      </c>
      <c r="I22" s="739">
        <f t="shared" si="1"/>
        <v>51167.419720507554</v>
      </c>
      <c r="J22" s="739">
        <f t="shared" si="1"/>
        <v>0</v>
      </c>
      <c r="K22" s="739">
        <f t="shared" si="1"/>
        <v>0</v>
      </c>
      <c r="L22" s="739">
        <f t="shared" si="1"/>
        <v>0</v>
      </c>
      <c r="M22" s="739">
        <f t="shared" si="1"/>
        <v>0</v>
      </c>
      <c r="N22" s="739">
        <f t="shared" si="1"/>
        <v>16820.301853766599</v>
      </c>
      <c r="O22" s="739">
        <f t="shared" si="1"/>
        <v>0</v>
      </c>
      <c r="P22" s="739">
        <f t="shared" si="1"/>
        <v>0</v>
      </c>
      <c r="Q22" s="739">
        <f t="shared" si="1"/>
        <v>0</v>
      </c>
      <c r="R22" s="739">
        <f t="shared" si="1"/>
        <v>331245.79211712274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535.67700000000002</v>
      </c>
      <c r="D24" s="931">
        <f>+landbouw!C8</f>
        <v>0</v>
      </c>
      <c r="E24" s="931">
        <f>+landbouw!D8</f>
        <v>373.68146200000001</v>
      </c>
      <c r="F24" s="931">
        <f>+landbouw!E8</f>
        <v>17.38447956194922</v>
      </c>
      <c r="G24" s="931">
        <f>+landbouw!F8</f>
        <v>1976.2163994850171</v>
      </c>
      <c r="H24" s="931">
        <f>+landbouw!G8</f>
        <v>0</v>
      </c>
      <c r="I24" s="931">
        <f>+landbouw!H8</f>
        <v>0</v>
      </c>
      <c r="J24" s="931">
        <f>+landbouw!I8</f>
        <v>0</v>
      </c>
      <c r="K24" s="931">
        <f>+landbouw!J8</f>
        <v>140.87751280991998</v>
      </c>
      <c r="L24" s="931">
        <f>+landbouw!K8</f>
        <v>0</v>
      </c>
      <c r="M24" s="931">
        <f>+landbouw!L8</f>
        <v>0</v>
      </c>
      <c r="N24" s="931">
        <f>+landbouw!M8</f>
        <v>0</v>
      </c>
      <c r="O24" s="931">
        <f>+landbouw!N8</f>
        <v>0</v>
      </c>
      <c r="P24" s="931">
        <f>+landbouw!O8</f>
        <v>0</v>
      </c>
      <c r="Q24" s="932">
        <f>+landbouw!P8</f>
        <v>0</v>
      </c>
      <c r="R24" s="628">
        <f>SUM(C24:Q24)</f>
        <v>3043.8368538568861</v>
      </c>
      <c r="S24" s="67"/>
    </row>
    <row r="25" spans="1:19" s="437" customFormat="1" ht="15" thickBot="1">
      <c r="A25" s="758" t="s">
        <v>775</v>
      </c>
      <c r="B25" s="934"/>
      <c r="C25" s="935">
        <f>IF(Onbekend_ele_kWh="---",0,Onbekend_ele_kWh)/1000+IF(REST_rest_ele_kWh="---",0,REST_rest_ele_kWh)/1000</f>
        <v>3219.7137189999999</v>
      </c>
      <c r="D25" s="935"/>
      <c r="E25" s="935">
        <f>IF(onbekend_gas_kWh="---",0,onbekend_gas_kWh)/1000+IF(REST_rest_gas_kWh="---",0,REST_rest_gas_kWh)/1000</f>
        <v>2529.5320499999998</v>
      </c>
      <c r="F25" s="935"/>
      <c r="G25" s="935"/>
      <c r="H25" s="935"/>
      <c r="I25" s="935"/>
      <c r="J25" s="935"/>
      <c r="K25" s="935"/>
      <c r="L25" s="935"/>
      <c r="M25" s="935"/>
      <c r="N25" s="935"/>
      <c r="O25" s="935"/>
      <c r="P25" s="935"/>
      <c r="Q25" s="936"/>
      <c r="R25" s="628">
        <f>SUM(C25:Q25)</f>
        <v>5749.2457689999992</v>
      </c>
      <c r="S25" s="67"/>
    </row>
    <row r="26" spans="1:19" s="437" customFormat="1" ht="15.75" thickBot="1">
      <c r="A26" s="633" t="s">
        <v>776</v>
      </c>
      <c r="B26" s="744"/>
      <c r="C26" s="739">
        <f>SUM(C24:C25)</f>
        <v>3755.390719</v>
      </c>
      <c r="D26" s="739">
        <f t="shared" ref="D26:R26" si="2">SUM(D24:D25)</f>
        <v>0</v>
      </c>
      <c r="E26" s="739">
        <f t="shared" si="2"/>
        <v>2903.2135119999998</v>
      </c>
      <c r="F26" s="739">
        <f t="shared" si="2"/>
        <v>17.38447956194922</v>
      </c>
      <c r="G26" s="739">
        <f t="shared" si="2"/>
        <v>1976.2163994850171</v>
      </c>
      <c r="H26" s="739">
        <f t="shared" si="2"/>
        <v>0</v>
      </c>
      <c r="I26" s="739">
        <f t="shared" si="2"/>
        <v>0</v>
      </c>
      <c r="J26" s="739">
        <f t="shared" si="2"/>
        <v>0</v>
      </c>
      <c r="K26" s="739">
        <f t="shared" si="2"/>
        <v>140.87751280991998</v>
      </c>
      <c r="L26" s="739">
        <f t="shared" si="2"/>
        <v>0</v>
      </c>
      <c r="M26" s="739">
        <f t="shared" si="2"/>
        <v>0</v>
      </c>
      <c r="N26" s="739">
        <f t="shared" si="2"/>
        <v>0</v>
      </c>
      <c r="O26" s="739">
        <f t="shared" si="2"/>
        <v>0</v>
      </c>
      <c r="P26" s="739">
        <f t="shared" si="2"/>
        <v>0</v>
      </c>
      <c r="Q26" s="739">
        <f t="shared" si="2"/>
        <v>0</v>
      </c>
      <c r="R26" s="739">
        <f t="shared" si="2"/>
        <v>8793.0826228568858</v>
      </c>
      <c r="S26" s="67"/>
    </row>
    <row r="27" spans="1:19" s="437" customFormat="1" ht="17.25" thickTop="1" thickBot="1">
      <c r="A27" s="634" t="s">
        <v>109</v>
      </c>
      <c r="B27" s="732"/>
      <c r="C27" s="635">
        <f ca="1">C22+C16+C26</f>
        <v>186779.13740984641</v>
      </c>
      <c r="D27" s="635">
        <f t="shared" ref="D27:R27" ca="1" si="3">D22+D16+D26</f>
        <v>0</v>
      </c>
      <c r="E27" s="635">
        <f t="shared" ca="1" si="3"/>
        <v>215284.60874315698</v>
      </c>
      <c r="F27" s="635">
        <f t="shared" si="3"/>
        <v>9824.8401365058216</v>
      </c>
      <c r="G27" s="635">
        <f t="shared" ca="1" si="3"/>
        <v>117150.03783475298</v>
      </c>
      <c r="H27" s="635">
        <f t="shared" si="3"/>
        <v>262177.03048881027</v>
      </c>
      <c r="I27" s="635">
        <f t="shared" si="3"/>
        <v>51167.419720507554</v>
      </c>
      <c r="J27" s="635">
        <f t="shared" si="3"/>
        <v>0</v>
      </c>
      <c r="K27" s="635">
        <f t="shared" si="3"/>
        <v>646.03360675292106</v>
      </c>
      <c r="L27" s="635">
        <f t="shared" si="3"/>
        <v>0</v>
      </c>
      <c r="M27" s="635">
        <f t="shared" ca="1" si="3"/>
        <v>0</v>
      </c>
      <c r="N27" s="635">
        <f t="shared" si="3"/>
        <v>16820.301853766599</v>
      </c>
      <c r="O27" s="635">
        <f t="shared" ca="1" si="3"/>
        <v>31320.665464283284</v>
      </c>
      <c r="P27" s="635">
        <f t="shared" si="3"/>
        <v>769.16000000000008</v>
      </c>
      <c r="Q27" s="635">
        <f t="shared" si="3"/>
        <v>1182.1333333333332</v>
      </c>
      <c r="R27" s="635">
        <f t="shared" ca="1" si="3"/>
        <v>893121.36859171628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10299.12723240285</v>
      </c>
      <c r="D40" s="931">
        <f ca="1">tertiair!C20</f>
        <v>0</v>
      </c>
      <c r="E40" s="931">
        <f ca="1">tertiair!D20</f>
        <v>10665.7350786019</v>
      </c>
      <c r="F40" s="931">
        <f>tertiair!E20</f>
        <v>200.17083393064595</v>
      </c>
      <c r="G40" s="931">
        <f ca="1">tertiair!F20</f>
        <v>3122.9511658979909</v>
      </c>
      <c r="H40" s="931">
        <f>tertiair!G20</f>
        <v>0</v>
      </c>
      <c r="I40" s="931">
        <f>tertiair!H20</f>
        <v>0</v>
      </c>
      <c r="J40" s="931">
        <f>tertiair!I20</f>
        <v>0</v>
      </c>
      <c r="K40" s="931">
        <f>tertiair!J20</f>
        <v>4.5241419032182748E-2</v>
      </c>
      <c r="L40" s="931">
        <f>tertiair!K20</f>
        <v>0</v>
      </c>
      <c r="M40" s="931">
        <f ca="1">tertiair!L20</f>
        <v>0</v>
      </c>
      <c r="N40" s="931">
        <f>tertiair!M20</f>
        <v>0</v>
      </c>
      <c r="O40" s="931">
        <f ca="1">tertiair!N20</f>
        <v>0</v>
      </c>
      <c r="P40" s="931">
        <f>tertiair!O20</f>
        <v>0</v>
      </c>
      <c r="Q40" s="702">
        <f>tertiair!P20</f>
        <v>0</v>
      </c>
      <c r="R40" s="777">
        <f t="shared" ca="1" si="4"/>
        <v>24288.029552252417</v>
      </c>
    </row>
    <row r="41" spans="1:18">
      <c r="A41" s="749" t="s">
        <v>213</v>
      </c>
      <c r="B41" s="756"/>
      <c r="C41" s="931">
        <f ca="1">huishoudens!B12</f>
        <v>10516.108208671101</v>
      </c>
      <c r="D41" s="931">
        <f ca="1">huishoudens!C12</f>
        <v>0</v>
      </c>
      <c r="E41" s="931">
        <f>huishoudens!D12</f>
        <v>23918.975243706405</v>
      </c>
      <c r="F41" s="931">
        <f>huishoudens!E12</f>
        <v>923.36665199073741</v>
      </c>
      <c r="G41" s="931">
        <f>huishoudens!F12</f>
        <v>25174.360352046391</v>
      </c>
      <c r="H41" s="931">
        <f>huishoudens!G12</f>
        <v>0</v>
      </c>
      <c r="I41" s="931">
        <f>huishoudens!H12</f>
        <v>0</v>
      </c>
      <c r="J41" s="931">
        <f>huishoudens!I12</f>
        <v>0</v>
      </c>
      <c r="K41" s="931">
        <f>huishoudens!J12</f>
        <v>171.52962227692154</v>
      </c>
      <c r="L41" s="931">
        <f>huishoudens!K12</f>
        <v>0</v>
      </c>
      <c r="M41" s="931">
        <f>huishoudens!L12</f>
        <v>0</v>
      </c>
      <c r="N41" s="931">
        <f>huishoudens!M12</f>
        <v>0</v>
      </c>
      <c r="O41" s="931">
        <f>huishoudens!N12</f>
        <v>0</v>
      </c>
      <c r="P41" s="931">
        <f>huishoudens!O12</f>
        <v>0</v>
      </c>
      <c r="Q41" s="702">
        <f>huishoudens!P12</f>
        <v>0</v>
      </c>
      <c r="R41" s="777">
        <f t="shared" ca="1" si="4"/>
        <v>60704.340078691559</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13591.68813448871</v>
      </c>
      <c r="D43" s="931">
        <f ca="1">industrie!C22</f>
        <v>0</v>
      </c>
      <c r="E43" s="931">
        <f>industrie!D22</f>
        <v>8257.78791938637</v>
      </c>
      <c r="F43" s="931">
        <f>industrie!E22</f>
        <v>976.3839655486787</v>
      </c>
      <c r="G43" s="931">
        <f>industrie!F22</f>
        <v>2454.0988052721668</v>
      </c>
      <c r="H43" s="931">
        <f>industrie!G22</f>
        <v>0</v>
      </c>
      <c r="I43" s="931">
        <f>industrie!H22</f>
        <v>0</v>
      </c>
      <c r="J43" s="931">
        <f>industrie!I22</f>
        <v>0</v>
      </c>
      <c r="K43" s="931">
        <f>industrie!J22</f>
        <v>7.2503935598686269</v>
      </c>
      <c r="L43" s="931">
        <f>industrie!K22</f>
        <v>0</v>
      </c>
      <c r="M43" s="931">
        <f>industrie!L22</f>
        <v>0</v>
      </c>
      <c r="N43" s="931">
        <f>industrie!M22</f>
        <v>0</v>
      </c>
      <c r="O43" s="931">
        <f>industrie!N22</f>
        <v>0</v>
      </c>
      <c r="P43" s="931">
        <f>industrie!O22</f>
        <v>0</v>
      </c>
      <c r="Q43" s="702">
        <f>industrie!P22</f>
        <v>0</v>
      </c>
      <c r="R43" s="776">
        <f t="shared" ca="1" si="4"/>
        <v>25287.20921825579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34406.923575562658</v>
      </c>
      <c r="D46" s="660">
        <f t="shared" ref="D46:Q46" ca="1" si="5">SUM(D39:D45)</f>
        <v>0</v>
      </c>
      <c r="E46" s="660">
        <f t="shared" ca="1" si="5"/>
        <v>42842.498241694673</v>
      </c>
      <c r="F46" s="660">
        <f t="shared" si="5"/>
        <v>2099.921451470062</v>
      </c>
      <c r="G46" s="660">
        <f t="shared" ca="1" si="5"/>
        <v>30751.410323216547</v>
      </c>
      <c r="H46" s="660">
        <f t="shared" si="5"/>
        <v>0</v>
      </c>
      <c r="I46" s="660">
        <f t="shared" si="5"/>
        <v>0</v>
      </c>
      <c r="J46" s="660">
        <f t="shared" si="5"/>
        <v>0</v>
      </c>
      <c r="K46" s="660">
        <f t="shared" si="5"/>
        <v>178.82525725582235</v>
      </c>
      <c r="L46" s="660">
        <f t="shared" si="5"/>
        <v>0</v>
      </c>
      <c r="M46" s="660">
        <f t="shared" ca="1" si="5"/>
        <v>0</v>
      </c>
      <c r="N46" s="660">
        <f t="shared" si="5"/>
        <v>0</v>
      </c>
      <c r="O46" s="660">
        <f t="shared" ca="1" si="5"/>
        <v>0</v>
      </c>
      <c r="P46" s="660">
        <f t="shared" si="5"/>
        <v>0</v>
      </c>
      <c r="Q46" s="660">
        <f t="shared" si="5"/>
        <v>0</v>
      </c>
      <c r="R46" s="660">
        <f ca="1">SUM(R39:R45)</f>
        <v>110279.57884919978</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9.2795273945182739</v>
      </c>
      <c r="D49" s="931">
        <f ca="1">transport!C58</f>
        <v>0</v>
      </c>
      <c r="E49" s="931">
        <f>transport!D58</f>
        <v>0</v>
      </c>
      <c r="F49" s="931">
        <f>transport!E58</f>
        <v>0</v>
      </c>
      <c r="G49" s="931">
        <f>transport!F58</f>
        <v>0</v>
      </c>
      <c r="H49" s="931">
        <f>transport!G58</f>
        <v>1236.4961798666309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1245.7757072611491</v>
      </c>
    </row>
    <row r="50" spans="1:18">
      <c r="A50" s="752" t="s">
        <v>295</v>
      </c>
      <c r="B50" s="762"/>
      <c r="C50" s="631">
        <f ca="1">transport!B18</f>
        <v>34.864806793744734</v>
      </c>
      <c r="D50" s="631">
        <f>transport!C18</f>
        <v>0</v>
      </c>
      <c r="E50" s="631">
        <f>transport!D18</f>
        <v>58.543594999045894</v>
      </c>
      <c r="F50" s="631">
        <f>transport!E18</f>
        <v>126.37098265619706</v>
      </c>
      <c r="G50" s="631">
        <f>transport!F18</f>
        <v>0</v>
      </c>
      <c r="H50" s="631">
        <f>transport!G18</f>
        <v>68764.770960645721</v>
      </c>
      <c r="I50" s="631">
        <f>transport!H18</f>
        <v>12740.68751040638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81725.237855501095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44.144334188263009</v>
      </c>
      <c r="D52" s="660">
        <f t="shared" ref="D52:Q52" ca="1" si="6">SUM(D48:D51)</f>
        <v>0</v>
      </c>
      <c r="E52" s="660">
        <f t="shared" si="6"/>
        <v>58.543594999045894</v>
      </c>
      <c r="F52" s="660">
        <f t="shared" si="6"/>
        <v>126.37098265619706</v>
      </c>
      <c r="G52" s="660">
        <f t="shared" si="6"/>
        <v>0</v>
      </c>
      <c r="H52" s="660">
        <f t="shared" si="6"/>
        <v>70001.267140512355</v>
      </c>
      <c r="I52" s="660">
        <f t="shared" si="6"/>
        <v>12740.68751040638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82971.013562762237</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100.83196873826547</v>
      </c>
      <c r="D54" s="631">
        <f ca="1">+landbouw!C12</f>
        <v>0</v>
      </c>
      <c r="E54" s="631">
        <f>+landbouw!D12</f>
        <v>75.483655324000011</v>
      </c>
      <c r="F54" s="631">
        <f>+landbouw!E12</f>
        <v>3.946276860562473</v>
      </c>
      <c r="G54" s="631">
        <f>+landbouw!F12</f>
        <v>527.64977866249956</v>
      </c>
      <c r="H54" s="631">
        <f>+landbouw!G12</f>
        <v>0</v>
      </c>
      <c r="I54" s="631">
        <f>+landbouw!H12</f>
        <v>0</v>
      </c>
      <c r="J54" s="631">
        <f>+landbouw!I12</f>
        <v>0</v>
      </c>
      <c r="K54" s="631">
        <f>+landbouw!J12</f>
        <v>49.870639534711671</v>
      </c>
      <c r="L54" s="631">
        <f>+landbouw!K12</f>
        <v>0</v>
      </c>
      <c r="M54" s="631">
        <f>+landbouw!L12</f>
        <v>0</v>
      </c>
      <c r="N54" s="631">
        <f>+landbouw!M12</f>
        <v>0</v>
      </c>
      <c r="O54" s="631">
        <f>+landbouw!N12</f>
        <v>0</v>
      </c>
      <c r="P54" s="631">
        <f>+landbouw!O12</f>
        <v>0</v>
      </c>
      <c r="Q54" s="632">
        <f>+landbouw!P12</f>
        <v>0</v>
      </c>
      <c r="R54" s="659">
        <f ca="1">SUM(C54:Q54)</f>
        <v>757.78231912003923</v>
      </c>
    </row>
    <row r="55" spans="1:18" ht="15" thickBot="1">
      <c r="A55" s="752" t="s">
        <v>775</v>
      </c>
      <c r="B55" s="762"/>
      <c r="C55" s="631">
        <f ca="1">C25*'EF ele_warmte'!B12</f>
        <v>606.05565118601783</v>
      </c>
      <c r="D55" s="631"/>
      <c r="E55" s="631">
        <f>E25*EF_CO2_aardgas</f>
        <v>510.96547409999999</v>
      </c>
      <c r="F55" s="631"/>
      <c r="G55" s="631"/>
      <c r="H55" s="631"/>
      <c r="I55" s="631"/>
      <c r="J55" s="631"/>
      <c r="K55" s="631"/>
      <c r="L55" s="631"/>
      <c r="M55" s="631"/>
      <c r="N55" s="631"/>
      <c r="O55" s="631"/>
      <c r="P55" s="631"/>
      <c r="Q55" s="632"/>
      <c r="R55" s="659">
        <f ca="1">SUM(C55:Q55)</f>
        <v>1117.0211252860179</v>
      </c>
    </row>
    <row r="56" spans="1:18" ht="15.75" thickBot="1">
      <c r="A56" s="750" t="s">
        <v>776</v>
      </c>
      <c r="B56" s="763"/>
      <c r="C56" s="660">
        <f ca="1">SUM(C54:C55)</f>
        <v>706.88761992428329</v>
      </c>
      <c r="D56" s="660">
        <f t="shared" ref="D56:Q56" ca="1" si="7">SUM(D54:D55)</f>
        <v>0</v>
      </c>
      <c r="E56" s="660">
        <f t="shared" si="7"/>
        <v>586.44912942400003</v>
      </c>
      <c r="F56" s="660">
        <f t="shared" si="7"/>
        <v>3.946276860562473</v>
      </c>
      <c r="G56" s="660">
        <f t="shared" si="7"/>
        <v>527.64977866249956</v>
      </c>
      <c r="H56" s="660">
        <f t="shared" si="7"/>
        <v>0</v>
      </c>
      <c r="I56" s="660">
        <f t="shared" si="7"/>
        <v>0</v>
      </c>
      <c r="J56" s="660">
        <f t="shared" si="7"/>
        <v>0</v>
      </c>
      <c r="K56" s="660">
        <f t="shared" si="7"/>
        <v>49.870639534711671</v>
      </c>
      <c r="L56" s="660">
        <f t="shared" si="7"/>
        <v>0</v>
      </c>
      <c r="M56" s="660">
        <f t="shared" si="7"/>
        <v>0</v>
      </c>
      <c r="N56" s="660">
        <f t="shared" si="7"/>
        <v>0</v>
      </c>
      <c r="O56" s="660">
        <f t="shared" si="7"/>
        <v>0</v>
      </c>
      <c r="P56" s="660">
        <f t="shared" si="7"/>
        <v>0</v>
      </c>
      <c r="Q56" s="661">
        <f t="shared" si="7"/>
        <v>0</v>
      </c>
      <c r="R56" s="662">
        <f ca="1">SUM(R54:R55)</f>
        <v>1874.8034444060572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35157.955529675201</v>
      </c>
      <c r="D61" s="668">
        <f t="shared" ref="D61:Q61" ca="1" si="8">D46+D52+D56</f>
        <v>0</v>
      </c>
      <c r="E61" s="668">
        <f t="shared" ca="1" si="8"/>
        <v>43487.490966117715</v>
      </c>
      <c r="F61" s="668">
        <f t="shared" si="8"/>
        <v>2230.2387109868218</v>
      </c>
      <c r="G61" s="668">
        <f t="shared" ca="1" si="8"/>
        <v>31279.060101879048</v>
      </c>
      <c r="H61" s="668">
        <f t="shared" si="8"/>
        <v>70001.267140512355</v>
      </c>
      <c r="I61" s="668">
        <f t="shared" si="8"/>
        <v>12740.68751040638</v>
      </c>
      <c r="J61" s="668">
        <f t="shared" si="8"/>
        <v>0</v>
      </c>
      <c r="K61" s="668">
        <f t="shared" si="8"/>
        <v>228.69589679053402</v>
      </c>
      <c r="L61" s="668">
        <f t="shared" si="8"/>
        <v>0</v>
      </c>
      <c r="M61" s="668">
        <f t="shared" ca="1" si="8"/>
        <v>0</v>
      </c>
      <c r="N61" s="668">
        <f t="shared" si="8"/>
        <v>0</v>
      </c>
      <c r="O61" s="668">
        <f t="shared" ca="1" si="8"/>
        <v>0</v>
      </c>
      <c r="P61" s="668">
        <f t="shared" si="8"/>
        <v>0</v>
      </c>
      <c r="Q61" s="668">
        <f t="shared" si="8"/>
        <v>0</v>
      </c>
      <c r="R61" s="668">
        <f ca="1">R46+R52+R56</f>
        <v>195125.39585636806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0.18823277597930368</v>
      </c>
      <c r="D63" s="709">
        <f t="shared" ca="1" si="9"/>
        <v>0</v>
      </c>
      <c r="E63" s="942">
        <f t="shared" ca="1" si="9"/>
        <v>0.20200000000000004</v>
      </c>
      <c r="F63" s="709">
        <f t="shared" si="9"/>
        <v>0.22700000000000004</v>
      </c>
      <c r="G63" s="709">
        <f t="shared" ca="1" si="9"/>
        <v>0.26700000000000002</v>
      </c>
      <c r="H63" s="709">
        <f t="shared" si="9"/>
        <v>0.26700000000000007</v>
      </c>
      <c r="I63" s="709">
        <f t="shared" si="9"/>
        <v>0.24899999999999997</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13779.58500203706</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13913.78078031973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27693.365782356792</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55867.572233155355</v>
      </c>
      <c r="C4" s="441">
        <f>huishoudens!C8</f>
        <v>0</v>
      </c>
      <c r="D4" s="441">
        <f>huishoudens!D8</f>
        <v>118410.76853320001</v>
      </c>
      <c r="E4" s="441">
        <f>huishoudens!E8</f>
        <v>4067.6945021618385</v>
      </c>
      <c r="F4" s="441">
        <f>huishoudens!F8</f>
        <v>94285.993827889106</v>
      </c>
      <c r="G4" s="441">
        <f>huishoudens!G8</f>
        <v>0</v>
      </c>
      <c r="H4" s="441">
        <f>huishoudens!H8</f>
        <v>0</v>
      </c>
      <c r="I4" s="441">
        <f>huishoudens!I8</f>
        <v>0</v>
      </c>
      <c r="J4" s="441">
        <f>huishoudens!J8</f>
        <v>484.5469555845242</v>
      </c>
      <c r="K4" s="441">
        <f>huishoudens!K8</f>
        <v>0</v>
      </c>
      <c r="L4" s="441">
        <f>huishoudens!L8</f>
        <v>0</v>
      </c>
      <c r="M4" s="441">
        <f>huishoudens!M8</f>
        <v>0</v>
      </c>
      <c r="N4" s="441">
        <f>huishoudens!N8</f>
        <v>22355.188934879538</v>
      </c>
      <c r="O4" s="441">
        <f>huishoudens!O8</f>
        <v>769.16000000000008</v>
      </c>
      <c r="P4" s="442">
        <f>huishoudens!P8</f>
        <v>1182.1333333333332</v>
      </c>
      <c r="Q4" s="443">
        <f>SUM(B4:P4)</f>
        <v>297423.05832020374</v>
      </c>
    </row>
    <row r="5" spans="1:17">
      <c r="A5" s="440" t="s">
        <v>149</v>
      </c>
      <c r="B5" s="441">
        <f ca="1">tertiair!B16</f>
        <v>52733.304376000007</v>
      </c>
      <c r="C5" s="441">
        <f ca="1">tertiair!C16</f>
        <v>0</v>
      </c>
      <c r="D5" s="441">
        <f ca="1">tertiair!D16</f>
        <v>52800.668705949996</v>
      </c>
      <c r="E5" s="441">
        <f>tertiair!E16</f>
        <v>881.80984110416716</v>
      </c>
      <c r="F5" s="441">
        <f ca="1">tertiair!F16</f>
        <v>11696.446314224684</v>
      </c>
      <c r="G5" s="441">
        <f>tertiair!G16</f>
        <v>0</v>
      </c>
      <c r="H5" s="441">
        <f>tertiair!H16</f>
        <v>0</v>
      </c>
      <c r="I5" s="441">
        <f>tertiair!I16</f>
        <v>0</v>
      </c>
      <c r="J5" s="441">
        <f>tertiair!J16</f>
        <v>0.12780061873497953</v>
      </c>
      <c r="K5" s="441">
        <f>tertiair!K16</f>
        <v>0</v>
      </c>
      <c r="L5" s="441">
        <f ca="1">tertiair!L16</f>
        <v>0</v>
      </c>
      <c r="M5" s="441">
        <f>tertiair!M16</f>
        <v>0</v>
      </c>
      <c r="N5" s="441">
        <f ca="1">tertiair!N16</f>
        <v>5075.8803486744646</v>
      </c>
      <c r="O5" s="441">
        <f>tertiair!O16</f>
        <v>0</v>
      </c>
      <c r="P5" s="442">
        <f>tertiair!P16</f>
        <v>0</v>
      </c>
      <c r="Q5" s="440">
        <f t="shared" ref="Q5:Q14" ca="1" si="0">SUM(B5:P5)</f>
        <v>123188.23738657206</v>
      </c>
    </row>
    <row r="6" spans="1:17">
      <c r="A6" s="440" t="s">
        <v>187</v>
      </c>
      <c r="B6" s="441">
        <f>'openbare verlichting'!B8</f>
        <v>1981.5409999999999</v>
      </c>
      <c r="C6" s="441"/>
      <c r="D6" s="441"/>
      <c r="E6" s="441"/>
      <c r="F6" s="441"/>
      <c r="G6" s="441"/>
      <c r="H6" s="441"/>
      <c r="I6" s="441"/>
      <c r="J6" s="441"/>
      <c r="K6" s="441"/>
      <c r="L6" s="441"/>
      <c r="M6" s="441"/>
      <c r="N6" s="441"/>
      <c r="O6" s="441"/>
      <c r="P6" s="442"/>
      <c r="Q6" s="440">
        <f t="shared" si="0"/>
        <v>1981.5409999999999</v>
      </c>
    </row>
    <row r="7" spans="1:17">
      <c r="A7" s="440" t="s">
        <v>105</v>
      </c>
      <c r="B7" s="441">
        <f>landbouw!B8</f>
        <v>535.67700000000002</v>
      </c>
      <c r="C7" s="441">
        <f>landbouw!C8</f>
        <v>0</v>
      </c>
      <c r="D7" s="441">
        <f>landbouw!D8</f>
        <v>373.68146200000001</v>
      </c>
      <c r="E7" s="441">
        <f>landbouw!E8</f>
        <v>17.38447956194922</v>
      </c>
      <c r="F7" s="441">
        <f>landbouw!F8</f>
        <v>1976.2163994850171</v>
      </c>
      <c r="G7" s="441">
        <f>landbouw!G8</f>
        <v>0</v>
      </c>
      <c r="H7" s="441">
        <f>landbouw!H8</f>
        <v>0</v>
      </c>
      <c r="I7" s="441">
        <f>landbouw!I8</f>
        <v>0</v>
      </c>
      <c r="J7" s="441">
        <f>landbouw!J8</f>
        <v>140.87751280991998</v>
      </c>
      <c r="K7" s="441">
        <f>landbouw!K8</f>
        <v>0</v>
      </c>
      <c r="L7" s="441">
        <f>landbouw!L8</f>
        <v>0</v>
      </c>
      <c r="M7" s="441">
        <f>landbouw!M8</f>
        <v>0</v>
      </c>
      <c r="N7" s="441">
        <f>landbouw!N8</f>
        <v>0</v>
      </c>
      <c r="O7" s="441">
        <f>landbouw!O8</f>
        <v>0</v>
      </c>
      <c r="P7" s="442">
        <f>landbouw!P8</f>
        <v>0</v>
      </c>
      <c r="Q7" s="440">
        <f t="shared" si="0"/>
        <v>3043.8368538568861</v>
      </c>
    </row>
    <row r="8" spans="1:17">
      <c r="A8" s="440" t="s">
        <v>596</v>
      </c>
      <c r="B8" s="441">
        <f>industrie!B18</f>
        <v>72206.809169</v>
      </c>
      <c r="C8" s="441">
        <f>industrie!C18</f>
        <v>0</v>
      </c>
      <c r="D8" s="441">
        <f>industrie!D18</f>
        <v>40880.138214784005</v>
      </c>
      <c r="E8" s="441">
        <f>industrie!E18</f>
        <v>4301.2509495536506</v>
      </c>
      <c r="F8" s="441">
        <f>industrie!F18</f>
        <v>9191.3812931541815</v>
      </c>
      <c r="G8" s="441">
        <f>industrie!G18</f>
        <v>0</v>
      </c>
      <c r="H8" s="441">
        <f>industrie!H18</f>
        <v>0</v>
      </c>
      <c r="I8" s="441">
        <f>industrie!I18</f>
        <v>0</v>
      </c>
      <c r="J8" s="441">
        <f>industrie!J18</f>
        <v>20.481337739741885</v>
      </c>
      <c r="K8" s="441">
        <f>industrie!K18</f>
        <v>0</v>
      </c>
      <c r="L8" s="441">
        <f>industrie!L18</f>
        <v>0</v>
      </c>
      <c r="M8" s="441">
        <f>industrie!M18</f>
        <v>0</v>
      </c>
      <c r="N8" s="441">
        <f>industrie!N18</f>
        <v>3889.5961807292801</v>
      </c>
      <c r="O8" s="441">
        <f>industrie!O18</f>
        <v>0</v>
      </c>
      <c r="P8" s="442">
        <f>industrie!P18</f>
        <v>0</v>
      </c>
      <c r="Q8" s="440">
        <f t="shared" si="0"/>
        <v>130489.65714496085</v>
      </c>
    </row>
    <row r="9" spans="1:17" s="446" customFormat="1">
      <c r="A9" s="444" t="s">
        <v>545</v>
      </c>
      <c r="B9" s="445">
        <f>transport!B14</f>
        <v>185.22176391628065</v>
      </c>
      <c r="C9" s="445">
        <f>transport!C14</f>
        <v>0</v>
      </c>
      <c r="D9" s="445">
        <f>transport!D14</f>
        <v>289.81977722299945</v>
      </c>
      <c r="E9" s="445">
        <f>transport!E14</f>
        <v>556.70036412421609</v>
      </c>
      <c r="F9" s="445">
        <f>transport!F14</f>
        <v>0</v>
      </c>
      <c r="G9" s="445">
        <f>transport!G14</f>
        <v>257545.9586541038</v>
      </c>
      <c r="H9" s="445">
        <f>transport!H14</f>
        <v>51167.419720507554</v>
      </c>
      <c r="I9" s="445">
        <f>transport!I14</f>
        <v>0</v>
      </c>
      <c r="J9" s="445">
        <f>transport!J14</f>
        <v>0</v>
      </c>
      <c r="K9" s="445">
        <f>transport!K14</f>
        <v>0</v>
      </c>
      <c r="L9" s="445">
        <f>transport!L14</f>
        <v>0</v>
      </c>
      <c r="M9" s="445">
        <f>transport!M14</f>
        <v>16553.612331527453</v>
      </c>
      <c r="N9" s="445">
        <f>transport!N14</f>
        <v>0</v>
      </c>
      <c r="O9" s="445">
        <f>transport!O14</f>
        <v>0</v>
      </c>
      <c r="P9" s="445">
        <f>transport!P14</f>
        <v>0</v>
      </c>
      <c r="Q9" s="444">
        <f>SUM(B9:P9)</f>
        <v>326298.73261140235</v>
      </c>
    </row>
    <row r="10" spans="1:17">
      <c r="A10" s="440" t="s">
        <v>535</v>
      </c>
      <c r="B10" s="441">
        <f>transport!B54</f>
        <v>49.298148774783847</v>
      </c>
      <c r="C10" s="441">
        <f>transport!C54</f>
        <v>0</v>
      </c>
      <c r="D10" s="441">
        <f>transport!D54</f>
        <v>0</v>
      </c>
      <c r="E10" s="441">
        <f>transport!E54</f>
        <v>0</v>
      </c>
      <c r="F10" s="441">
        <f>transport!F54</f>
        <v>0</v>
      </c>
      <c r="G10" s="441">
        <f>transport!G54</f>
        <v>4631.0718347064822</v>
      </c>
      <c r="H10" s="441">
        <f>transport!H54</f>
        <v>0</v>
      </c>
      <c r="I10" s="441">
        <f>transport!I54</f>
        <v>0</v>
      </c>
      <c r="J10" s="441">
        <f>transport!J54</f>
        <v>0</v>
      </c>
      <c r="K10" s="441">
        <f>transport!K54</f>
        <v>0</v>
      </c>
      <c r="L10" s="441">
        <f>transport!L54</f>
        <v>0</v>
      </c>
      <c r="M10" s="441">
        <f>transport!M54</f>
        <v>266.68952223914528</v>
      </c>
      <c r="N10" s="441">
        <f>transport!N54</f>
        <v>0</v>
      </c>
      <c r="O10" s="441">
        <f>transport!O54</f>
        <v>0</v>
      </c>
      <c r="P10" s="442">
        <f>transport!P54</f>
        <v>0</v>
      </c>
      <c r="Q10" s="440">
        <f t="shared" si="0"/>
        <v>4947.0595057204109</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3219.7137189999999</v>
      </c>
      <c r="C14" s="448"/>
      <c r="D14" s="448">
        <f>'SEAP template'!E25</f>
        <v>2529.5320499999998</v>
      </c>
      <c r="E14" s="448"/>
      <c r="F14" s="448"/>
      <c r="G14" s="448"/>
      <c r="H14" s="448"/>
      <c r="I14" s="448"/>
      <c r="J14" s="448"/>
      <c r="K14" s="448"/>
      <c r="L14" s="448"/>
      <c r="M14" s="448"/>
      <c r="N14" s="448"/>
      <c r="O14" s="448"/>
      <c r="P14" s="449"/>
      <c r="Q14" s="440">
        <f t="shared" si="0"/>
        <v>5749.2457689999992</v>
      </c>
    </row>
    <row r="15" spans="1:17" s="450" customFormat="1">
      <c r="A15" s="957" t="s">
        <v>539</v>
      </c>
      <c r="B15" s="905">
        <f ca="1">SUM(B4:B14)</f>
        <v>186779.13740984639</v>
      </c>
      <c r="C15" s="905">
        <f t="shared" ref="C15:Q15" ca="1" si="1">SUM(C4:C14)</f>
        <v>0</v>
      </c>
      <c r="D15" s="905">
        <f t="shared" ca="1" si="1"/>
        <v>215284.608743157</v>
      </c>
      <c r="E15" s="905">
        <f t="shared" si="1"/>
        <v>9824.8401365058198</v>
      </c>
      <c r="F15" s="905">
        <f t="shared" ca="1" si="1"/>
        <v>117150.03783475298</v>
      </c>
      <c r="G15" s="905">
        <f t="shared" si="1"/>
        <v>262177.03048881027</v>
      </c>
      <c r="H15" s="905">
        <f t="shared" si="1"/>
        <v>51167.419720507554</v>
      </c>
      <c r="I15" s="905">
        <f t="shared" si="1"/>
        <v>0</v>
      </c>
      <c r="J15" s="905">
        <f t="shared" si="1"/>
        <v>646.03360675292106</v>
      </c>
      <c r="K15" s="905">
        <f t="shared" si="1"/>
        <v>0</v>
      </c>
      <c r="L15" s="905">
        <f t="shared" ca="1" si="1"/>
        <v>0</v>
      </c>
      <c r="M15" s="905">
        <f t="shared" si="1"/>
        <v>16820.301853766599</v>
      </c>
      <c r="N15" s="905">
        <f t="shared" ca="1" si="1"/>
        <v>31320.665464283284</v>
      </c>
      <c r="O15" s="905">
        <f t="shared" si="1"/>
        <v>769.16000000000008</v>
      </c>
      <c r="P15" s="905">
        <f t="shared" si="1"/>
        <v>1182.1333333333332</v>
      </c>
      <c r="Q15" s="905">
        <f t="shared" ca="1" si="1"/>
        <v>893121.3685917164</v>
      </c>
    </row>
    <row r="17" spans="1:17">
      <c r="A17" s="451" t="s">
        <v>540</v>
      </c>
      <c r="B17" s="714">
        <f ca="1">huishoudens!B10</f>
        <v>0.18823277597930371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10516.108208671101</v>
      </c>
      <c r="C22" s="441">
        <f t="shared" ref="C22:C32" ca="1" si="3">C4*$C$17</f>
        <v>0</v>
      </c>
      <c r="D22" s="441">
        <f t="shared" ref="D22:D32" si="4">D4*$D$17</f>
        <v>23918.975243706405</v>
      </c>
      <c r="E22" s="441">
        <f t="shared" ref="E22:E32" si="5">E4*$E$17</f>
        <v>923.36665199073741</v>
      </c>
      <c r="F22" s="441">
        <f t="shared" ref="F22:F32" si="6">F4*$F$17</f>
        <v>25174.360352046391</v>
      </c>
      <c r="G22" s="441">
        <f t="shared" ref="G22:G32" si="7">G4*$G$17</f>
        <v>0</v>
      </c>
      <c r="H22" s="441">
        <f t="shared" ref="H22:H32" si="8">H4*$H$17</f>
        <v>0</v>
      </c>
      <c r="I22" s="441">
        <f t="shared" ref="I22:I32" si="9">I4*$I$17</f>
        <v>0</v>
      </c>
      <c r="J22" s="441">
        <f t="shared" ref="J22:J32" si="10">J4*$J$17</f>
        <v>171.52962227692154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60704.340078691559</v>
      </c>
    </row>
    <row r="23" spans="1:17">
      <c r="A23" s="440" t="s">
        <v>149</v>
      </c>
      <c r="B23" s="441">
        <f t="shared" ca="1" si="2"/>
        <v>9926.1362692560451</v>
      </c>
      <c r="C23" s="441">
        <f t="shared" ca="1" si="3"/>
        <v>0</v>
      </c>
      <c r="D23" s="441">
        <f t="shared" ca="1" si="4"/>
        <v>10665.7350786019</v>
      </c>
      <c r="E23" s="441">
        <f t="shared" si="5"/>
        <v>200.17083393064595</v>
      </c>
      <c r="F23" s="441">
        <f t="shared" ca="1" si="6"/>
        <v>3122.9511658979909</v>
      </c>
      <c r="G23" s="441">
        <f t="shared" si="7"/>
        <v>0</v>
      </c>
      <c r="H23" s="441">
        <f t="shared" si="8"/>
        <v>0</v>
      </c>
      <c r="I23" s="441">
        <f t="shared" si="9"/>
        <v>0</v>
      </c>
      <c r="J23" s="441">
        <f t="shared" si="10"/>
        <v>4.5241419032182748E-2</v>
      </c>
      <c r="K23" s="441">
        <f t="shared" si="11"/>
        <v>0</v>
      </c>
      <c r="L23" s="441">
        <f t="shared" ca="1" si="12"/>
        <v>0</v>
      </c>
      <c r="M23" s="441">
        <f t="shared" si="13"/>
        <v>0</v>
      </c>
      <c r="N23" s="441">
        <f t="shared" ca="1" si="14"/>
        <v>0</v>
      </c>
      <c r="O23" s="441">
        <f t="shared" si="15"/>
        <v>0</v>
      </c>
      <c r="P23" s="442">
        <f t="shared" si="16"/>
        <v>0</v>
      </c>
      <c r="Q23" s="440">
        <f t="shared" ref="Q23:Q32" ca="1" si="17">SUM(B23:P23)</f>
        <v>23915.038589105614</v>
      </c>
    </row>
    <row r="24" spans="1:17">
      <c r="A24" s="440" t="s">
        <v>187</v>
      </c>
      <c r="B24" s="441">
        <f t="shared" ca="1" si="2"/>
        <v>372.99096314680543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372.99096314680543</v>
      </c>
    </row>
    <row r="25" spans="1:17">
      <c r="A25" s="440" t="s">
        <v>105</v>
      </c>
      <c r="B25" s="441">
        <f t="shared" ca="1" si="2"/>
        <v>100.83196873826547</v>
      </c>
      <c r="C25" s="441">
        <f t="shared" ca="1" si="3"/>
        <v>0</v>
      </c>
      <c r="D25" s="441">
        <f t="shared" si="4"/>
        <v>75.483655324000011</v>
      </c>
      <c r="E25" s="441">
        <f t="shared" si="5"/>
        <v>3.946276860562473</v>
      </c>
      <c r="F25" s="441">
        <f t="shared" si="6"/>
        <v>527.64977866249956</v>
      </c>
      <c r="G25" s="441">
        <f t="shared" si="7"/>
        <v>0</v>
      </c>
      <c r="H25" s="441">
        <f t="shared" si="8"/>
        <v>0</v>
      </c>
      <c r="I25" s="441">
        <f t="shared" si="9"/>
        <v>0</v>
      </c>
      <c r="J25" s="441">
        <f t="shared" si="10"/>
        <v>49.870639534711671</v>
      </c>
      <c r="K25" s="441">
        <f t="shared" si="11"/>
        <v>0</v>
      </c>
      <c r="L25" s="441">
        <f t="shared" si="12"/>
        <v>0</v>
      </c>
      <c r="M25" s="441">
        <f t="shared" si="13"/>
        <v>0</v>
      </c>
      <c r="N25" s="441">
        <f t="shared" si="14"/>
        <v>0</v>
      </c>
      <c r="O25" s="441">
        <f t="shared" si="15"/>
        <v>0</v>
      </c>
      <c r="P25" s="442">
        <f t="shared" si="16"/>
        <v>0</v>
      </c>
      <c r="Q25" s="440">
        <f t="shared" ca="1" si="17"/>
        <v>757.78231912003923</v>
      </c>
    </row>
    <row r="26" spans="1:17">
      <c r="A26" s="440" t="s">
        <v>596</v>
      </c>
      <c r="B26" s="441">
        <f t="shared" ca="1" si="2"/>
        <v>13591.68813448871</v>
      </c>
      <c r="C26" s="441">
        <f t="shared" ca="1" si="3"/>
        <v>0</v>
      </c>
      <c r="D26" s="441">
        <f t="shared" si="4"/>
        <v>8257.78791938637</v>
      </c>
      <c r="E26" s="441">
        <f t="shared" si="5"/>
        <v>976.3839655486787</v>
      </c>
      <c r="F26" s="441">
        <f t="shared" si="6"/>
        <v>2454.0988052721668</v>
      </c>
      <c r="G26" s="441">
        <f t="shared" si="7"/>
        <v>0</v>
      </c>
      <c r="H26" s="441">
        <f t="shared" si="8"/>
        <v>0</v>
      </c>
      <c r="I26" s="441">
        <f t="shared" si="9"/>
        <v>0</v>
      </c>
      <c r="J26" s="441">
        <f t="shared" si="10"/>
        <v>7.2503935598686269</v>
      </c>
      <c r="K26" s="441">
        <f t="shared" si="11"/>
        <v>0</v>
      </c>
      <c r="L26" s="441">
        <f t="shared" si="12"/>
        <v>0</v>
      </c>
      <c r="M26" s="441">
        <f t="shared" si="13"/>
        <v>0</v>
      </c>
      <c r="N26" s="441">
        <f t="shared" si="14"/>
        <v>0</v>
      </c>
      <c r="O26" s="441">
        <f t="shared" si="15"/>
        <v>0</v>
      </c>
      <c r="P26" s="442">
        <f t="shared" si="16"/>
        <v>0</v>
      </c>
      <c r="Q26" s="440">
        <f t="shared" ca="1" si="17"/>
        <v>25287.20921825579</v>
      </c>
    </row>
    <row r="27" spans="1:17" s="446" customFormat="1">
      <c r="A27" s="444" t="s">
        <v>545</v>
      </c>
      <c r="B27" s="708">
        <f t="shared" ca="1" si="2"/>
        <v>34.864806793744734</v>
      </c>
      <c r="C27" s="445">
        <f t="shared" ca="1" si="3"/>
        <v>0</v>
      </c>
      <c r="D27" s="445">
        <f t="shared" si="4"/>
        <v>58.543594999045894</v>
      </c>
      <c r="E27" s="445">
        <f t="shared" si="5"/>
        <v>126.37098265619706</v>
      </c>
      <c r="F27" s="445">
        <f t="shared" si="6"/>
        <v>0</v>
      </c>
      <c r="G27" s="445">
        <f t="shared" si="7"/>
        <v>68764.770960645721</v>
      </c>
      <c r="H27" s="445">
        <f t="shared" si="8"/>
        <v>12740.68751040638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81725.237855501095</v>
      </c>
    </row>
    <row r="28" spans="1:17">
      <c r="A28" s="440" t="s">
        <v>535</v>
      </c>
      <c r="B28" s="441">
        <f t="shared" ca="1" si="2"/>
        <v>9.2795273945182739</v>
      </c>
      <c r="C28" s="441">
        <f t="shared" ca="1" si="3"/>
        <v>0</v>
      </c>
      <c r="D28" s="441">
        <f t="shared" si="4"/>
        <v>0</v>
      </c>
      <c r="E28" s="441">
        <f t="shared" si="5"/>
        <v>0</v>
      </c>
      <c r="F28" s="441">
        <f t="shared" si="6"/>
        <v>0</v>
      </c>
      <c r="G28" s="441">
        <f t="shared" si="7"/>
        <v>1236.4961798666309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1245.7757072611491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606.05565118601783</v>
      </c>
      <c r="C32" s="441">
        <f t="shared" ca="1" si="3"/>
        <v>0</v>
      </c>
      <c r="D32" s="441">
        <f t="shared" si="4"/>
        <v>510.96547409999999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1117.0211252860179</v>
      </c>
    </row>
    <row r="33" spans="1:17" s="450" customFormat="1">
      <c r="A33" s="957" t="s">
        <v>539</v>
      </c>
      <c r="B33" s="905">
        <f ca="1">SUM(B22:B32)</f>
        <v>35157.955529675208</v>
      </c>
      <c r="C33" s="905">
        <f t="shared" ref="C33:Q33" ca="1" si="18">SUM(C22:C32)</f>
        <v>0</v>
      </c>
      <c r="D33" s="905">
        <f t="shared" ca="1" si="18"/>
        <v>43487.490966117715</v>
      </c>
      <c r="E33" s="905">
        <f t="shared" si="18"/>
        <v>2230.2387109868218</v>
      </c>
      <c r="F33" s="905">
        <f t="shared" ca="1" si="18"/>
        <v>31279.060101879048</v>
      </c>
      <c r="G33" s="905">
        <f t="shared" si="18"/>
        <v>70001.267140512355</v>
      </c>
      <c r="H33" s="905">
        <f t="shared" si="18"/>
        <v>12740.68751040638</v>
      </c>
      <c r="I33" s="905">
        <f t="shared" si="18"/>
        <v>0</v>
      </c>
      <c r="J33" s="905">
        <f t="shared" si="18"/>
        <v>228.69589679053402</v>
      </c>
      <c r="K33" s="905">
        <f t="shared" si="18"/>
        <v>0</v>
      </c>
      <c r="L33" s="905">
        <f t="shared" ca="1" si="18"/>
        <v>0</v>
      </c>
      <c r="M33" s="905">
        <f t="shared" si="18"/>
        <v>0</v>
      </c>
      <c r="N33" s="905">
        <f t="shared" ca="1" si="18"/>
        <v>0</v>
      </c>
      <c r="O33" s="905">
        <f t="shared" si="18"/>
        <v>0</v>
      </c>
      <c r="P33" s="905">
        <f t="shared" si="18"/>
        <v>0</v>
      </c>
      <c r="Q33" s="905">
        <f t="shared" ca="1" si="18"/>
        <v>195125.39585636806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13779.58500203706</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13913.78078031973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27693.365782356792</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0.18823277597930371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0.18823277597930371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2022-07-26T10:54:07Z</dcterms:modified>
</cp:coreProperties>
</file>