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820DB55-57C2-4DB8-94B1-96521AB87A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<sst xmlns="http://schemas.openxmlformats.org/spreadsheetml/2006/main" count="2397" uniqueCount="878">
  <si>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</si>
  <si>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</si>
  <si>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</si>
  <si>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</si>
  <si>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</si>
  <si>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</si>
  <si>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</si>
  <si>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</si>
  <si>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</si>
  <si>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</si>
  <si>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</si>
  <si>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</si>
  <si>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</si>
  <si>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</si>
  <si>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</si>
  <si>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</si>
  <si>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</si>
  <si>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</si>
  <si>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</si>
  <si>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</si>
  <si>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</si>
  <si>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</si>
  <si>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</si>
  <si>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</si>
  <si>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</si>
  <si>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</si>
  <si>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</si>
  <si>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</si>
  <si>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</si>
  <si>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</si>
  <si>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</si>
  <si>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</si>
  <si>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</si>
  <si>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</si>
  <si>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</si>
  <si>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</si>
  <si>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</si>
  <si>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</si>
  <si>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</si>
  <si>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</si>
  <si>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</si>
  <si>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</si>
  <si>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</si>
  <si>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</si>
  <si>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</si>
  <si>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</si>
  <si>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</si>
  <si>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</si>
  <si>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</si>
  <si>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</si>
  <si>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</si>
  <si>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</si>
  <si>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</si>
  <si>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</si>
  <si>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</si>
  <si>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</si>
  <si>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</si>
  <si>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</si>
  <si>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</si>
  <si>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</si>
  <si>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</si>
  <si>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</si>
  <si>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</si>
  <si>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</si>
  <si>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</si>
  <si>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</si>
  <si>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</si>
  <si>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</si>
  <si>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</si>
  <si>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</si>
  <si>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</si>
  <si>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</si>
  <si>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</si>
  <si>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</si>
  <si>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</si>
  <si>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</si>
  <si>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</si>
  <si>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</si>
  <si>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</si>
  <si>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</si>
  <si>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</si>
  <si>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</si>
  <si>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</si>
  <si>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</si>
  <si>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</si>
  <si>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</si>
  <si>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</si>
  <si>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</si>
  <si>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</si>
  <si>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</si>
  <si>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</si>
  <si>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</si>
  <si>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</si>
  <si>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</si>
  <si>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</si>
  <si>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</si>
  <si>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</si>
  <si>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</si>
  <si>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</si>
  <si>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</si>
  <si>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</si>
  <si>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</si>
  <si>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</si>
  <si>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</si>
  <si>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</si>
  <si>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</si>
  <si>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</si>
  <si>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</si>
  <si>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</si>
  <si>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</si>
  <si>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</si>
  <si>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</si>
  <si>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</si>
  <si>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</si>
  <si>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</si>
  <si>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</si>
  <si>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</si>
  <si>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</si>
  <si>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</si>
  <si>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</si>
  <si>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</si>
  <si>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</si>
  <si>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</si>
  <si>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</si>
  <si>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</si>
  <si>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</si>
  <si>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</si>
  <si>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</si>
  <si>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</si>
  <si>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</si>
  <si>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</si>
  <si>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</si>
  <si>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</si>
  <si>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</si>
  <si>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</si>
  <si>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</si>
  <si>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</si>
  <si>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</si>
  <si>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</si>
  <si>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</si>
  <si>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</si>
  <si>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</si>
  <si>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</si>
  <si>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</si>
  <si>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</si>
  <si>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</si>
  <si>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</si>
  <si>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</si>
  <si>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</si>
  <si>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</si>
  <si>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</si>
  <si>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</si>
  <si>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</si>
  <si>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</si>
  <si>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</si>
  <si>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</si>
  <si>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</si>
  <si>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</si>
  <si>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</si>
  <si>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</si>
  <si>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</si>
  <si>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</si>
  <si>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</si>
  <si>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</si>
  <si>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</si>
  <si>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</si>
  <si>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</si>
  <si>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</si>
  <si>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</si>
  <si>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</si>
  <si>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</si>
  <si>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</si>
  <si>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</si>
  <si>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</si>
  <si>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</si>
  <si>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</si>
  <si>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</si>
  <si>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</si>
  <si>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</si>
  <si>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</si>
  <si>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</si>
  <si>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</si>
  <si>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</si>
  <si>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</si>
  <si>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</si>
  <si>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</si>
  <si>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</si>
  <si>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</si>
  <si>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</si>
  <si>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</si>
  <si>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</si>
  <si>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</si>
  <si>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</si>
  <si>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</si>
  <si>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</si>
  <si>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</si>
  <si>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</si>
  <si>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</si>
  <si>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</si>
  <si>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</si>
  <si>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</si>
  <si>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</si>
  <si>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</si>
  <si>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</si>
  <si>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</si>
  <si>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</si>
  <si>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</si>
  <si>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</si>
  <si>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</si>
  <si>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</si>
  <si>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</si>
  <si>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</si>
  <si>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</si>
  <si>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</si>
  <si>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</si>
  <si>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</si>
  <si>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</si>
  <si>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</si>
  <si>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</si>
  <si>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</si>
  <si>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</si>
  <si>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</si>
  <si>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</si>
  <si>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</si>
  <si>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</si>
  <si>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</si>
  <si>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</si>
  <si>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</si>
  <si>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</si>
  <si>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</si>
  <si>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</si>
  <si>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</si>
  <si>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</si>
  <si>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</si>
  <si>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</si>
  <si>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</si>
  <si>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</si>
  <si>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</si>
  <si>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</si>
  <si>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</si>
  <si>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</si>
  <si>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</si>
  <si>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</si>
  <si>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</si>
  <si>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</si>
  <si>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</si>
  <si>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</si>
  <si>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</si>
  <si>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</si>
  <si>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</si>
  <si>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</si>
  <si>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</si>
  <si>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</si>
  <si>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</si>
  <si>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</si>
  <si>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</si>
  <si>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</si>
  <si>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</si>
  <si>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</si>
  <si>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</si>
  <si>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</si>
  <si>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</si>
  <si>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</si>
  <si>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</si>
  <si>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</si>
  <si>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</si>
  <si>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</si>
  <si>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</si>
  <si>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</si>
  <si>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</si>
  <si>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</si>
  <si>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</si>
  <si>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</si>
  <si>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</si>
  <si>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</si>
  <si>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</si>
  <si>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</si>
  <si>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</si>
  <si>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</si>
  <si>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</si>
  <si>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</si>
  <si>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</si>
  <si>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</si>
  <si>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</si>
  <si>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</si>
  <si>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</si>
  <si>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</si>
  <si>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</si>
  <si>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</si>
  <si>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</si>
  <si>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</si>
  <si>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</si>
  <si>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</si>
  <si>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</si>
  <si>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</si>
  <si>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</si>
  <si>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</si>
  <si>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</si>
  <si>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</si>
  <si>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</si>
  <si>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</si>
  <si>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</si>
  <si>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</si>
  <si>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</si>
  <si>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</si>
  <si>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</si>
  <si>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</si>
  <si>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</si>
  <si>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</si>
  <si>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</si>
  <si>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</si>
  <si>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</si>
  <si>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</si>
  <si>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</si>
  <si>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</si>
  <si>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</si>
  <si>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</si>
  <si>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</si>
  <si>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</si>
  <si>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</si>
  <si>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</si>
  <si>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</si>
  <si>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</si>
  <si>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</si>
  <si>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</si>
  <si>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</si>
  <si>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</si>
  <si>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</si>
  <si>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</si>
  <si>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</si>
  <si>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</si>
  <si>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</si>
  <si>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</si>
  <si>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</si>
  <si>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</si>
  <si>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</si>
  <si>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</si>
  <si>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</si>
  <si>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</si>
  <si>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</si>
  <si>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</si>
  <si>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</si>
  <si>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</si>
  <si>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</si>
  <si>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</si>
  <si>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</si>
  <si>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</si>
  <si>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</si>
  <si>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</si>
  <si>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</si>
  <si>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</si>
  <si>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</si>
  <si>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</si>
  <si>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</si>
  <si>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</si>
  <si>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</si>
  <si>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</si>
  <si>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</si>
  <si>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</si>
  <si>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</si>
  <si>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</si>
  <si>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</si>
  <si>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</si>
  <si>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</si>
  <si>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</si>
  <si>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</si>
  <si>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</si>
  <si>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</si>
  <si>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</si>
  <si>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</si>
  <si>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</si>
  <si>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</si>
  <si>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</si>
  <si>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</si>
  <si>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</si>
  <si>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</si>
  <si>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</si>
  <si>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</si>
  <si>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</si>
  <si>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</si>
  <si>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</si>
  <si>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</si>
  <si>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</si>
  <si>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</si>
  <si>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</si>
  <si>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</si>
  <si>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</si>
  <si>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</si>
  <si>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</si>
  <si>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</si>
  <si>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</si>
  <si>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</si>
  <si>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</si>
  <si>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</si>
  <si>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</si>
  <si>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</si>
  <si>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</si>
  <si>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</si>
  <si>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</si>
  <si>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</si>
  <si>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</si>
  <si>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</si>
  <si>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</si>
  <si>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</si>
  <si>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</si>
  <si>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</si>
  <si>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</si>
  <si>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</si>
  <si>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</si>
  <si>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</si>
  <si>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</si>
  <si>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</si>
  <si>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</si>
  <si>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</si>
  <si>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</si>
  <si>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</si>
  <si>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</si>
  <si>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</si>
  <si>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</si>
  <si>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</si>
  <si>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</si>
  <si>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</si>
  <si>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</si>
  <si>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</si>
  <si>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</si>
  <si>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</si>
  <si>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</si>
  <si>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</si>
  <si>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</si>
  <si>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</si>
  <si>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</si>
  <si>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</si>
  <si>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</si>
  <si>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</si>
  <si>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</si>
  <si>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</si>
  <si>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</si>
  <si>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</si>
  <si>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</si>
  <si>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</si>
  <si>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</si>
  <si>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</si>
  <si>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</si>
  <si>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</si>
  <si>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</si>
  <si>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</si>
  <si>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</si>
  <si>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</si>
  <si>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</si>
  <si>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</si>
  <si>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</si>
  <si>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</si>
  <si>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</si>
  <si>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</si>
  <si>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</si>
  <si>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</si>
  <si>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</si>
  <si>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</si>
  <si>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</si>
  <si>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</si>
  <si>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</si>
  <si>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</si>
  <si>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</si>
  <si>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</si>
  <si>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</si>
  <si>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</si>
  <si>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</si>
  <si>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</si>
  <si>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</si>
  <si>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</si>
  <si>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</si>
  <si>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</si>
  <si>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</si>
  <si>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</si>
  <si>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</si>
  <si>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</si>
  <si>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</si>
  <si>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</si>
  <si>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</si>
  <si>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</si>
  <si>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</si>
  <si>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</si>
  <si>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</si>
  <si>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</si>
  <si>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</si>
  <si>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</si>
  <si>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</si>
  <si>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</si>
  <si>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</si>
  <si>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</si>
  <si>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</si>
  <si>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</si>
  <si>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</si>
  <si>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</si>
  <si>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</si>
  <si>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</si>
  <si>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</si>
  <si>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</si>
  <si>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</si>
  <si>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</si>
  <si>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</si>
  <si>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</si>
  <si>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</si>
  <si>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</si>
  <si>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</si>
  <si>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</si>
  <si>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</si>
  <si>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</si>
  <si>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</si>
  <si>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</si>
  <si>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</si>
  <si>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</si>
  <si>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</si>
  <si>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</si>
  <si>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</si>
  <si>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</si>
  <si>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</si>
  <si>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</si>
  <si>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</si>
  <si>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</si>
  <si>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</si>
  <si>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</si>
  <si>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</si>
  <si>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</si>
  <si>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</si>
  <si>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</si>
  <si>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</si>
  <si>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</si>
  <si>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</si>
  <si>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</si>
  <si>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</si>
  <si>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</si>
  <si>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</si>
  <si>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</si>
  <si>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</si>
  <si>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</si>
  <si>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</si>
  <si>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</si>
  <si>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</si>
  <si>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</si>
  <si>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</si>
  <si>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</si>
  <si>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</si>
  <si>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</si>
  <si>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</si>
  <si>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</si>
  <si>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</si>
  <si>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</si>
  <si>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</si>
  <si>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</si>
  <si>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</si>
  <si>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</si>
  <si>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</si>
  <si>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</si>
  <si>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</si>
  <si>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</si>
  <si>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</si>
  <si>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</si>
  <si>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</si>
  <si>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</si>
  <si>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</si>
  <si>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</si>
  <si>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</si>
  <si>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</si>
  <si>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</si>
  <si>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</si>
  <si>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</si>
  <si>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</si>
  <si>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</si>
  <si>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</si>
  <si>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</si>
  <si>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</si>
  <si>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</si>
  <si>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</si>
  <si>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</si>
  <si>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</si>
  <si>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</si>
  <si>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</si>
  <si>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</si>
  <si>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</si>
  <si>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</si>
  <si>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</si>
  <si>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</si>
  <si>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</si>
  <si>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</si>
  <si>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</si>
  <si>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</si>
  <si>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</si>
  <si>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</si>
  <si>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</si>
  <si>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</si>
  <si>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</si>
  <si>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</si>
  <si>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</si>
  <si>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</si>
  <si>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</si>
  <si>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</si>
  <si>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</si>
  <si>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</si>
  <si>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</si>
  <si>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</si>
  <si>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</si>
  <si>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</si>
  <si>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</si>
  <si>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</si>
  <si>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</si>
  <si>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</si>
  <si>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</si>
  <si>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</si>
  <si>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</si>
  <si>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</si>
  <si>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</si>
  <si>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</si>
  <si>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</si>
  <si>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</si>
  <si>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</si>
  <si>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</si>
  <si>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</si>
  <si>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</si>
  <si>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</si>
  <si>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</si>
  <si>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</si>
  <si>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</si>
  <si>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</si>
  <si>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</si>
  <si>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</si>
  <si>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</si>
  <si>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</si>
  <si>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</si>
  <si>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</si>
  <si>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</si>
  <si>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</si>
  <si>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</si>
  <si>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</si>
  <si>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</si>
  <si>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</si>
  <si>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</si>
  <si>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</si>
  <si>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</si>
  <si>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</si>
  <si>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</si>
  <si>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</si>
  <si>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</si>
  <si>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</si>
  <si>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</si>
  <si>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</si>
  <si>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</si>
  <si>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</si>
  <si>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</si>
  <si>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</si>
  <si>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</si>
  <si>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</si>
  <si>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</si>
  <si>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</si>
  <si>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</si>
  <si>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</si>
  <si>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</si>
  <si>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</si>
  <si>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</si>
  <si>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</si>
  <si>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</si>
  <si>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</si>
  <si>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</si>
  <si>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</si>
  <si>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</si>
  <si>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</si>
  <si>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</si>
  <si>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</si>
  <si>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</si>
  <si>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</si>
  <si>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</si>
  <si>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</si>
  <si>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</si>
  <si>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</si>
  <si>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</si>
  <si>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</si>
  <si>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</si>
  <si>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</si>
  <si>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</si>
  <si>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</si>
  <si>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</si>
  <si>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</si>
  <si>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</si>
  <si>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</si>
  <si>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</si>
  <si>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</si>
  <si>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</si>
  <si>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</si>
  <si>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</si>
  <si>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</si>
  <si>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</si>
  <si>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</si>
  <si>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</si>
  <si>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</si>
  <si>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</si>
  <si>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</si>
  <si>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</si>
  <si>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</si>
  <si>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</si>
  <si>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</si>
  <si>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</si>
  <si>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</si>
  <si>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</si>
  <si>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</si>
  <si>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</si>
  <si>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</si>
  <si>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</si>
  <si>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</si>
  <si>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</si>
  <si>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</si>
  <si>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</si>
  <si>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</si>
  <si>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</si>
  <si>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</si>
  <si>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</si>
  <si>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</si>
  <si>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</si>
  <si>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</si>
  <si>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</si>
  <si>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</si>
  <si>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</si>
  <si>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</si>
  <si>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</si>
  <si>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</si>
  <si>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</si>
  <si>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</si>
  <si>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</si>
  <si>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</si>
  <si>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</si>
  <si>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</si>
  <si>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</si>
  <si>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</si>
  <si>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</si>
  <si>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</si>
  <si>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</si>
  <si>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</si>
  <si>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</si>
  <si>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</si>
  <si>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</si>
  <si>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</si>
  <si>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</si>
  <si>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</si>
  <si>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</si>
  <si>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</si>
  <si>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</si>
  <si>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</si>
  <si>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</si>
  <si>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</si>
  <si>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</si>
  <si>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</si>
  <si>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</si>
  <si>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</si>
  <si>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</si>
  <si>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</si>
  <si>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</si>
  <si>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</si>
  <si>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</si>
  <si>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</si>
  <si>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</si>
  <si>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</si>
  <si>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</si>
  <si>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</si>
  <si>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</si>
  <si>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</si>
  <si>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</si>
  <si>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</si>
  <si>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</si>
  <si>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</si>
  <si>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</si>
  <si>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</si>
  <si>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</si>
  <si>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</si>
  <si>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</si>
  <si>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</si>
  <si>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</si>
  <si>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</si>
  <si>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</si>
  <si>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</si>
  <si>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</si>
  <si>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</si>
  <si>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</si>
  <si>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</si>
  <si>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</si>
  <si>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</si>
  <si>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</si>
  <si>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</si>
  <si>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</si>
  <si>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</si>
  <si>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</si>
  <si>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</si>
  <si>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</si>
  <si>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</si>
  <si>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</si>
  <si>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</si>
  <si>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</si>
  <si>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</si>
  <si>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</si>
  <si>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</si>
  <si>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</si>
  <si>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</si>
  <si>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</si>
  <si>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</si>
  <si>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</si>
  <si>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</si>
  <si>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</si>
  <si>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</si>
  <si>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</si>
  <si>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</si>
  <si>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</si>
  <si>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</si>
  <si>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</si>
  <si>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</si>
  <si>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</si>
  <si>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</si>
  <si>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</si>
  <si>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</si>
  <si>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</si>
  <si>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</si>
  <si>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</si>
  <si>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</si>
  <si>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</si>
  <si>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</si>
  <si>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</si>
  <si>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</si>
  <si>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</si>
  <si>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</si>
  <si>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</si>
  <si>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</si>
  <si>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</si>
  <si>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</si>
  <si>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</si>
  <si>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</si>
  <si>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</si>
  <si>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</si>
  <si>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</si>
  <si>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</si>
  <si>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</si>
  <si>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</si>
  <si>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</si>
  <si>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</si>
  <si>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</si>
  <si>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</si>
  <si>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</si>
  <si>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</si>
  <si>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</si>
  <si>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</si>
  <si>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</si>
  <si>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</si>
  <si>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</si>
  <si>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</si>
  <si>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</si>
  <si>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</si>
  <si>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</si>
  <si>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</si>
  <si>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</si>
  <si>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</si>
  <si>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</si>
  <si>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</si>
  <si>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</si>
  <si>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</si>
  <si>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</si>
  <si>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</si>
  <si>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</si>
  <si>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</si>
  <si>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</si>
  <si>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</si>
  <si>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</si>
  <si>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</si>
  <si>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</si>
  <si>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</si>
  <si>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</si>
  <si>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</si>
  <si>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</si>
  <si>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</si>
  <si>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</si>
  <si>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73022</t>
  </si>
  <si>
    <t>HEERS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</si>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</sst>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E5C31A1-EF73-4865-AB43-CCDED3136BB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61241.425830740161</c:v>
                </c:pt>
                <c:pt idx="1">
                  <c:v>10298.026714460681</c:v>
                </c:pt>
                <c:pt idx="2">
                  <c:v>411.048</c:v>
                </c:pt>
                <c:pt idx="3">
                  <c:v>12386.172373683492</c:v>
                </c:pt>
                <c:pt idx="4">
                  <c:v>1313.0163158183434</c:v>
                </c:pt>
                <c:pt idx="5">
                  <c:v>46631.054492823481</c:v>
                </c:pt>
                <c:pt idx="6">
                  <c:v>393.15565959749836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61241.425830740161</c:v>
                </c:pt>
                <c:pt idx="1">
                  <c:v>10298.026714460681</c:v>
                </c:pt>
                <c:pt idx="2">
                  <c:v>411.048</c:v>
                </c:pt>
                <c:pt idx="3">
                  <c:v>12386.172373683492</c:v>
                </c:pt>
                <c:pt idx="4">
                  <c:v>1313.0163158183434</c:v>
                </c:pt>
                <c:pt idx="5">
                  <c:v>46631.054492823481</c:v>
                </c:pt>
                <c:pt idx="6">
                  <c:v>393.15565959749836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13016.408646122549</c:v>
                </c:pt>
                <c:pt idx="2">
                  <c:v>2034.38124218912</c:v>
                </c:pt>
                <c:pt idx="3">
                  <c:v>81.852661745071629</c:v>
                </c:pt>
                <c:pt idx="4">
                  <c:v>3070.4468636527213</c:v>
                </c:pt>
                <c:pt idx="5">
                  <c:v>272.7664349825564</c:v>
                </c:pt>
                <c:pt idx="6">
                  <c:v>11664.684701620979</c:v>
                </c:pt>
                <c:pt idx="7">
                  <c:v>99.047729142828331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13016.408646122549</c:v>
                </c:pt>
                <c:pt idx="2">
                  <c:v>2034.38124218912</c:v>
                </c:pt>
                <c:pt idx="3">
                  <c:v>81.852661745071629</c:v>
                </c:pt>
                <c:pt idx="4">
                  <c:v>3070.4468636527213</c:v>
                </c:pt>
                <c:pt idx="5">
                  <c:v>272.7664349825564</c:v>
                </c:pt>
                <c:pt idx="6">
                  <c:v>11664.684701620979</c:v>
                </c:pt>
                <c:pt idx="7">
                  <c:v>99.047729142828331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73022</v>
      </c>
      <c r="B6" s="380"/>
      <c r="C6" s="381"/>
    </row>
    <row r="7" spans="1:7" s="378" customFormat="1" ht="15.75" customHeight="1">
      <c r="A7" s="382" t="str">
        <f>txtMunicipality</f>
        <v>HEERS</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0.19913163850711263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0.19913163850711263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2931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3968.41</v>
      </c>
      <c r="C14" s="322"/>
      <c r="D14" s="322"/>
      <c r="E14" s="322"/>
      <c r="F14" s="322"/>
    </row>
    <row r="15" spans="1:6">
      <c r="A15" s="1248" t="s">
        <v>177</v>
      </c>
      <c r="B15" s="1249">
        <v>728</v>
      </c>
      <c r="C15" s="322"/>
      <c r="D15" s="322"/>
      <c r="E15" s="322"/>
      <c r="F15" s="322"/>
    </row>
    <row r="16" spans="1:6">
      <c r="A16" s="1248" t="s">
        <v>6</v>
      </c>
      <c r="B16" s="1249">
        <v>530</v>
      </c>
      <c r="C16" s="322"/>
      <c r="D16" s="322"/>
      <c r="E16" s="322"/>
      <c r="F16" s="322"/>
    </row>
    <row r="17" spans="1:6">
      <c r="A17" s="1248" t="s">
        <v>7</v>
      </c>
      <c r="B17" s="1249">
        <v>1025</v>
      </c>
      <c r="C17" s="322"/>
      <c r="D17" s="322"/>
      <c r="E17" s="322"/>
      <c r="F17" s="322"/>
    </row>
    <row r="18" spans="1:6">
      <c r="A18" s="1248" t="s">
        <v>8</v>
      </c>
      <c r="B18" s="1249">
        <v>1091</v>
      </c>
      <c r="C18" s="322"/>
      <c r="D18" s="322"/>
      <c r="E18" s="322"/>
      <c r="F18" s="322"/>
    </row>
    <row r="19" spans="1:6">
      <c r="A19" s="1248" t="s">
        <v>9</v>
      </c>
      <c r="B19" s="1249">
        <v>946</v>
      </c>
      <c r="C19" s="322"/>
      <c r="D19" s="322"/>
      <c r="E19" s="322"/>
      <c r="F19" s="322"/>
    </row>
    <row r="20" spans="1:6">
      <c r="A20" s="1248" t="s">
        <v>10</v>
      </c>
      <c r="B20" s="1249">
        <v>777</v>
      </c>
      <c r="C20" s="322"/>
      <c r="D20" s="322"/>
      <c r="E20" s="322"/>
      <c r="F20" s="322"/>
    </row>
    <row r="21" spans="1:6">
      <c r="A21" s="1248" t="s">
        <v>11</v>
      </c>
      <c r="B21" s="1249">
        <v>1621</v>
      </c>
      <c r="C21" s="322"/>
      <c r="D21" s="322"/>
      <c r="E21" s="322"/>
      <c r="F21" s="322"/>
    </row>
    <row r="22" spans="1:6">
      <c r="A22" s="1248" t="s">
        <v>12</v>
      </c>
      <c r="B22" s="1249">
        <v>4756</v>
      </c>
      <c r="C22" s="322"/>
      <c r="D22" s="322"/>
      <c r="E22" s="322"/>
      <c r="F22" s="322"/>
    </row>
    <row r="23" spans="1:6">
      <c r="A23" s="1248" t="s">
        <v>13</v>
      </c>
      <c r="B23" s="1249">
        <v>50</v>
      </c>
      <c r="C23" s="322"/>
      <c r="D23" s="322"/>
      <c r="E23" s="322"/>
      <c r="F23" s="322"/>
    </row>
    <row r="24" spans="1:6">
      <c r="A24" s="1248" t="s">
        <v>14</v>
      </c>
      <c r="B24" s="1249">
        <v>5</v>
      </c>
      <c r="C24" s="322"/>
      <c r="D24" s="322"/>
      <c r="E24" s="322"/>
      <c r="F24" s="322"/>
    </row>
    <row r="25" spans="1:6">
      <c r="A25" s="1248" t="s">
        <v>15</v>
      </c>
      <c r="B25" s="1249">
        <v>328</v>
      </c>
      <c r="C25" s="322"/>
      <c r="D25" s="322"/>
      <c r="E25" s="322"/>
      <c r="F25" s="322"/>
    </row>
    <row r="26" spans="1:6">
      <c r="A26" s="1248" t="s">
        <v>16</v>
      </c>
      <c r="B26" s="1249">
        <v>80</v>
      </c>
      <c r="C26" s="322"/>
      <c r="D26" s="322"/>
      <c r="E26" s="322"/>
      <c r="F26" s="322"/>
    </row>
    <row r="27" spans="1:6">
      <c r="A27" s="1248" t="s">
        <v>17</v>
      </c>
      <c r="B27" s="1249">
        <v>4</v>
      </c>
      <c r="C27" s="322"/>
      <c r="D27" s="322"/>
      <c r="E27" s="322"/>
      <c r="F27" s="322"/>
    </row>
    <row r="28" spans="1:6">
      <c r="A28" s="1248" t="s">
        <v>18</v>
      </c>
      <c r="B28" s="1250">
        <v>13414</v>
      </c>
      <c r="C28" s="322"/>
      <c r="D28" s="322"/>
      <c r="E28" s="322"/>
      <c r="F28" s="322"/>
    </row>
    <row r="29" spans="1:6">
      <c r="A29" s="1248" t="s">
        <v>691</v>
      </c>
      <c r="B29" s="1250">
        <v>37</v>
      </c>
      <c r="C29" s="322"/>
      <c r="D29" s="322"/>
      <c r="E29" s="322"/>
      <c r="F29" s="322"/>
    </row>
    <row r="30" spans="1:6">
      <c r="A30" s="1243" t="s">
        <v>692</v>
      </c>
      <c r="B30" s="1251">
        <v>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23334</v>
      </c>
      <c r="E38" s="1249">
        <v>4</v>
      </c>
      <c r="F38" s="1249">
        <v>5027</v>
      </c>
    </row>
    <row r="39" spans="1:6">
      <c r="A39" s="1248" t="s">
        <v>29</v>
      </c>
      <c r="B39" s="1248" t="s">
        <v>30</v>
      </c>
      <c r="C39" s="1249">
        <v>1026</v>
      </c>
      <c r="D39" s="1249">
        <v>17053325</v>
      </c>
      <c r="E39" s="1249">
        <v>2902</v>
      </c>
      <c r="F39" s="1249">
        <v>10621647.550000001</v>
      </c>
    </row>
    <row r="40" spans="1:6">
      <c r="A40" s="1248" t="s">
        <v>29</v>
      </c>
      <c r="B40" s="1248" t="s">
        <v>28</v>
      </c>
      <c r="C40" s="1249">
        <v>0</v>
      </c>
      <c r="D40" s="1249">
        <v>0</v>
      </c>
      <c r="E40" s="1249">
        <v>0</v>
      </c>
      <c r="F40" s="1249">
        <v>0</v>
      </c>
    </row>
    <row r="41" spans="1:6">
      <c r="A41" s="1248" t="s">
        <v>31</v>
      </c>
      <c r="B41" s="1248" t="s">
        <v>32</v>
      </c>
      <c r="C41" s="1249">
        <v>19</v>
      </c>
      <c r="D41" s="1249">
        <v>416909</v>
      </c>
      <c r="E41" s="1249">
        <v>51</v>
      </c>
      <c r="F41" s="1249">
        <v>263248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72577</v>
      </c>
      <c r="E44" s="1249">
        <v>8</v>
      </c>
      <c r="F44" s="1249">
        <v>135552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84065</v>
      </c>
      <c r="E48" s="1249">
        <v>3</v>
      </c>
      <c r="F48" s="1249">
        <v>17449</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157026</v>
      </c>
    </row>
    <row r="51" spans="1:6">
      <c r="A51" s="1248" t="s">
        <v>41</v>
      </c>
      <c r="B51" s="1248" t="s">
        <v>42</v>
      </c>
      <c r="C51" s="1249">
        <v>14</v>
      </c>
      <c r="D51" s="1249">
        <v>2420604</v>
      </c>
      <c r="E51" s="1249">
        <v>105</v>
      </c>
      <c r="F51" s="1249">
        <v>2046846.656</v>
      </c>
    </row>
    <row r="52" spans="1:6">
      <c r="A52" s="1248" t="s">
        <v>41</v>
      </c>
      <c r="B52" s="1248" t="s">
        <v>28</v>
      </c>
      <c r="C52" s="1249">
        <v>0</v>
      </c>
      <c r="D52" s="1249">
        <v>0</v>
      </c>
      <c r="E52" s="1249">
        <v>0</v>
      </c>
      <c r="F52" s="1249">
        <v>0</v>
      </c>
    </row>
    <row r="53" spans="1:6">
      <c r="A53" s="1248" t="s">
        <v>43</v>
      </c>
      <c r="B53" s="1248" t="s">
        <v>44</v>
      </c>
      <c r="C53" s="1249">
        <v>17</v>
      </c>
      <c r="D53" s="1249">
        <v>424197.6</v>
      </c>
      <c r="E53" s="1249">
        <v>57</v>
      </c>
      <c r="F53" s="1249">
        <v>222633.25</v>
      </c>
    </row>
    <row r="54" spans="1:6">
      <c r="A54" s="1248" t="s">
        <v>45</v>
      </c>
      <c r="B54" s="1248" t="s">
        <v>46</v>
      </c>
      <c r="C54" s="1249">
        <v>0</v>
      </c>
      <c r="D54" s="1249">
        <v>0</v>
      </c>
      <c r="E54" s="1249">
        <v>2</v>
      </c>
      <c r="F54" s="1249">
        <v>411048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v>
      </c>
      <c r="D57" s="1249">
        <v>131958</v>
      </c>
      <c r="E57" s="1249">
        <v>29</v>
      </c>
      <c r="F57" s="1249">
        <v>1271929.6000000001</v>
      </c>
    </row>
    <row r="58" spans="1:6">
      <c r="A58" s="1248" t="s">
        <v>48</v>
      </c>
      <c r="B58" s="1248" t="s">
        <v>50</v>
      </c>
      <c r="C58" s="1249">
        <v>6</v>
      </c>
      <c r="D58" s="1249">
        <v>153609</v>
      </c>
      <c r="E58" s="1249">
        <v>15</v>
      </c>
      <c r="F58" s="1249">
        <v>184336</v>
      </c>
    </row>
    <row r="59" spans="1:6">
      <c r="A59" s="1248" t="s">
        <v>48</v>
      </c>
      <c r="B59" s="1248" t="s">
        <v>51</v>
      </c>
      <c r="C59" s="1249">
        <v>18</v>
      </c>
      <c r="D59" s="1249">
        <v>466489</v>
      </c>
      <c r="E59" s="1249">
        <v>75</v>
      </c>
      <c r="F59" s="1249">
        <v>1733945.2220000001</v>
      </c>
    </row>
    <row r="60" spans="1:6">
      <c r="A60" s="1248" t="s">
        <v>48</v>
      </c>
      <c r="B60" s="1248" t="s">
        <v>52</v>
      </c>
      <c r="C60" s="1249">
        <v>13</v>
      </c>
      <c r="D60" s="1249">
        <v>558105</v>
      </c>
      <c r="E60" s="1249">
        <v>52</v>
      </c>
      <c r="F60" s="1249">
        <v>756207.15</v>
      </c>
    </row>
    <row r="61" spans="1:6">
      <c r="A61" s="1248" t="s">
        <v>48</v>
      </c>
      <c r="B61" s="1248" t="s">
        <v>53</v>
      </c>
      <c r="C61" s="1249">
        <v>42</v>
      </c>
      <c r="D61" s="1249">
        <v>1868147.6</v>
      </c>
      <c r="E61" s="1249">
        <v>113</v>
      </c>
      <c r="F61" s="1249">
        <v>1177185.7439999999</v>
      </c>
    </row>
    <row r="62" spans="1:6">
      <c r="A62" s="1248" t="s">
        <v>48</v>
      </c>
      <c r="B62" s="1248" t="s">
        <v>54</v>
      </c>
      <c r="C62" s="1249">
        <v>4</v>
      </c>
      <c r="D62" s="1249">
        <v>436709</v>
      </c>
      <c r="E62" s="1249">
        <v>6</v>
      </c>
      <c r="F62" s="1249">
        <v>64943</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6</v>
      </c>
      <c r="F66" s="1249">
        <v>182074</v>
      </c>
    </row>
    <row r="67" spans="1:6">
      <c r="A67" s="1248" t="s">
        <v>55</v>
      </c>
      <c r="B67" s="1248" t="s">
        <v>58</v>
      </c>
      <c r="C67" s="1249">
        <v>0</v>
      </c>
      <c r="D67" s="1249">
        <v>0</v>
      </c>
      <c r="E67" s="1249">
        <v>0</v>
      </c>
      <c r="F67" s="1249">
        <v>0</v>
      </c>
    </row>
    <row r="68" spans="1:6">
      <c r="A68" s="1243" t="s">
        <v>55</v>
      </c>
      <c r="B68" s="1243" t="s">
        <v>59</v>
      </c>
      <c r="C68" s="1251">
        <v>5</v>
      </c>
      <c r="D68" s="1251">
        <v>89928</v>
      </c>
      <c r="E68" s="1251">
        <v>14</v>
      </c>
      <c r="F68" s="1251">
        <v>58304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46144987</v>
      </c>
      <c r="E73" s="439"/>
      <c r="F73" s="322"/>
    </row>
    <row r="74" spans="1:6">
      <c r="A74" s="1248" t="s">
        <v>63</v>
      </c>
      <c r="B74" s="1248" t="s">
        <v>617</v>
      </c>
      <c r="C74" s="1261" t="s">
        <v>619</v>
      </c>
      <c r="D74" s="1249">
        <v>3421037.5</v>
      </c>
      <c r="E74" s="439"/>
      <c r="F74" s="322"/>
    </row>
    <row r="75" spans="1:6">
      <c r="A75" s="1248" t="s">
        <v>64</v>
      </c>
      <c r="B75" s="1248" t="s">
        <v>616</v>
      </c>
      <c r="C75" s="1261" t="s">
        <v>620</v>
      </c>
      <c r="D75" s="1249">
        <v>8691228</v>
      </c>
      <c r="E75" s="439"/>
      <c r="F75" s="322"/>
    </row>
    <row r="76" spans="1:6">
      <c r="A76" s="1248" t="s">
        <v>64</v>
      </c>
      <c r="B76" s="1248" t="s">
        <v>617</v>
      </c>
      <c r="C76" s="1261" t="s">
        <v>621</v>
      </c>
      <c r="D76" s="1249">
        <v>264062.5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106933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1793.6846946884557</v>
      </c>
      <c r="C91" s="322"/>
      <c r="D91" s="322"/>
      <c r="E91" s="322"/>
      <c r="F91" s="322"/>
    </row>
    <row r="92" spans="1:6">
      <c r="A92" s="1243" t="s">
        <v>68</v>
      </c>
      <c r="B92" s="1244">
        <v>273.41797855877519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176</v>
      </c>
      <c r="C97" s="322"/>
      <c r="D97" s="322"/>
      <c r="E97" s="322"/>
      <c r="F97" s="322"/>
    </row>
    <row r="98" spans="1:6">
      <c r="A98" s="1248" t="s">
        <v>71</v>
      </c>
      <c r="B98" s="1249">
        <v>2</v>
      </c>
      <c r="C98" s="322"/>
      <c r="D98" s="322"/>
      <c r="E98" s="322"/>
      <c r="F98" s="322"/>
    </row>
    <row r="99" spans="1:6">
      <c r="A99" s="1248" t="s">
        <v>72</v>
      </c>
      <c r="B99" s="1249">
        <v>23</v>
      </c>
      <c r="C99" s="322"/>
      <c r="D99" s="322"/>
      <c r="E99" s="322"/>
      <c r="F99" s="322"/>
    </row>
    <row r="100" spans="1:6">
      <c r="A100" s="1248" t="s">
        <v>73</v>
      </c>
      <c r="B100" s="1249">
        <v>74</v>
      </c>
      <c r="C100" s="322"/>
      <c r="D100" s="322"/>
      <c r="E100" s="322"/>
      <c r="F100" s="322"/>
    </row>
    <row r="101" spans="1:6">
      <c r="A101" s="1248" t="s">
        <v>74</v>
      </c>
      <c r="B101" s="1249">
        <v>31</v>
      </c>
      <c r="C101" s="322"/>
      <c r="D101" s="322"/>
      <c r="E101" s="322"/>
      <c r="F101" s="322"/>
    </row>
    <row r="102" spans="1:6">
      <c r="A102" s="1248" t="s">
        <v>75</v>
      </c>
      <c r="B102" s="1249">
        <v>20</v>
      </c>
      <c r="C102" s="322"/>
      <c r="D102" s="322"/>
      <c r="E102" s="322"/>
      <c r="F102" s="322"/>
    </row>
    <row r="103" spans="1:6">
      <c r="A103" s="1248" t="s">
        <v>76</v>
      </c>
      <c r="B103" s="1249">
        <v>117</v>
      </c>
      <c r="C103" s="322"/>
      <c r="D103" s="322"/>
      <c r="E103" s="322"/>
      <c r="F103" s="322"/>
    </row>
    <row r="104" spans="1:6">
      <c r="A104" s="1248" t="s">
        <v>77</v>
      </c>
      <c r="B104" s="1249">
        <v>2117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13</v>
      </c>
      <c r="C123" s="1249">
        <v>10</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48</v>
      </c>
      <c r="C129" s="322"/>
      <c r="D129" s="322"/>
      <c r="E129" s="322"/>
      <c r="F129" s="322"/>
    </row>
    <row r="130" spans="1:6">
      <c r="A130" s="1248" t="s">
        <v>283</v>
      </c>
      <c r="B130" s="1249">
        <v>1</v>
      </c>
      <c r="C130" s="322"/>
      <c r="D130" s="322"/>
      <c r="E130" s="322"/>
      <c r="F130" s="322"/>
    </row>
    <row r="131" spans="1:6">
      <c r="A131" s="1248" t="s">
        <v>284</v>
      </c>
      <c r="B131" s="1249">
        <v>0</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20889.982586771319</v>
      </c>
      <c r="C3" s="43" t="s">
        <v>163</v>
      </c>
      <c r="D3" s="43"/>
      <c r="E3" s="153"/>
      <c r="F3" s="43"/>
      <c r="G3" s="43"/>
      <c r="H3" s="43"/>
      <c r="I3" s="43"/>
      <c r="J3" s="43"/>
      <c r="K3" s="96"/>
    </row>
    <row r="4" spans="1:11">
      <c r="A4" s="348" t="s">
        <v>164</v>
      </c>
      <c r="B4" s="49">
        <f>IF(ISERROR('SEAP template'!B78+'SEAP template'!C78),0,'SEAP template'!B78+'SEAP template'!C78)</f>
        <v>2067.102673247231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0.19913163850711263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411.048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411.048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0.19913163850711263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81.852661745071629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10621.647550000002</v>
      </c>
      <c r="C5" s="17">
        <f>IF(ISERROR('Eigen informatie GS &amp; warmtenet'!B57),0,'Eigen informatie GS &amp; warmtenet'!B57)</f>
        <v>0</v>
      </c>
      <c r="D5" s="30">
        <f>(SUM(HH_hh_gas_kWh,HH_rest_gas_kWh)/1000)*0.902</f>
        <v>15382.099150000002</v>
      </c>
      <c r="E5" s="17">
        <f>B32*B41</f>
        <v>1151.581751476444</v>
      </c>
      <c r="F5" s="17">
        <f>B36*B45</f>
        <v>26692.769049964852</v>
      </c>
      <c r="G5" s="18"/>
      <c r="H5" s="17"/>
      <c r="I5" s="17"/>
      <c r="J5" s="17">
        <f>B35*B44+C35*C44</f>
        <v>137.17732034400566</v>
      </c>
      <c r="K5" s="17"/>
      <c r="L5" s="17"/>
      <c r="M5" s="17"/>
      <c r="N5" s="17">
        <f>B34*B43+C34*C43</f>
        <v>4914.1929809330786</v>
      </c>
      <c r="O5" s="17">
        <f>B52*B53*B54</f>
        <v>90.673333333333346</v>
      </c>
      <c r="P5" s="17">
        <f>B60*B61*B62/1000-B60*B61*B62/1000/B63</f>
        <v>457.6</v>
      </c>
    </row>
    <row r="6" spans="1:16">
      <c r="A6" s="16" t="s">
        <v>582</v>
      </c>
      <c r="B6" s="716">
        <f>kWh_PV_kleiner_dan_10kW</f>
        <v>1793.6846946884557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12415.332244688458</v>
      </c>
      <c r="C8" s="21">
        <f>C5</f>
        <v>0</v>
      </c>
      <c r="D8" s="21">
        <f>D5</f>
        <v>15382.099150000002</v>
      </c>
      <c r="E8" s="21">
        <f>E5</f>
        <v>1151.581751476444</v>
      </c>
      <c r="F8" s="21">
        <f>F5</f>
        <v>26692.769049964852</v>
      </c>
      <c r="G8" s="21"/>
      <c r="H8" s="21"/>
      <c r="I8" s="21"/>
      <c r="J8" s="21">
        <f>J5</f>
        <v>137.17732034400566</v>
      </c>
      <c r="K8" s="21"/>
      <c r="L8" s="21">
        <f>L5</f>
        <v>0</v>
      </c>
      <c r="M8" s="21">
        <f>M5</f>
        <v>0</v>
      </c>
      <c r="N8" s="21">
        <f>N5</f>
        <v>4914.1929809330786</v>
      </c>
      <c r="O8" s="21">
        <f>O5</f>
        <v>90.673333333333346</v>
      </c>
      <c r="P8" s="21">
        <f>P5</f>
        <v>457.6</v>
      </c>
    </row>
    <row r="9" spans="1:16">
      <c r="B9" s="19"/>
      <c r="C9" s="19"/>
      <c r="D9" s="253"/>
      <c r="E9" s="19"/>
      <c r="F9" s="19"/>
      <c r="G9" s="19"/>
      <c r="H9" s="19"/>
      <c r="I9" s="19"/>
      <c r="J9" s="19"/>
      <c r="K9" s="19"/>
      <c r="L9" s="19"/>
      <c r="M9" s="19"/>
      <c r="N9" s="19"/>
      <c r="O9" s="19"/>
      <c r="P9" s="19"/>
    </row>
    <row r="10" spans="1:16">
      <c r="A10" s="24" t="s">
        <v>207</v>
      </c>
      <c r="B10" s="25">
        <f ca="1">'EF ele_warmte'!B12</f>
        <v>0.19913163850711263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2472.2854524950012</v>
      </c>
      <c r="C12" s="23">
        <f ca="1">C10*C8</f>
        <v>0</v>
      </c>
      <c r="D12" s="23">
        <f>D8*D10</f>
        <v>3107.1840283000006</v>
      </c>
      <c r="E12" s="23">
        <f>E10*E8</f>
        <v>261.40905758515277</v>
      </c>
      <c r="F12" s="23">
        <f>F10*F8</f>
        <v>7126.9693363406159</v>
      </c>
      <c r="G12" s="23"/>
      <c r="H12" s="23"/>
      <c r="I12" s="23"/>
      <c r="J12" s="23">
        <f>J10*J8</f>
        <v>48.560771401778005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2931</v>
      </c>
      <c r="C26" s="36"/>
      <c r="D26" s="224"/>
    </row>
    <row r="27" spans="1:5" s="15" customFormat="1">
      <c r="A27" s="226" t="s">
        <v>736</v>
      </c>
      <c r="B27" s="37">
        <f>SUM(HH_hh_gas_aantal,HH_rest_gas_aantal)</f>
        <v>1026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974.7</v>
      </c>
      <c r="C31" s="34" t="s">
        <v>104</v>
      </c>
      <c r="D31" s="170"/>
    </row>
    <row r="32" spans="1:5">
      <c r="A32" s="167" t="s">
        <v>72</v>
      </c>
      <c r="B32" s="33">
        <f>IF((B21*($B$26-($B$27-0.05*$B$27)-$B$60))&lt;0,0,B21*($B$26-($B$27-0.05*$B$27)-$B$60))</f>
        <v>21.280097290055814</v>
      </c>
      <c r="C32" s="34" t="s">
        <v>104</v>
      </c>
      <c r="D32" s="170"/>
    </row>
    <row r="33" spans="1:6">
      <c r="A33" s="167" t="s">
        <v>73</v>
      </c>
      <c r="B33" s="33">
        <f>IF((B22*($B$26-($B$27-0.05*$B$27)-$B$60))&lt;0,0,B22*($B$26-($B$27-0.05*$B$27)-$B$60))</f>
        <v>442.43109303231245</v>
      </c>
      <c r="C33" s="34" t="s">
        <v>104</v>
      </c>
      <c r="D33" s="170"/>
    </row>
    <row r="34" spans="1:6">
      <c r="A34" s="167" t="s">
        <v>74</v>
      </c>
      <c r="B34" s="33">
        <f>IF((B24*($B$26-($B$27-0.05*$B$27)-$B$60))&lt;0,0,B24*($B$26-($B$27-0.05*$B$27)-$B$60))</f>
        <v>172.67933884893728</v>
      </c>
      <c r="C34" s="33">
        <f>B26*C24</f>
        <v>519.15231619722101</v>
      </c>
      <c r="D34" s="229"/>
    </row>
    <row r="35" spans="1:6">
      <c r="A35" s="167" t="s">
        <v>76</v>
      </c>
      <c r="B35" s="33">
        <f>IF((B19*($B$26-($B$27-0.05*$B$27)-$B$60))&lt;0,0,B19*($B$26-($B$27-0.05*$B$27)-$B$60))</f>
        <v>16.106739001264508</v>
      </c>
      <c r="C35" s="33">
        <f>B35/2</f>
        <v>8.0533695006322539</v>
      </c>
      <c r="D35" s="229"/>
    </row>
    <row r="36" spans="1:6">
      <c r="A36" s="167" t="s">
        <v>77</v>
      </c>
      <c r="B36" s="33">
        <f>IF((B18*($B$26-($B$27-0.05*$B$27)-$B$60))&lt;0,0,B18*($B$26-($B$27-0.05*$B$27)-$B$60))</f>
        <v>1279.8027318274299</v>
      </c>
      <c r="C36" s="34" t="s">
        <v>104</v>
      </c>
      <c r="D36" s="170"/>
    </row>
    <row r="37" spans="1:6">
      <c r="A37" s="167" t="s">
        <v>78</v>
      </c>
      <c r="B37" s="33">
        <f>B60</f>
        <v>24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58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5188.5467160000007</v>
      </c>
      <c r="C5" s="17">
        <f>IF(ISERROR('Eigen informatie GS &amp; warmtenet'!B58),0,'Eigen informatie GS &amp; warmtenet'!B58)</f>
        <v>0</v>
      </c>
      <c r="D5" s="30">
        <f>SUM(D6:D12)</f>
        <v>3260.7458752000002</v>
      </c>
      <c r="E5" s="17">
        <f>SUM(E6:E12)</f>
        <v>77.608160259050294</v>
      </c>
      <c r="F5" s="17">
        <f>SUM(F6:F12)</f>
        <v>1216.7968950153959</v>
      </c>
      <c r="G5" s="18"/>
      <c r="H5" s="17"/>
      <c r="I5" s="17"/>
      <c r="J5" s="17">
        <f>SUM(J6:J12)</f>
        <v>1.3963341882197448E-2</v>
      </c>
      <c r="K5" s="17"/>
      <c r="L5" s="17"/>
      <c r="M5" s="17"/>
      <c r="N5" s="17">
        <f>SUM(N6:N12)</f>
        <v>552.75177131101668</v>
      </c>
      <c r="O5" s="17">
        <f>B38*B39*B40</f>
        <v>1.5633333333333335</v>
      </c>
      <c r="P5" s="17">
        <f>B46*B47*B48/1000-B46*B47*B48/1000/B49</f>
        <v>0</v>
      </c>
      <c r="R5" s="32"/>
    </row>
    <row r="6" spans="1:18">
      <c r="A6" s="32" t="s">
        <v>53</v>
      </c>
      <c r="B6" s="37">
        <f>B26</f>
        <v>1177.1857439999999</v>
      </c>
      <c r="C6" s="33"/>
      <c r="D6" s="37">
        <f>IF(ISERROR(TER_kantoor_gas_kWh/1000),0,TER_kantoor_gas_kWh/1000)*0.902</f>
        <v>1685.0691352000001</v>
      </c>
      <c r="E6" s="33">
        <f>$C$26*'E Balans VL '!I12/100/3.6*1000000</f>
        <v>-9.6662272549271987E-5</v>
      </c>
      <c r="F6" s="33">
        <f>$C$26*('E Balans VL '!L12+'E Balans VL '!N12)/100/3.6*1000000</f>
        <v>149.18637445738335</v>
      </c>
      <c r="G6" s="34"/>
      <c r="H6" s="33"/>
      <c r="I6" s="33"/>
      <c r="J6" s="33">
        <f>$C$26*('E Balans VL '!D12+'E Balans VL '!E12)/100/3.6*1000000</f>
        <v>0</v>
      </c>
      <c r="K6" s="33"/>
      <c r="L6" s="33"/>
      <c r="M6" s="33"/>
      <c r="N6" s="33">
        <f>$C$26*'E Balans VL '!Y12/100/3.6*1000000</f>
        <v>1.4438879446597375</v>
      </c>
      <c r="O6" s="33"/>
      <c r="P6" s="33"/>
      <c r="R6" s="32"/>
    </row>
    <row r="7" spans="1:18">
      <c r="A7" s="32" t="s">
        <v>52</v>
      </c>
      <c r="B7" s="37">
        <f t="shared" ref="B7:B12" si="0">B27</f>
        <v>756.20715000000007</v>
      </c>
      <c r="C7" s="33"/>
      <c r="D7" s="37">
        <f>IF(ISERROR(TER_horeca_gas_kWh/1000),0,TER_horeca_gas_kWh/1000)*0.902</f>
        <v>503.41071000000005</v>
      </c>
      <c r="E7" s="33">
        <f>$C$27*'E Balans VL '!I9/100/3.6*1000000</f>
        <v>8.7043146399569782</v>
      </c>
      <c r="F7" s="33">
        <f>$C$27*('E Balans VL '!L9+'E Balans VL '!N9)/100/3.6*1000000</f>
        <v>97.500689271080432</v>
      </c>
      <c r="G7" s="34"/>
      <c r="H7" s="33"/>
      <c r="I7" s="33"/>
      <c r="J7" s="33">
        <f>$C$27*('E Balans VL '!D9+'E Balans VL '!E9)/100/3.6*1000000</f>
        <v>0</v>
      </c>
      <c r="K7" s="33"/>
      <c r="L7" s="33"/>
      <c r="M7" s="33"/>
      <c r="N7" s="33">
        <f>$C$27*'E Balans VL '!Y9/100/3.6*1000000</f>
        <v>7.9815931754290128</v>
      </c>
      <c r="O7" s="33"/>
      <c r="P7" s="33"/>
      <c r="R7" s="32"/>
    </row>
    <row r="8" spans="1:18">
      <c r="A8" s="6" t="s">
        <v>51</v>
      </c>
      <c r="B8" s="37">
        <f t="shared" si="0"/>
        <v>1733.9452220000001</v>
      </c>
      <c r="C8" s="33"/>
      <c r="D8" s="37">
        <f>IF(ISERROR(TER_handel_gas_kWh/1000),0,TER_handel_gas_kWh/1000)*0.902</f>
        <v>420.773078</v>
      </c>
      <c r="E8" s="33">
        <f>$C$28*'E Balans VL '!I13/100/3.6*1000000</f>
        <v>48.922232718187551</v>
      </c>
      <c r="F8" s="33">
        <f>$C$28*('E Balans VL '!L13+'E Balans VL '!N13)/100/3.6*1000000</f>
        <v>174.3977156252663</v>
      </c>
      <c r="G8" s="34"/>
      <c r="H8" s="33"/>
      <c r="I8" s="33"/>
      <c r="J8" s="33">
        <f>$C$28*('E Balans VL '!D13+'E Balans VL '!E13)/100/3.6*1000000</f>
        <v>0</v>
      </c>
      <c r="K8" s="33"/>
      <c r="L8" s="33"/>
      <c r="M8" s="33"/>
      <c r="N8" s="33">
        <f>$C$28*'E Balans VL '!Y13/100/3.6*1000000</f>
        <v>2.3935171575177963</v>
      </c>
      <c r="O8" s="33"/>
      <c r="P8" s="33"/>
      <c r="R8" s="32"/>
    </row>
    <row r="9" spans="1:18">
      <c r="A9" s="32" t="s">
        <v>50</v>
      </c>
      <c r="B9" s="37">
        <f t="shared" si="0"/>
        <v>184.33600000000001</v>
      </c>
      <c r="C9" s="33"/>
      <c r="D9" s="37">
        <f>IF(ISERROR(TER_gezond_gas_kWh/1000),0,TER_gezond_gas_kWh/1000)*0.902</f>
        <v>138.555318</v>
      </c>
      <c r="E9" s="33">
        <f>$C$29*'E Balans VL '!I10/100/3.6*1000000</f>
        <v>0.3682465771941616</v>
      </c>
      <c r="F9" s="33">
        <f>$C$29*('E Balans VL '!L10+'E Balans VL '!N10)/100/3.6*1000000</f>
        <v>16.151531200398445</v>
      </c>
      <c r="G9" s="34"/>
      <c r="H9" s="33"/>
      <c r="I9" s="33"/>
      <c r="J9" s="33">
        <f>$C$29*('E Balans VL '!D10+'E Balans VL '!E10)/100/3.6*1000000</f>
        <v>0</v>
      </c>
      <c r="K9" s="33"/>
      <c r="L9" s="33"/>
      <c r="M9" s="33"/>
      <c r="N9" s="33">
        <f>$C$29*'E Balans VL '!Y10/100/3.6*1000000</f>
        <v>2.7883469687186242</v>
      </c>
      <c r="O9" s="33"/>
      <c r="P9" s="33"/>
      <c r="R9" s="32"/>
    </row>
    <row r="10" spans="1:18">
      <c r="A10" s="32" t="s">
        <v>49</v>
      </c>
      <c r="B10" s="37">
        <f t="shared" si="0"/>
        <v>1271.9296000000002</v>
      </c>
      <c r="C10" s="33"/>
      <c r="D10" s="37">
        <f>IF(ISERROR(TER_ander_gas_kWh/1000),0,TER_ander_gas_kWh/1000)*0.902</f>
        <v>119.026116</v>
      </c>
      <c r="E10" s="33">
        <f>$C$30*'E Balans VL '!I14/100/3.6*1000000</f>
        <v>17.918418764342864</v>
      </c>
      <c r="F10" s="33">
        <f>$C$30*('E Balans VL '!L14+'E Balans VL '!N14)/100/3.6*1000000</f>
        <v>771.56880259087654</v>
      </c>
      <c r="G10" s="34"/>
      <c r="H10" s="33"/>
      <c r="I10" s="33"/>
      <c r="J10" s="33">
        <f>$C$30*('E Balans VL '!D14+'E Balans VL '!E14)/100/3.6*1000000</f>
        <v>1.3963341882197448E-2</v>
      </c>
      <c r="K10" s="33"/>
      <c r="L10" s="33"/>
      <c r="M10" s="33"/>
      <c r="N10" s="33">
        <f>$C$30*'E Balans VL '!Y14/100/3.6*1000000</f>
        <v>537.9387707435958</v>
      </c>
      <c r="O10" s="33"/>
      <c r="P10" s="33"/>
      <c r="R10" s="32"/>
    </row>
    <row r="11" spans="1:18">
      <c r="A11" s="32" t="s">
        <v>54</v>
      </c>
      <c r="B11" s="37">
        <f t="shared" si="0"/>
        <v>64.942999999999998</v>
      </c>
      <c r="C11" s="33"/>
      <c r="D11" s="37">
        <f>IF(ISERROR(TER_onderwijs_gas_kWh/1000),0,TER_onderwijs_gas_kWh/1000)*0.902</f>
        <v>393.911518</v>
      </c>
      <c r="E11" s="33">
        <f>$C$31*'E Balans VL '!I11/100/3.6*1000000</f>
        <v>1.6950442216412831</v>
      </c>
      <c r="F11" s="33">
        <f>$C$31*('E Balans VL '!L11+'E Balans VL '!N11)/100/3.6*1000000</f>
        <v>7.9917818703907448</v>
      </c>
      <c r="G11" s="34"/>
      <c r="H11" s="33"/>
      <c r="I11" s="33"/>
      <c r="J11" s="33">
        <f>$C$31*('E Balans VL '!D11+'E Balans VL '!E11)/100/3.6*1000000</f>
        <v>0</v>
      </c>
      <c r="K11" s="33"/>
      <c r="L11" s="33"/>
      <c r="M11" s="33"/>
      <c r="N11" s="33">
        <f>$C$31*'E Balans VL '!Y11/100/3.6*1000000</f>
        <v>0.20565532109576937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5188.5467160000007</v>
      </c>
      <c r="C16" s="21">
        <f t="shared" ca="1" si="1"/>
        <v>0</v>
      </c>
      <c r="D16" s="21">
        <f t="shared" ca="1" si="1"/>
        <v>3260.7458752000002</v>
      </c>
      <c r="E16" s="21">
        <f t="shared" si="1"/>
        <v>77.608160259050294</v>
      </c>
      <c r="F16" s="21">
        <f t="shared" ca="1" si="1"/>
        <v>1216.7968950153959</v>
      </c>
      <c r="G16" s="21">
        <f t="shared" si="1"/>
        <v>0</v>
      </c>
      <c r="H16" s="21">
        <f t="shared" si="1"/>
        <v>0</v>
      </c>
      <c r="I16" s="21">
        <f t="shared" si="1"/>
        <v>0</v>
      </c>
      <c r="J16" s="21">
        <f t="shared" si="1"/>
        <v>1.3963341882197448E-2</v>
      </c>
      <c r="K16" s="21">
        <f t="shared" si="1"/>
        <v>0</v>
      </c>
      <c r="L16" s="21">
        <f t="shared" ca="1" si="1"/>
        <v>0</v>
      </c>
      <c r="M16" s="21">
        <f t="shared" si="1"/>
        <v>0</v>
      </c>
      <c r="N16" s="21">
        <f t="shared" ca="1" si="1"/>
        <v>552.75177131101668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0.19913163850711263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1033.2038090277786</v>
      </c>
      <c r="C20" s="23">
        <f t="shared" ref="C20:P20" ca="1" si="2">C16*C18</f>
        <v>0</v>
      </c>
      <c r="D20" s="23">
        <f t="shared" ca="1" si="2"/>
        <v>658.67066679040011</v>
      </c>
      <c r="E20" s="23">
        <f t="shared" si="2"/>
        <v>17.617052378804416</v>
      </c>
      <c r="F20" s="23">
        <f t="shared" ca="1" si="2"/>
        <v>324.88477096911072</v>
      </c>
      <c r="G20" s="23">
        <f t="shared" si="2"/>
        <v>0</v>
      </c>
      <c r="H20" s="23">
        <f t="shared" si="2"/>
        <v>0</v>
      </c>
      <c r="I20" s="23">
        <f t="shared" si="2"/>
        <v>0</v>
      </c>
      <c r="J20" s="23">
        <f t="shared" si="2"/>
        <v>4.9430230262978965E-3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1177.1857439999999</v>
      </c>
      <c r="C26" s="39">
        <f>IF(ISERROR(B26*3.6/1000000/'E Balans VL '!Z12*100),0,B26*3.6/1000000/'E Balans VL '!Z12*100)</f>
        <v>3.1914517191125515E-2</v>
      </c>
      <c r="D26" s="232" t="s">
        <v>700</v>
      </c>
      <c r="F26" s="6"/>
    </row>
    <row r="27" spans="1:18">
      <c r="A27" s="227" t="s">
        <v>52</v>
      </c>
      <c r="B27" s="33">
        <f>IF(ISERROR(TER_horeca_ele_kWh/1000),0,TER_horeca_ele_kWh/1000)</f>
        <v>756.20715000000007</v>
      </c>
      <c r="C27" s="39">
        <f>IF(ISERROR(B27*3.6/1000000/'E Balans VL '!Z9*100),0,B27*3.6/1000000/'E Balans VL '!Z9*100)</f>
        <v>5.8493416299006756E-2</v>
      </c>
      <c r="D27" s="232" t="s">
        <v>700</v>
      </c>
      <c r="F27" s="6"/>
    </row>
    <row r="28" spans="1:18">
      <c r="A28" s="167" t="s">
        <v>51</v>
      </c>
      <c r="B28" s="33">
        <f>IF(ISERROR(TER_handel_ele_kWh/1000),0,TER_handel_ele_kWh/1000)</f>
        <v>1733.9452220000001</v>
      </c>
      <c r="C28" s="39">
        <f>IF(ISERROR(B28*3.6/1000000/'E Balans VL '!Z13*100),0,B28*3.6/1000000/'E Balans VL '!Z13*100)</f>
        <v>5.0150180333788062E-2</v>
      </c>
      <c r="D28" s="232" t="s">
        <v>700</v>
      </c>
      <c r="F28" s="6"/>
    </row>
    <row r="29" spans="1:18">
      <c r="A29" s="227" t="s">
        <v>50</v>
      </c>
      <c r="B29" s="33">
        <f>IF(ISERROR(TER_gezond_ele_kWh/1000),0,TER_gezond_ele_kWh/1000)</f>
        <v>184.33600000000001</v>
      </c>
      <c r="C29" s="39">
        <f>IF(ISERROR(B29*3.6/1000000/'E Balans VL '!Z10*100),0,B29*3.6/1000000/'E Balans VL '!Z10*100)</f>
        <v>1.8984800219500605E-2</v>
      </c>
      <c r="D29" s="232" t="s">
        <v>700</v>
      </c>
      <c r="F29" s="6"/>
    </row>
    <row r="30" spans="1:18">
      <c r="A30" s="227" t="s">
        <v>49</v>
      </c>
      <c r="B30" s="33">
        <f>IF(ISERROR(TER_ander_ele_kWh/1000),0,TER_ander_ele_kWh/1000)</f>
        <v>1271.9296000000002</v>
      </c>
      <c r="C30" s="39">
        <f>IF(ISERROR(B30*3.6/1000000/'E Balans VL '!Z14*100),0,B30*3.6/1000000/'E Balans VL '!Z14*100)</f>
        <v>5.7187748322992962E-2</v>
      </c>
      <c r="D30" s="232" t="s">
        <v>700</v>
      </c>
      <c r="F30" s="6"/>
    </row>
    <row r="31" spans="1:18">
      <c r="A31" s="227" t="s">
        <v>54</v>
      </c>
      <c r="B31" s="33">
        <f>IF(ISERROR(TER_onderwijs_ele_kWh/1000),0,TER_onderwijs_ele_kWh/1000)</f>
        <v>64.942999999999998</v>
      </c>
      <c r="C31" s="39">
        <f>IF(ISERROR(B31*3.6/1000000/'E Balans VL '!Z11*100),0,B31*3.6/1000000/'E Balans VL '!Z11*100)</f>
        <v>1.8149420724643334E-2</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573.27499999999998</v>
      </c>
      <c r="C5" s="17">
        <f>IF(ISERROR('Eigen informatie GS &amp; warmtenet'!B59),0,'Eigen informatie GS &amp; warmtenet'!B59)</f>
        <v>0</v>
      </c>
      <c r="D5" s="30">
        <f>SUM(D6:D15)</f>
        <v>517.34300199999996</v>
      </c>
      <c r="E5" s="17">
        <f>SUM(E6:E15)</f>
        <v>4.0348892562541545</v>
      </c>
      <c r="F5" s="17">
        <f>SUM(F6:F15)</f>
        <v>199.13215732037986</v>
      </c>
      <c r="G5" s="18"/>
      <c r="H5" s="17"/>
      <c r="I5" s="17"/>
      <c r="J5" s="17">
        <f>SUM(J6:J15)</f>
        <v>6.1448157289047178E-2</v>
      </c>
      <c r="K5" s="17"/>
      <c r="L5" s="17"/>
      <c r="M5" s="17"/>
      <c r="N5" s="17">
        <f>SUM(N6:N15)</f>
        <v>19.169819084420304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135.55199999999999</v>
      </c>
      <c r="C8" s="33"/>
      <c r="D8" s="37">
        <f>IF( ISERROR(IND_metaal_Gas_kWH/1000),0,IND_metaal_Gas_kWH/1000)*0.902</f>
        <v>65.464454000000003</v>
      </c>
      <c r="E8" s="33">
        <f>C30*'E Balans VL '!I18/100/3.6*1000000</f>
        <v>1.2301759308818054</v>
      </c>
      <c r="F8" s="33">
        <f>C30*'E Balans VL '!L18/100/3.6*1000000+C30*'E Balans VL '!N18/100/3.6*1000000</f>
        <v>12.476488531121827</v>
      </c>
      <c r="G8" s="34"/>
      <c r="H8" s="33"/>
      <c r="I8" s="33"/>
      <c r="J8" s="40">
        <f>C30*'E Balans VL '!D18/100/3.6*1000000+C30*'E Balans VL '!E18/100/3.6*1000000</f>
        <v>0</v>
      </c>
      <c r="K8" s="33"/>
      <c r="L8" s="33"/>
      <c r="M8" s="33"/>
      <c r="N8" s="33">
        <f>C30*'E Balans VL '!Y18/100/3.6*1000000</f>
        <v>1.9789524545491142</v>
      </c>
      <c r="O8" s="33"/>
      <c r="P8" s="33"/>
      <c r="R8" s="32"/>
    </row>
    <row r="9" spans="1:18">
      <c r="A9" s="6" t="s">
        <v>32</v>
      </c>
      <c r="B9" s="37">
        <f t="shared" si="0"/>
        <v>263.24799999999999</v>
      </c>
      <c r="C9" s="33"/>
      <c r="D9" s="37">
        <f>IF( ISERROR(IND_andere_gas_kWh/1000),0,IND_andere_gas_kWh/1000)*0.902</f>
        <v>376.051918</v>
      </c>
      <c r="E9" s="33">
        <f>C31*'E Balans VL '!I19/100/3.6*1000000</f>
        <v>1.5279508850693855</v>
      </c>
      <c r="F9" s="33">
        <f>C31*'E Balans VL '!L19/100/3.6*1000000+C31*'E Balans VL '!N19/100/3.6*1000000</f>
        <v>173.60910005537022</v>
      </c>
      <c r="G9" s="34"/>
      <c r="H9" s="33"/>
      <c r="I9" s="33"/>
      <c r="J9" s="40">
        <f>C31*'E Balans VL '!D19/100/3.6*1000000+C31*'E Balans VL '!E19/100/3.6*1000000</f>
        <v>0</v>
      </c>
      <c r="K9" s="33"/>
      <c r="L9" s="33"/>
      <c r="M9" s="33"/>
      <c r="N9" s="33">
        <f>C31*'E Balans VL '!Y19/100/3.6*1000000</f>
        <v>12.191243710612339</v>
      </c>
      <c r="O9" s="33"/>
      <c r="P9" s="33"/>
      <c r="R9" s="32"/>
    </row>
    <row r="10" spans="1:18">
      <c r="A10" s="6" t="s">
        <v>40</v>
      </c>
      <c r="B10" s="37">
        <f t="shared" si="0"/>
        <v>157.02600000000001</v>
      </c>
      <c r="C10" s="33"/>
      <c r="D10" s="37">
        <f>IF( ISERROR(IND_voed_gas_kWh/1000),0,IND_voed_gas_kWh/1000)*0.902</f>
        <v>0</v>
      </c>
      <c r="E10" s="33">
        <f>C32*'E Balans VL '!I20/100/3.6*1000000</f>
        <v>0.33277472143674836</v>
      </c>
      <c r="F10" s="33">
        <f>C32*'E Balans VL '!L20/100/3.6*1000000+C32*'E Balans VL '!N20/100/3.6*1000000</f>
        <v>9.9796509487562179</v>
      </c>
      <c r="G10" s="34"/>
      <c r="H10" s="33"/>
      <c r="I10" s="33"/>
      <c r="J10" s="40">
        <f>C32*'E Balans VL '!D20/100/3.6*1000000+C32*'E Balans VL '!E20/100/3.6*1000000</f>
        <v>0</v>
      </c>
      <c r="K10" s="33"/>
      <c r="L10" s="33"/>
      <c r="M10" s="33"/>
      <c r="N10" s="33">
        <f>C32*'E Balans VL '!Y20/100/3.6*1000000</f>
        <v>4.5520098199882533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17.449000000000002</v>
      </c>
      <c r="C15" s="33"/>
      <c r="D15" s="37">
        <f>IF( ISERROR(IND_rest_gas_kWh/1000),0,IND_rest_gas_kWh/1000)*0.902</f>
        <v>75.826629999999994</v>
      </c>
      <c r="E15" s="33">
        <f>C37*'E Balans VL '!I15/100/3.6*1000000</f>
        <v>0.94398771886621502</v>
      </c>
      <c r="F15" s="33">
        <f>C37*'E Balans VL '!L15/100/3.6*1000000+C37*'E Balans VL '!N15/100/3.6*1000000</f>
        <v>3.0669177851316056</v>
      </c>
      <c r="G15" s="34"/>
      <c r="H15" s="33"/>
      <c r="I15" s="33"/>
      <c r="J15" s="40">
        <f>C37*'E Balans VL '!D15/100/3.6*1000000+C37*'E Balans VL '!E15/100/3.6*1000000</f>
        <v>6.1448157289047178E-2</v>
      </c>
      <c r="K15" s="33"/>
      <c r="L15" s="33"/>
      <c r="M15" s="33"/>
      <c r="N15" s="33">
        <f>C37*'E Balans VL '!Y15/100/3.6*1000000</f>
        <v>0.447613099270598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573.27499999999998</v>
      </c>
      <c r="C18" s="21">
        <f>C5+C16</f>
        <v>0</v>
      </c>
      <c r="D18" s="21">
        <f>MAX((D5+D16),0)</f>
        <v>517.34300199999996</v>
      </c>
      <c r="E18" s="21">
        <f>MAX((E5+E16),0)</f>
        <v>4.0348892562541545</v>
      </c>
      <c r="F18" s="21">
        <f>MAX((F5+F16),0)</f>
        <v>199.13215732037986</v>
      </c>
      <c r="G18" s="21"/>
      <c r="H18" s="21"/>
      <c r="I18" s="21"/>
      <c r="J18" s="21">
        <f>MAX((J5+J16),0)</f>
        <v>6.1448157289047178E-2</v>
      </c>
      <c r="K18" s="21"/>
      <c r="L18" s="21">
        <f>MAX((L5+L16),0)</f>
        <v>0</v>
      </c>
      <c r="M18" s="21"/>
      <c r="N18" s="21">
        <f>MAX((N5+N16),0)</f>
        <v>19.169819084420304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0.19913163850711263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114.15719006516498</v>
      </c>
      <c r="C22" s="23">
        <f ca="1">C18*C20</f>
        <v>0</v>
      </c>
      <c r="D22" s="23">
        <f>D18*D20</f>
        <v>104.50328640399999</v>
      </c>
      <c r="E22" s="23">
        <f>E18*E20</f>
        <v>0.91591986116969315</v>
      </c>
      <c r="F22" s="23">
        <f>F18*F20</f>
        <v>53.168286004541429</v>
      </c>
      <c r="G22" s="23"/>
      <c r="H22" s="23"/>
      <c r="I22" s="23"/>
      <c r="J22" s="23">
        <f>J18*J20</f>
        <v>2.1752647680322701E-2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135.55199999999999</v>
      </c>
      <c r="C30" s="39">
        <f>IF(ISERROR(B30*3.6/1000000/'E Balans VL '!Z18*100),0,B30*3.6/1000000/'E Balans VL '!Z18*100)</f>
        <v>7.861150989568931E-3</v>
      </c>
      <c r="D30" s="232" t="s">
        <v>700</v>
      </c>
    </row>
    <row r="31" spans="1:18">
      <c r="A31" s="6" t="s">
        <v>32</v>
      </c>
      <c r="B31" s="37">
        <f>IF( ISERROR(IND_ander_ele_kWh/1000),0,IND_ander_ele_kWh/1000)</f>
        <v>263.24799999999999</v>
      </c>
      <c r="C31" s="39">
        <f>IF(ISERROR(B31*3.6/1000000/'E Balans VL '!Z19*100),0,B31*3.6/1000000/'E Balans VL '!Z19*100)</f>
        <v>1.0994227103991162E-2</v>
      </c>
      <c r="D31" s="232" t="s">
        <v>700</v>
      </c>
    </row>
    <row r="32" spans="1:18">
      <c r="A32" s="167" t="s">
        <v>40</v>
      </c>
      <c r="B32" s="37">
        <f>IF( ISERROR(IND_voed_ele_kWh/1000),0,IND_voed_ele_kWh/1000)</f>
        <v>157.02600000000001</v>
      </c>
      <c r="C32" s="39">
        <f>IF(ISERROR(B32*3.6/1000000/'E Balans VL '!Z20*100),0,B32*3.6/1000000/'E Balans VL '!Z20*100)</f>
        <v>4.8703278201343864E-3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17.449000000000002</v>
      </c>
      <c r="C37" s="39">
        <f>IF(ISERROR(B37*3.6/1000000/'E Balans VL '!Z15*100),0,B37*3.6/1000000/'E Balans VL '!Z15*100)</f>
        <v>1.3604879862661902E-4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2046.8466559999999</v>
      </c>
      <c r="C5" s="17">
        <f>'Eigen informatie GS &amp; warmtenet'!B60</f>
        <v>0</v>
      </c>
      <c r="D5" s="30">
        <f>IF(ISERROR(SUM(LB_lb_gas_kWh,LB_rest_gas_kWh)/1000),0,SUM(LB_lb_gas_kWh,LB_rest_gas_kWh)/1000)*0.902</f>
        <v>2183.3848079999998</v>
      </c>
      <c r="E5" s="17">
        <f>B17*'E Balans VL '!I25/3.6*1000000/100</f>
        <v>66.42690251341034</v>
      </c>
      <c r="F5" s="17">
        <f>B17*('E Balans VL '!L25/3.6*1000000+'E Balans VL '!N25/3.6*1000000)/100</f>
        <v>7551.2144983231819</v>
      </c>
      <c r="G5" s="18"/>
      <c r="H5" s="17"/>
      <c r="I5" s="17"/>
      <c r="J5" s="17">
        <f>('E Balans VL '!D25+'E Balans VL '!E25)/3.6*1000000*landbouw!B17/100</f>
        <v>538.29950884690186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2046.8466559999999</v>
      </c>
      <c r="C8" s="21">
        <f>C5+C6</f>
        <v>0</v>
      </c>
      <c r="D8" s="21">
        <f>MAX((D5+D6),0)</f>
        <v>2183.3848079999998</v>
      </c>
      <c r="E8" s="21">
        <f>MAX((E5+E6),0)</f>
        <v>66.42690251341034</v>
      </c>
      <c r="F8" s="21">
        <f>MAX((F5+F6),0)</f>
        <v>7551.2144983231819</v>
      </c>
      <c r="G8" s="21"/>
      <c r="H8" s="21"/>
      <c r="I8" s="21"/>
      <c r="J8" s="21">
        <f>MAX((J5+J6),0)</f>
        <v>538.29950884690186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0.19913163850711263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407.59192838208429</v>
      </c>
      <c r="C12" s="23">
        <f ca="1">C8*C10</f>
        <v>0</v>
      </c>
      <c r="D12" s="23">
        <f>D8*D10</f>
        <v>441.04373121599997</v>
      </c>
      <c r="E12" s="23">
        <f>E8*E10</f>
        <v>15.078906870544147</v>
      </c>
      <c r="F12" s="23">
        <f>F8*F10</f>
        <v>2016.1742710522897</v>
      </c>
      <c r="G12" s="23"/>
      <c r="H12" s="23"/>
      <c r="I12" s="23"/>
      <c r="J12" s="23">
        <f>J8*J10</f>
        <v>190.55802613180325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0.2904539622719387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265.75706708200858</v>
      </c>
      <c r="C26" s="242">
        <f>B26*'GWP N2O_CH4'!B5</f>
        <v>5580.8984087221797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61.031715970211472</v>
      </c>
      <c r="C27" s="242">
        <f>B27*'GWP N2O_CH4'!B5</f>
        <v>1281.666035374441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4.7593956050817017</v>
      </c>
      <c r="C28" s="242">
        <f>B28*'GWP N2O_CH4'!B4</f>
        <v>1475.4126375753276</v>
      </c>
      <c r="D28" s="50"/>
    </row>
    <row r="29" spans="1:4">
      <c r="A29" s="41" t="s">
        <v>265</v>
      </c>
      <c r="B29" s="242">
        <f>B34*'ha_N2O bodem landbouw'!B4</f>
        <v>25.819429406314242</v>
      </c>
      <c r="C29" s="242">
        <f>B29*'GWP N2O_CH4'!B4</f>
        <v>8004.023115957415</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5.8919048128088175E-3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1.0217832566598854E-4</v>
      </c>
      <c r="C5" s="427" t="s">
        <v>204</v>
      </c>
      <c r="D5" s="412">
        <f>SUM(D6:D11)</f>
        <v>1.8037389656498689E-4</v>
      </c>
      <c r="E5" s="412">
        <f>SUM(E6:E11)</f>
        <v>3.1010689278549727E-4</v>
      </c>
      <c r="F5" s="425" t="s">
        <v>204</v>
      </c>
      <c r="G5" s="412">
        <f>SUM(G6:G11)</f>
        <v>0.12779730013313165</v>
      </c>
      <c r="H5" s="412">
        <f>SUM(H6:H11)</f>
        <v>3.1099634783578939E-2</v>
      </c>
      <c r="I5" s="427" t="s">
        <v>204</v>
      </c>
      <c r="J5" s="427" t="s">
        <v>204</v>
      </c>
      <c r="K5" s="427" t="s">
        <v>204</v>
      </c>
      <c r="L5" s="427" t="s">
        <v>204</v>
      </c>
      <c r="M5" s="412">
        <f>SUM(M6:M11)</f>
        <v>8.3822021424374664E-3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8.0940400276182094E-5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1.3676187998339079E-4</v>
      </c>
      <c r="E6" s="818">
        <f>vkm_GW_PW*SUMIFS(TableVerdeelsleutelVkm[LPG],TableVerdeelsleutelVkm[Voertuigtype],"Lichte voertuigen")*SUMIFS(TableECFTransport[EnergieConsumptieFactor (PJ per km)],TableECFTransport[Index],CONCATENATE($A6,"_LPG_LPG"))</f>
        <v>2.3773324993523392E-4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7.2003096486833798E-2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2.3711940604702639E-2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4.9049134458146633E-3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1.0006036139185326E-6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3.2139628989930738E-2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6.4121505123310417E-7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1.8777787434607692E-3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2.0160087342824745E-5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4.3612016581596104E-5</v>
      </c>
      <c r="E8" s="415">
        <f>vkm_NGW_PW*SUMIFS(TableVerdeelsleutelVkm[LPG],TableVerdeelsleutelVkm[Voertuigtype],"Lichte voertuigen")*SUMIFS(TableECFTransport[EnergieConsumptieFactor (PJ per km)],TableECFTransport[Index],CONCATENATE($A8,"_LPG_LPG"))</f>
        <v>7.2373642850263357E-5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2.0471558657956256E-2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7.3869932232979718E-3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1.4135402824327129E-3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7.7234433063175275E-8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3.1830159984108579E-3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5.9740527093824936E-8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1.8596967072932147E-4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28.382868240552373</v>
      </c>
      <c r="C14" s="21"/>
      <c r="D14" s="21">
        <f t="shared" ref="D14:M14" si="0">((D5)*10^9/3600)+D12</f>
        <v>50.103860156940797</v>
      </c>
      <c r="E14" s="21">
        <f t="shared" si="0"/>
        <v>86.140803551527014</v>
      </c>
      <c r="F14" s="21"/>
      <c r="G14" s="21">
        <f t="shared" si="0"/>
        <v>35499.250036981015</v>
      </c>
      <c r="H14" s="21">
        <f t="shared" si="0"/>
        <v>8638.787439883039</v>
      </c>
      <c r="I14" s="21"/>
      <c r="J14" s="21"/>
      <c r="K14" s="21"/>
      <c r="L14" s="21"/>
      <c r="M14" s="21">
        <f t="shared" si="0"/>
        <v>2328.3894840104072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0.19913163850711263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5.6519270582726833</v>
      </c>
      <c r="C18" s="23"/>
      <c r="D18" s="23">
        <f t="shared" ref="D18:M18" si="1">D14*D16</f>
        <v>10.120979751702041</v>
      </c>
      <c r="E18" s="23">
        <f t="shared" si="1"/>
        <v>19.553962406196632</v>
      </c>
      <c r="F18" s="23"/>
      <c r="G18" s="23">
        <f t="shared" si="1"/>
        <v>9478.2997598739312</v>
      </c>
      <c r="H18" s="23">
        <f t="shared" si="1"/>
        <v>2151.0580725308769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1.4104266632302782E-5</v>
      </c>
      <c r="C50" s="311">
        <f t="shared" ref="C50:P50" si="2">SUM(C51:C52)</f>
        <v>0</v>
      </c>
      <c r="D50" s="311">
        <f t="shared" si="2"/>
        <v>0</v>
      </c>
      <c r="E50" s="311">
        <f t="shared" si="2"/>
        <v>0</v>
      </c>
      <c r="F50" s="311">
        <f t="shared" si="2"/>
        <v>0</v>
      </c>
      <c r="G50" s="311">
        <f t="shared" si="2"/>
        <v>1.3249558771151698E-3</v>
      </c>
      <c r="H50" s="311">
        <f t="shared" si="2"/>
        <v>0</v>
      </c>
      <c r="I50" s="311">
        <f t="shared" si="2"/>
        <v>0</v>
      </c>
      <c r="J50" s="311">
        <f t="shared" si="2"/>
        <v>0</v>
      </c>
      <c r="K50" s="311">
        <f t="shared" si="2"/>
        <v>0</v>
      </c>
      <c r="L50" s="311">
        <f t="shared" si="2"/>
        <v>0</v>
      </c>
      <c r="M50" s="311">
        <f t="shared" si="2"/>
        <v>7.6300230803521489E-5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1.4104266632302782E-5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1.3249558771151698E-3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7.6300230803521489E-5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3.9178518423063284</v>
      </c>
      <c r="C54" s="21">
        <f t="shared" ref="C54:P54" si="3">(C50)*10^9/3600</f>
        <v>0</v>
      </c>
      <c r="D54" s="21">
        <f t="shared" si="3"/>
        <v>0</v>
      </c>
      <c r="E54" s="21">
        <f t="shared" si="3"/>
        <v>0</v>
      </c>
      <c r="F54" s="21">
        <f t="shared" si="3"/>
        <v>0</v>
      </c>
      <c r="G54" s="21">
        <f t="shared" si="3"/>
        <v>368.04329919865825</v>
      </c>
      <c r="H54" s="21">
        <f t="shared" si="3"/>
        <v>0</v>
      </c>
      <c r="I54" s="21">
        <f t="shared" si="3"/>
        <v>0</v>
      </c>
      <c r="J54" s="21">
        <f t="shared" si="3"/>
        <v>0</v>
      </c>
      <c r="K54" s="21">
        <f t="shared" si="3"/>
        <v>0</v>
      </c>
      <c r="L54" s="21">
        <f t="shared" si="3"/>
        <v>0</v>
      </c>
      <c r="M54" s="21">
        <f t="shared" si="3"/>
        <v>21.194508556533748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0.19913163850711263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0.78016825678656898</v>
      </c>
      <c r="C58" s="23">
        <f t="shared" ref="C58:P58" ca="1" si="4">C54*C56</f>
        <v>0</v>
      </c>
      <c r="D58" s="23">
        <f t="shared" si="4"/>
        <v>0</v>
      </c>
      <c r="E58" s="23">
        <f t="shared" si="4"/>
        <v>0</v>
      </c>
      <c r="F58" s="23">
        <f t="shared" si="4"/>
        <v>0</v>
      </c>
      <c r="G58" s="23">
        <f t="shared" si="4"/>
        <v>98.267560886041764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2067.102673247231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2067.102673247231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5599.5947160000005</v>
      </c>
      <c r="D10" s="931">
        <f ca="1">tertiair!C16</f>
        <v>0</v>
      </c>
      <c r="E10" s="931">
        <f ca="1">tertiair!D16</f>
        <v>3260.7458752000002</v>
      </c>
      <c r="F10" s="931">
        <f>tertiair!E16</f>
        <v>77.608160259050294</v>
      </c>
      <c r="G10" s="931">
        <f ca="1">tertiair!F16</f>
        <v>1216.7968950153959</v>
      </c>
      <c r="H10" s="931">
        <f>tertiair!G16</f>
        <v>0</v>
      </c>
      <c r="I10" s="931">
        <f>tertiair!H16</f>
        <v>0</v>
      </c>
      <c r="J10" s="931">
        <f>tertiair!I16</f>
        <v>0</v>
      </c>
      <c r="K10" s="931">
        <f>tertiair!J16</f>
        <v>1.3963341882197448E-2</v>
      </c>
      <c r="L10" s="931">
        <f>tertiair!K16</f>
        <v>0</v>
      </c>
      <c r="M10" s="931">
        <f ca="1">tertiair!L16</f>
        <v>0</v>
      </c>
      <c r="N10" s="931">
        <f>tertiair!M16</f>
        <v>0</v>
      </c>
      <c r="O10" s="931">
        <f ca="1">tertiair!N16</f>
        <v>552.75177131101668</v>
      </c>
      <c r="P10" s="931">
        <f>tertiair!O16</f>
        <v>1.5633333333333335</v>
      </c>
      <c r="Q10" s="932">
        <f>tertiair!P16</f>
        <v>0</v>
      </c>
      <c r="R10" s="628">
        <f ca="1">SUM(C10:Q10)</f>
        <v>10709.074714460681</v>
      </c>
      <c r="S10" s="67"/>
    </row>
    <row r="11" spans="1:19" s="437" customFormat="1">
      <c r="A11" s="736" t="s">
        <v>213</v>
      </c>
      <c r="B11" s="741"/>
      <c r="C11" s="931">
        <f>huishoudens!B8</f>
        <v>12415.332244688458</v>
      </c>
      <c r="D11" s="931">
        <f>huishoudens!C8</f>
        <v>0</v>
      </c>
      <c r="E11" s="931">
        <f>huishoudens!D8</f>
        <v>15382.099150000002</v>
      </c>
      <c r="F11" s="931">
        <f>huishoudens!E8</f>
        <v>1151.581751476444</v>
      </c>
      <c r="G11" s="931">
        <f>huishoudens!F8</f>
        <v>26692.769049964852</v>
      </c>
      <c r="H11" s="931">
        <f>huishoudens!G8</f>
        <v>0</v>
      </c>
      <c r="I11" s="931">
        <f>huishoudens!H8</f>
        <v>0</v>
      </c>
      <c r="J11" s="931">
        <f>huishoudens!I8</f>
        <v>0</v>
      </c>
      <c r="K11" s="931">
        <f>huishoudens!J8</f>
        <v>137.17732034400566</v>
      </c>
      <c r="L11" s="931">
        <f>huishoudens!K8</f>
        <v>0</v>
      </c>
      <c r="M11" s="931">
        <f>huishoudens!L8</f>
        <v>0</v>
      </c>
      <c r="N11" s="931">
        <f>huishoudens!M8</f>
        <v>0</v>
      </c>
      <c r="O11" s="931">
        <f>huishoudens!N8</f>
        <v>4914.1929809330786</v>
      </c>
      <c r="P11" s="931">
        <f>huishoudens!O8</f>
        <v>90.673333333333346</v>
      </c>
      <c r="Q11" s="932">
        <f>huishoudens!P8</f>
        <v>457.6</v>
      </c>
      <c r="R11" s="628">
        <f>SUM(C11:Q11)</f>
        <v>61241.425830740161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573.27499999999998</v>
      </c>
      <c r="D13" s="931">
        <f>industrie!C18</f>
        <v>0</v>
      </c>
      <c r="E13" s="931">
        <f>industrie!D18</f>
        <v>517.34300199999996</v>
      </c>
      <c r="F13" s="931">
        <f>industrie!E18</f>
        <v>4.0348892562541545</v>
      </c>
      <c r="G13" s="931">
        <f>industrie!F18</f>
        <v>199.13215732037986</v>
      </c>
      <c r="H13" s="931">
        <f>industrie!G18</f>
        <v>0</v>
      </c>
      <c r="I13" s="931">
        <f>industrie!H18</f>
        <v>0</v>
      </c>
      <c r="J13" s="931">
        <f>industrie!I18</f>
        <v>0</v>
      </c>
      <c r="K13" s="931">
        <f>industrie!J18</f>
        <v>6.1448157289047178E-2</v>
      </c>
      <c r="L13" s="931">
        <f>industrie!K18</f>
        <v>0</v>
      </c>
      <c r="M13" s="931">
        <f>industrie!L18</f>
        <v>0</v>
      </c>
      <c r="N13" s="931">
        <f>industrie!M18</f>
        <v>0</v>
      </c>
      <c r="O13" s="931">
        <f>industrie!N18</f>
        <v>19.169819084420304</v>
      </c>
      <c r="P13" s="931">
        <f>industrie!O18</f>
        <v>0</v>
      </c>
      <c r="Q13" s="932">
        <f>industrie!P18</f>
        <v>0</v>
      </c>
      <c r="R13" s="628">
        <f>SUM(C13:Q13)</f>
        <v>1313.0163158183434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18588.201960688461</v>
      </c>
      <c r="D16" s="660">
        <f t="shared" ref="D16:R16" ca="1" si="0">SUM(D9:D15)</f>
        <v>0</v>
      </c>
      <c r="E16" s="660">
        <f t="shared" ca="1" si="0"/>
        <v>19160.188027200005</v>
      </c>
      <c r="F16" s="660">
        <f t="shared" si="0"/>
        <v>1233.2248009917485</v>
      </c>
      <c r="G16" s="660">
        <f t="shared" ca="1" si="0"/>
        <v>28108.698102300626</v>
      </c>
      <c r="H16" s="660">
        <f t="shared" si="0"/>
        <v>0</v>
      </c>
      <c r="I16" s="660">
        <f t="shared" si="0"/>
        <v>0</v>
      </c>
      <c r="J16" s="660">
        <f t="shared" si="0"/>
        <v>0</v>
      </c>
      <c r="K16" s="660">
        <f t="shared" si="0"/>
        <v>137.25273184317692</v>
      </c>
      <c r="L16" s="660">
        <f t="shared" si="0"/>
        <v>0</v>
      </c>
      <c r="M16" s="660">
        <f t="shared" ca="1" si="0"/>
        <v>0</v>
      </c>
      <c r="N16" s="660">
        <f t="shared" si="0"/>
        <v>0</v>
      </c>
      <c r="O16" s="660">
        <f t="shared" ca="1" si="0"/>
        <v>5486.114571328515</v>
      </c>
      <c r="P16" s="660">
        <f t="shared" si="0"/>
        <v>92.236666666666679</v>
      </c>
      <c r="Q16" s="660">
        <f t="shared" si="0"/>
        <v>457.6</v>
      </c>
      <c r="R16" s="660">
        <f t="shared" ca="1" si="0"/>
        <v>73263.51686101919</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3.9178518423063284</v>
      </c>
      <c r="D19" s="931">
        <f>transport!C54</f>
        <v>0</v>
      </c>
      <c r="E19" s="931">
        <f>transport!D54</f>
        <v>0</v>
      </c>
      <c r="F19" s="931">
        <f>transport!E54</f>
        <v>0</v>
      </c>
      <c r="G19" s="931">
        <f>transport!F54</f>
        <v>0</v>
      </c>
      <c r="H19" s="931">
        <f>transport!G54</f>
        <v>368.04329919865825</v>
      </c>
      <c r="I19" s="931">
        <f>transport!H54</f>
        <v>0</v>
      </c>
      <c r="J19" s="931">
        <f>transport!I54</f>
        <v>0</v>
      </c>
      <c r="K19" s="931">
        <f>transport!J54</f>
        <v>0</v>
      </c>
      <c r="L19" s="931">
        <f>transport!K54</f>
        <v>0</v>
      </c>
      <c r="M19" s="931">
        <f>transport!L54</f>
        <v>0</v>
      </c>
      <c r="N19" s="931">
        <f>transport!M54</f>
        <v>21.194508556533748</v>
      </c>
      <c r="O19" s="931">
        <f>transport!N54</f>
        <v>0</v>
      </c>
      <c r="P19" s="931">
        <f>transport!O54</f>
        <v>0</v>
      </c>
      <c r="Q19" s="932">
        <f>transport!P54</f>
        <v>0</v>
      </c>
      <c r="R19" s="628">
        <f>SUM(C19:Q19)</f>
        <v>393.15565959749836</v>
      </c>
      <c r="S19" s="67"/>
    </row>
    <row r="20" spans="1:19" s="437" customFormat="1">
      <c r="A20" s="736" t="s">
        <v>295</v>
      </c>
      <c r="B20" s="741"/>
      <c r="C20" s="931">
        <f>transport!B14</f>
        <v>28.382868240552373</v>
      </c>
      <c r="D20" s="931">
        <f>transport!C14</f>
        <v>0</v>
      </c>
      <c r="E20" s="931">
        <f>transport!D14</f>
        <v>50.103860156940797</v>
      </c>
      <c r="F20" s="931">
        <f>transport!E14</f>
        <v>86.140803551527014</v>
      </c>
      <c r="G20" s="931">
        <f>transport!F14</f>
        <v>0</v>
      </c>
      <c r="H20" s="931">
        <f>transport!G14</f>
        <v>35499.250036981015</v>
      </c>
      <c r="I20" s="931">
        <f>transport!H14</f>
        <v>8638.787439883039</v>
      </c>
      <c r="J20" s="931">
        <f>transport!I14</f>
        <v>0</v>
      </c>
      <c r="K20" s="931">
        <f>transport!J14</f>
        <v>0</v>
      </c>
      <c r="L20" s="931">
        <f>transport!K14</f>
        <v>0</v>
      </c>
      <c r="M20" s="931">
        <f>transport!L14</f>
        <v>0</v>
      </c>
      <c r="N20" s="931">
        <f>transport!M14</f>
        <v>2328.3894840104072</v>
      </c>
      <c r="O20" s="931">
        <f>transport!N14</f>
        <v>0</v>
      </c>
      <c r="P20" s="931">
        <f>transport!O14</f>
        <v>0</v>
      </c>
      <c r="Q20" s="932">
        <f>transport!P14</f>
        <v>0</v>
      </c>
      <c r="R20" s="628">
        <f>SUM(C20:Q20)</f>
        <v>46631.054492823481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32.300720082858703</v>
      </c>
      <c r="D22" s="739">
        <f t="shared" ref="D22:R22" si="1">SUM(D18:D21)</f>
        <v>0</v>
      </c>
      <c r="E22" s="739">
        <f t="shared" si="1"/>
        <v>50.103860156940797</v>
      </c>
      <c r="F22" s="739">
        <f t="shared" si="1"/>
        <v>86.140803551527014</v>
      </c>
      <c r="G22" s="739">
        <f t="shared" si="1"/>
        <v>0</v>
      </c>
      <c r="H22" s="739">
        <f t="shared" si="1"/>
        <v>35867.293336179675</v>
      </c>
      <c r="I22" s="739">
        <f t="shared" si="1"/>
        <v>8638.787439883039</v>
      </c>
      <c r="J22" s="739">
        <f t="shared" si="1"/>
        <v>0</v>
      </c>
      <c r="K22" s="739">
        <f t="shared" si="1"/>
        <v>0</v>
      </c>
      <c r="L22" s="739">
        <f t="shared" si="1"/>
        <v>0</v>
      </c>
      <c r="M22" s="739">
        <f t="shared" si="1"/>
        <v>0</v>
      </c>
      <c r="N22" s="739">
        <f t="shared" si="1"/>
        <v>2349.5839925669411</v>
      </c>
      <c r="O22" s="739">
        <f t="shared" si="1"/>
        <v>0</v>
      </c>
      <c r="P22" s="739">
        <f t="shared" si="1"/>
        <v>0</v>
      </c>
      <c r="Q22" s="739">
        <f t="shared" si="1"/>
        <v>0</v>
      </c>
      <c r="R22" s="739">
        <f t="shared" si="1"/>
        <v>47024.210152420979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2046.8466559999999</v>
      </c>
      <c r="D24" s="931">
        <f>+landbouw!C8</f>
        <v>0</v>
      </c>
      <c r="E24" s="931">
        <f>+landbouw!D8</f>
        <v>2183.3848079999998</v>
      </c>
      <c r="F24" s="931">
        <f>+landbouw!E8</f>
        <v>66.42690251341034</v>
      </c>
      <c r="G24" s="931">
        <f>+landbouw!F8</f>
        <v>7551.2144983231819</v>
      </c>
      <c r="H24" s="931">
        <f>+landbouw!G8</f>
        <v>0</v>
      </c>
      <c r="I24" s="931">
        <f>+landbouw!H8</f>
        <v>0</v>
      </c>
      <c r="J24" s="931">
        <f>+landbouw!I8</f>
        <v>0</v>
      </c>
      <c r="K24" s="931">
        <f>+landbouw!J8</f>
        <v>538.29950884690186</v>
      </c>
      <c r="L24" s="931">
        <f>+landbouw!K8</f>
        <v>0</v>
      </c>
      <c r="M24" s="931">
        <f>+landbouw!L8</f>
        <v>0</v>
      </c>
      <c r="N24" s="931">
        <f>+landbouw!M8</f>
        <v>0</v>
      </c>
      <c r="O24" s="931">
        <f>+landbouw!N8</f>
        <v>0</v>
      </c>
      <c r="P24" s="931">
        <f>+landbouw!O8</f>
        <v>0</v>
      </c>
      <c r="Q24" s="932">
        <f>+landbouw!P8</f>
        <v>0</v>
      </c>
      <c r="R24" s="628">
        <f>SUM(C24:Q24)</f>
        <v>12386.172373683492</v>
      </c>
      <c r="S24" s="67"/>
    </row>
    <row r="25" spans="1:19" s="437" customFormat="1" ht="15" thickBot="1">
      <c r="A25" s="758" t="s">
        <v>775</v>
      </c>
      <c r="B25" s="934"/>
      <c r="C25" s="935">
        <f>IF(Onbekend_ele_kWh="---",0,Onbekend_ele_kWh)/1000+IF(REST_rest_ele_kWh="---",0,REST_rest_ele_kWh)/1000</f>
        <v>222.63325</v>
      </c>
      <c r="D25" s="935"/>
      <c r="E25" s="935">
        <f>IF(onbekend_gas_kWh="---",0,onbekend_gas_kWh)/1000+IF(REST_rest_gas_kWh="---",0,REST_rest_gas_kWh)/1000</f>
        <v>424.19759999999997</v>
      </c>
      <c r="F25" s="935"/>
      <c r="G25" s="935"/>
      <c r="H25" s="935"/>
      <c r="I25" s="935"/>
      <c r="J25" s="935"/>
      <c r="K25" s="935"/>
      <c r="L25" s="935"/>
      <c r="M25" s="935"/>
      <c r="N25" s="935"/>
      <c r="O25" s="935"/>
      <c r="P25" s="935"/>
      <c r="Q25" s="936"/>
      <c r="R25" s="628">
        <f>SUM(C25:Q25)</f>
        <v>646.83084999999994</v>
      </c>
      <c r="S25" s="67"/>
    </row>
    <row r="26" spans="1:19" s="437" customFormat="1" ht="15.75" thickBot="1">
      <c r="A26" s="633" t="s">
        <v>776</v>
      </c>
      <c r="B26" s="744"/>
      <c r="C26" s="739">
        <f>SUM(C24:C25)</f>
        <v>2269.479906</v>
      </c>
      <c r="D26" s="739">
        <f t="shared" ref="D26:R26" si="2">SUM(D24:D25)</f>
        <v>0</v>
      </c>
      <c r="E26" s="739">
        <f t="shared" si="2"/>
        <v>2607.5824079999998</v>
      </c>
      <c r="F26" s="739">
        <f t="shared" si="2"/>
        <v>66.42690251341034</v>
      </c>
      <c r="G26" s="739">
        <f t="shared" si="2"/>
        <v>7551.2144983231819</v>
      </c>
      <c r="H26" s="739">
        <f t="shared" si="2"/>
        <v>0</v>
      </c>
      <c r="I26" s="739">
        <f t="shared" si="2"/>
        <v>0</v>
      </c>
      <c r="J26" s="739">
        <f t="shared" si="2"/>
        <v>0</v>
      </c>
      <c r="K26" s="739">
        <f t="shared" si="2"/>
        <v>538.29950884690186</v>
      </c>
      <c r="L26" s="739">
        <f t="shared" si="2"/>
        <v>0</v>
      </c>
      <c r="M26" s="739">
        <f t="shared" si="2"/>
        <v>0</v>
      </c>
      <c r="N26" s="739">
        <f t="shared" si="2"/>
        <v>0</v>
      </c>
      <c r="O26" s="739">
        <f t="shared" si="2"/>
        <v>0</v>
      </c>
      <c r="P26" s="739">
        <f t="shared" si="2"/>
        <v>0</v>
      </c>
      <c r="Q26" s="739">
        <f t="shared" si="2"/>
        <v>0</v>
      </c>
      <c r="R26" s="739">
        <f t="shared" si="2"/>
        <v>13033.003223683492</v>
      </c>
      <c r="S26" s="67"/>
    </row>
    <row r="27" spans="1:19" s="437" customFormat="1" ht="17.25" thickTop="1" thickBot="1">
      <c r="A27" s="634" t="s">
        <v>109</v>
      </c>
      <c r="B27" s="732"/>
      <c r="C27" s="635">
        <f ca="1">C22+C16+C26</f>
        <v>20889.982586771319</v>
      </c>
      <c r="D27" s="635">
        <f t="shared" ref="D27:R27" ca="1" si="3">D22+D16+D26</f>
        <v>0</v>
      </c>
      <c r="E27" s="635">
        <f t="shared" ca="1" si="3"/>
        <v>21817.874295356945</v>
      </c>
      <c r="F27" s="635">
        <f t="shared" si="3"/>
        <v>1385.7925070566857</v>
      </c>
      <c r="G27" s="635">
        <f t="shared" ca="1" si="3"/>
        <v>35659.912600623808</v>
      </c>
      <c r="H27" s="635">
        <f t="shared" si="3"/>
        <v>35867.293336179675</v>
      </c>
      <c r="I27" s="635">
        <f t="shared" si="3"/>
        <v>8638.787439883039</v>
      </c>
      <c r="J27" s="635">
        <f t="shared" si="3"/>
        <v>0</v>
      </c>
      <c r="K27" s="635">
        <f t="shared" si="3"/>
        <v>675.55224069007875</v>
      </c>
      <c r="L27" s="635">
        <f t="shared" si="3"/>
        <v>0</v>
      </c>
      <c r="M27" s="635">
        <f t="shared" ca="1" si="3"/>
        <v>0</v>
      </c>
      <c r="N27" s="635">
        <f t="shared" si="3"/>
        <v>2349.5839925669411</v>
      </c>
      <c r="O27" s="635">
        <f t="shared" ca="1" si="3"/>
        <v>5486.114571328515</v>
      </c>
      <c r="P27" s="635">
        <f t="shared" si="3"/>
        <v>92.236666666666679</v>
      </c>
      <c r="Q27" s="635">
        <f t="shared" si="3"/>
        <v>457.6</v>
      </c>
      <c r="R27" s="635">
        <f t="shared" ca="1" si="3"/>
        <v>133320.73023712364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1115.0564707728502</v>
      </c>
      <c r="D40" s="931">
        <f ca="1">tertiair!C20</f>
        <v>0</v>
      </c>
      <c r="E40" s="931">
        <f ca="1">tertiair!D20</f>
        <v>658.67066679040011</v>
      </c>
      <c r="F40" s="931">
        <f>tertiair!E20</f>
        <v>17.617052378804416</v>
      </c>
      <c r="G40" s="931">
        <f ca="1">tertiair!F20</f>
        <v>324.88477096911072</v>
      </c>
      <c r="H40" s="931">
        <f>tertiair!G20</f>
        <v>0</v>
      </c>
      <c r="I40" s="931">
        <f>tertiair!H20</f>
        <v>0</v>
      </c>
      <c r="J40" s="931">
        <f>tertiair!I20</f>
        <v>0</v>
      </c>
      <c r="K40" s="931">
        <f>tertiair!J20</f>
        <v>4.9430230262978965E-3</v>
      </c>
      <c r="L40" s="931">
        <f>tertiair!K20</f>
        <v>0</v>
      </c>
      <c r="M40" s="931">
        <f ca="1">tertiair!L20</f>
        <v>0</v>
      </c>
      <c r="N40" s="931">
        <f>tertiair!M20</f>
        <v>0</v>
      </c>
      <c r="O40" s="931">
        <f ca="1">tertiair!N20</f>
        <v>0</v>
      </c>
      <c r="P40" s="931">
        <f>tertiair!O20</f>
        <v>0</v>
      </c>
      <c r="Q40" s="702">
        <f>tertiair!P20</f>
        <v>0</v>
      </c>
      <c r="R40" s="777">
        <f t="shared" ca="1" si="4"/>
        <v>2116.2339039341919</v>
      </c>
    </row>
    <row r="41" spans="1:18">
      <c r="A41" s="749" t="s">
        <v>213</v>
      </c>
      <c r="B41" s="756"/>
      <c r="C41" s="931">
        <f ca="1">huishoudens!B12</f>
        <v>2472.2854524950012</v>
      </c>
      <c r="D41" s="931">
        <f ca="1">huishoudens!C12</f>
        <v>0</v>
      </c>
      <c r="E41" s="931">
        <f>huishoudens!D12</f>
        <v>3107.1840283000006</v>
      </c>
      <c r="F41" s="931">
        <f>huishoudens!E12</f>
        <v>261.40905758515277</v>
      </c>
      <c r="G41" s="931">
        <f>huishoudens!F12</f>
        <v>7126.9693363406159</v>
      </c>
      <c r="H41" s="931">
        <f>huishoudens!G12</f>
        <v>0</v>
      </c>
      <c r="I41" s="931">
        <f>huishoudens!H12</f>
        <v>0</v>
      </c>
      <c r="J41" s="931">
        <f>huishoudens!I12</f>
        <v>0</v>
      </c>
      <c r="K41" s="931">
        <f>huishoudens!J12</f>
        <v>48.560771401778005</v>
      </c>
      <c r="L41" s="931">
        <f>huishoudens!K12</f>
        <v>0</v>
      </c>
      <c r="M41" s="931">
        <f>huishoudens!L12</f>
        <v>0</v>
      </c>
      <c r="N41" s="931">
        <f>huishoudens!M12</f>
        <v>0</v>
      </c>
      <c r="O41" s="931">
        <f>huishoudens!N12</f>
        <v>0</v>
      </c>
      <c r="P41" s="931">
        <f>huishoudens!O12</f>
        <v>0</v>
      </c>
      <c r="Q41" s="702">
        <f>huishoudens!P12</f>
        <v>0</v>
      </c>
      <c r="R41" s="777">
        <f t="shared" ca="1" si="4"/>
        <v>13016.408646122549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114.15719006516498</v>
      </c>
      <c r="D43" s="931">
        <f ca="1">industrie!C22</f>
        <v>0</v>
      </c>
      <c r="E43" s="931">
        <f>industrie!D22</f>
        <v>104.50328640399999</v>
      </c>
      <c r="F43" s="931">
        <f>industrie!E22</f>
        <v>0.91591986116969315</v>
      </c>
      <c r="G43" s="931">
        <f>industrie!F22</f>
        <v>53.168286004541429</v>
      </c>
      <c r="H43" s="931">
        <f>industrie!G22</f>
        <v>0</v>
      </c>
      <c r="I43" s="931">
        <f>industrie!H22</f>
        <v>0</v>
      </c>
      <c r="J43" s="931">
        <f>industrie!I22</f>
        <v>0</v>
      </c>
      <c r="K43" s="931">
        <f>industrie!J22</f>
        <v>2.1752647680322701E-2</v>
      </c>
      <c r="L43" s="931">
        <f>industrie!K22</f>
        <v>0</v>
      </c>
      <c r="M43" s="931">
        <f>industrie!L22</f>
        <v>0</v>
      </c>
      <c r="N43" s="931">
        <f>industrie!M22</f>
        <v>0</v>
      </c>
      <c r="O43" s="931">
        <f>industrie!N22</f>
        <v>0</v>
      </c>
      <c r="P43" s="931">
        <f>industrie!O22</f>
        <v>0</v>
      </c>
      <c r="Q43" s="702">
        <f>industrie!P22</f>
        <v>0</v>
      </c>
      <c r="R43" s="776">
        <f t="shared" ca="1" si="4"/>
        <v>272.7664349825564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3701.4991133330168</v>
      </c>
      <c r="D46" s="660">
        <f t="shared" ref="D46:Q46" ca="1" si="5">SUM(D39:D45)</f>
        <v>0</v>
      </c>
      <c r="E46" s="660">
        <f t="shared" ca="1" si="5"/>
        <v>3870.3579814944005</v>
      </c>
      <c r="F46" s="660">
        <f t="shared" si="5"/>
        <v>279.94202982512689</v>
      </c>
      <c r="G46" s="660">
        <f t="shared" ca="1" si="5"/>
        <v>7505.0223933142679</v>
      </c>
      <c r="H46" s="660">
        <f t="shared" si="5"/>
        <v>0</v>
      </c>
      <c r="I46" s="660">
        <f t="shared" si="5"/>
        <v>0</v>
      </c>
      <c r="J46" s="660">
        <f t="shared" si="5"/>
        <v>0</v>
      </c>
      <c r="K46" s="660">
        <f t="shared" si="5"/>
        <v>48.587467072484628</v>
      </c>
      <c r="L46" s="660">
        <f t="shared" si="5"/>
        <v>0</v>
      </c>
      <c r="M46" s="660">
        <f t="shared" ca="1" si="5"/>
        <v>0</v>
      </c>
      <c r="N46" s="660">
        <f t="shared" si="5"/>
        <v>0</v>
      </c>
      <c r="O46" s="660">
        <f t="shared" ca="1" si="5"/>
        <v>0</v>
      </c>
      <c r="P46" s="660">
        <f t="shared" si="5"/>
        <v>0</v>
      </c>
      <c r="Q46" s="660">
        <f t="shared" si="5"/>
        <v>0</v>
      </c>
      <c r="R46" s="660">
        <f ca="1">SUM(R39:R45)</f>
        <v>15405.408985039297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0.78016825678656898</v>
      </c>
      <c r="D49" s="931">
        <f ca="1">transport!C58</f>
        <v>0</v>
      </c>
      <c r="E49" s="931">
        <f>transport!D58</f>
        <v>0</v>
      </c>
      <c r="F49" s="931">
        <f>transport!E58</f>
        <v>0</v>
      </c>
      <c r="G49" s="931">
        <f>transport!F58</f>
        <v>0</v>
      </c>
      <c r="H49" s="931">
        <f>transport!G58</f>
        <v>98.267560886041764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99.047729142828331</v>
      </c>
    </row>
    <row r="50" spans="1:18">
      <c r="A50" s="752" t="s">
        <v>295</v>
      </c>
      <c r="B50" s="762"/>
      <c r="C50" s="631">
        <f ca="1">transport!B18</f>
        <v>5.6519270582726833</v>
      </c>
      <c r="D50" s="631">
        <f>transport!C18</f>
        <v>0</v>
      </c>
      <c r="E50" s="631">
        <f>transport!D18</f>
        <v>10.120979751702041</v>
      </c>
      <c r="F50" s="631">
        <f>transport!E18</f>
        <v>19.553962406196632</v>
      </c>
      <c r="G50" s="631">
        <f>transport!F18</f>
        <v>0</v>
      </c>
      <c r="H50" s="631">
        <f>transport!G18</f>
        <v>9478.2997598739312</v>
      </c>
      <c r="I50" s="631">
        <f>transport!H18</f>
        <v>2151.0580725308769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11664.684701620979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6.4320953150592519</v>
      </c>
      <c r="D52" s="660">
        <f t="shared" ref="D52:Q52" ca="1" si="6">SUM(D48:D51)</f>
        <v>0</v>
      </c>
      <c r="E52" s="660">
        <f t="shared" si="6"/>
        <v>10.120979751702041</v>
      </c>
      <c r="F52" s="660">
        <f t="shared" si="6"/>
        <v>19.553962406196632</v>
      </c>
      <c r="G52" s="660">
        <f t="shared" si="6"/>
        <v>0</v>
      </c>
      <c r="H52" s="660">
        <f t="shared" si="6"/>
        <v>9576.5673207599721</v>
      </c>
      <c r="I52" s="660">
        <f t="shared" si="6"/>
        <v>2151.0580725308769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11763.732430763808</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407.59192838208429</v>
      </c>
      <c r="D54" s="631">
        <f ca="1">+landbouw!C12</f>
        <v>0</v>
      </c>
      <c r="E54" s="631">
        <f>+landbouw!D12</f>
        <v>441.04373121599997</v>
      </c>
      <c r="F54" s="631">
        <f>+landbouw!E12</f>
        <v>15.078906870544147</v>
      </c>
      <c r="G54" s="631">
        <f>+landbouw!F12</f>
        <v>2016.1742710522897</v>
      </c>
      <c r="H54" s="631">
        <f>+landbouw!G12</f>
        <v>0</v>
      </c>
      <c r="I54" s="631">
        <f>+landbouw!H12</f>
        <v>0</v>
      </c>
      <c r="J54" s="631">
        <f>+landbouw!I12</f>
        <v>0</v>
      </c>
      <c r="K54" s="631">
        <f>+landbouw!J12</f>
        <v>190.55802613180325</v>
      </c>
      <c r="L54" s="631">
        <f>+landbouw!K12</f>
        <v>0</v>
      </c>
      <c r="M54" s="631">
        <f>+landbouw!L12</f>
        <v>0</v>
      </c>
      <c r="N54" s="631">
        <f>+landbouw!M12</f>
        <v>0</v>
      </c>
      <c r="O54" s="631">
        <f>+landbouw!N12</f>
        <v>0</v>
      </c>
      <c r="P54" s="631">
        <f>+landbouw!O12</f>
        <v>0</v>
      </c>
      <c r="Q54" s="632">
        <f>+landbouw!P12</f>
        <v>0</v>
      </c>
      <c r="R54" s="659">
        <f ca="1">SUM(C54:Q54)</f>
        <v>3070.4468636527213</v>
      </c>
    </row>
    <row r="55" spans="1:18" ht="15" thickBot="1">
      <c r="A55" s="752" t="s">
        <v>775</v>
      </c>
      <c r="B55" s="762"/>
      <c r="C55" s="631">
        <f ca="1">C25*'EF ele_warmte'!B12</f>
        <v>44.333323858663633</v>
      </c>
      <c r="D55" s="631"/>
      <c r="E55" s="631">
        <f>E25*EF_CO2_aardgas</f>
        <v>85.687915199999992</v>
      </c>
      <c r="F55" s="631"/>
      <c r="G55" s="631"/>
      <c r="H55" s="631"/>
      <c r="I55" s="631"/>
      <c r="J55" s="631"/>
      <c r="K55" s="631"/>
      <c r="L55" s="631"/>
      <c r="M55" s="631"/>
      <c r="N55" s="631"/>
      <c r="O55" s="631"/>
      <c r="P55" s="631"/>
      <c r="Q55" s="632"/>
      <c r="R55" s="659">
        <f ca="1">SUM(C55:Q55)</f>
        <v>130.02123905866364</v>
      </c>
    </row>
    <row r="56" spans="1:18" ht="15.75" thickBot="1">
      <c r="A56" s="750" t="s">
        <v>776</v>
      </c>
      <c r="B56" s="763"/>
      <c r="C56" s="660">
        <f ca="1">SUM(C54:C55)</f>
        <v>451.92525224074791</v>
      </c>
      <c r="D56" s="660">
        <f t="shared" ref="D56:Q56" ca="1" si="7">SUM(D54:D55)</f>
        <v>0</v>
      </c>
      <c r="E56" s="660">
        <f t="shared" si="7"/>
        <v>526.73164641599999</v>
      </c>
      <c r="F56" s="660">
        <f t="shared" si="7"/>
        <v>15.078906870544147</v>
      </c>
      <c r="G56" s="660">
        <f t="shared" si="7"/>
        <v>2016.1742710522897</v>
      </c>
      <c r="H56" s="660">
        <f t="shared" si="7"/>
        <v>0</v>
      </c>
      <c r="I56" s="660">
        <f t="shared" si="7"/>
        <v>0</v>
      </c>
      <c r="J56" s="660">
        <f t="shared" si="7"/>
        <v>0</v>
      </c>
      <c r="K56" s="660">
        <f t="shared" si="7"/>
        <v>190.55802613180325</v>
      </c>
      <c r="L56" s="660">
        <f t="shared" si="7"/>
        <v>0</v>
      </c>
      <c r="M56" s="660">
        <f t="shared" si="7"/>
        <v>0</v>
      </c>
      <c r="N56" s="660">
        <f t="shared" si="7"/>
        <v>0</v>
      </c>
      <c r="O56" s="660">
        <f t="shared" si="7"/>
        <v>0</v>
      </c>
      <c r="P56" s="660">
        <f t="shared" si="7"/>
        <v>0</v>
      </c>
      <c r="Q56" s="661">
        <f t="shared" si="7"/>
        <v>0</v>
      </c>
      <c r="R56" s="662">
        <f ca="1">SUM(R54:R55)</f>
        <v>3200.4681027113847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4159.8564608888237</v>
      </c>
      <c r="D61" s="668">
        <f t="shared" ref="D61:Q61" ca="1" si="8">D46+D52+D56</f>
        <v>0</v>
      </c>
      <c r="E61" s="668">
        <f t="shared" ca="1" si="8"/>
        <v>4407.210607662103</v>
      </c>
      <c r="F61" s="668">
        <f t="shared" si="8"/>
        <v>314.57489910186763</v>
      </c>
      <c r="G61" s="668">
        <f t="shared" ca="1" si="8"/>
        <v>9521.1966643665583</v>
      </c>
      <c r="H61" s="668">
        <f t="shared" si="8"/>
        <v>9576.5673207599721</v>
      </c>
      <c r="I61" s="668">
        <f t="shared" si="8"/>
        <v>2151.0580725308769</v>
      </c>
      <c r="J61" s="668">
        <f t="shared" si="8"/>
        <v>0</v>
      </c>
      <c r="K61" s="668">
        <f t="shared" si="8"/>
        <v>239.14549320428787</v>
      </c>
      <c r="L61" s="668">
        <f t="shared" si="8"/>
        <v>0</v>
      </c>
      <c r="M61" s="668">
        <f t="shared" ca="1" si="8"/>
        <v>0</v>
      </c>
      <c r="N61" s="668">
        <f t="shared" si="8"/>
        <v>0</v>
      </c>
      <c r="O61" s="668">
        <f t="shared" ca="1" si="8"/>
        <v>0</v>
      </c>
      <c r="P61" s="668">
        <f t="shared" si="8"/>
        <v>0</v>
      </c>
      <c r="Q61" s="668">
        <f t="shared" si="8"/>
        <v>0</v>
      </c>
      <c r="R61" s="668">
        <f ca="1">R46+R52+R56</f>
        <v>30369.609518514488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0.19913163850711263</v>
      </c>
      <c r="D63" s="709">
        <f t="shared" ca="1" si="9"/>
        <v>0</v>
      </c>
      <c r="E63" s="942">
        <f t="shared" ca="1" si="9"/>
        <v>0.20200000000000001</v>
      </c>
      <c r="F63" s="709">
        <f t="shared" si="9"/>
        <v>0.22699999999999998</v>
      </c>
      <c r="G63" s="709">
        <f t="shared" ca="1" si="9"/>
        <v>0.26700000000000007</v>
      </c>
      <c r="H63" s="709">
        <f t="shared" si="9"/>
        <v>0.26699999999999996</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2067.102673247231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2067.102673247231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12415.332244688458</v>
      </c>
      <c r="C4" s="441">
        <f>huishoudens!C8</f>
        <v>0</v>
      </c>
      <c r="D4" s="441">
        <f>huishoudens!D8</f>
        <v>15382.099150000002</v>
      </c>
      <c r="E4" s="441">
        <f>huishoudens!E8</f>
        <v>1151.581751476444</v>
      </c>
      <c r="F4" s="441">
        <f>huishoudens!F8</f>
        <v>26692.769049964852</v>
      </c>
      <c r="G4" s="441">
        <f>huishoudens!G8</f>
        <v>0</v>
      </c>
      <c r="H4" s="441">
        <f>huishoudens!H8</f>
        <v>0</v>
      </c>
      <c r="I4" s="441">
        <f>huishoudens!I8</f>
        <v>0</v>
      </c>
      <c r="J4" s="441">
        <f>huishoudens!J8</f>
        <v>137.17732034400566</v>
      </c>
      <c r="K4" s="441">
        <f>huishoudens!K8</f>
        <v>0</v>
      </c>
      <c r="L4" s="441">
        <f>huishoudens!L8</f>
        <v>0</v>
      </c>
      <c r="M4" s="441">
        <f>huishoudens!M8</f>
        <v>0</v>
      </c>
      <c r="N4" s="441">
        <f>huishoudens!N8</f>
        <v>4914.1929809330786</v>
      </c>
      <c r="O4" s="441">
        <f>huishoudens!O8</f>
        <v>90.673333333333346</v>
      </c>
      <c r="P4" s="442">
        <f>huishoudens!P8</f>
        <v>457.6</v>
      </c>
      <c r="Q4" s="443">
        <f>SUM(B4:P4)</f>
        <v>61241.425830740161</v>
      </c>
    </row>
    <row r="5" spans="1:17">
      <c r="A5" s="440" t="s">
        <v>149</v>
      </c>
      <c r="B5" s="441">
        <f ca="1">tertiair!B16</f>
        <v>5188.5467160000007</v>
      </c>
      <c r="C5" s="441">
        <f ca="1">tertiair!C16</f>
        <v>0</v>
      </c>
      <c r="D5" s="441">
        <f ca="1">tertiair!D16</f>
        <v>3260.7458752000002</v>
      </c>
      <c r="E5" s="441">
        <f>tertiair!E16</f>
        <v>77.608160259050294</v>
      </c>
      <c r="F5" s="441">
        <f ca="1">tertiair!F16</f>
        <v>1216.7968950153959</v>
      </c>
      <c r="G5" s="441">
        <f>tertiair!G16</f>
        <v>0</v>
      </c>
      <c r="H5" s="441">
        <f>tertiair!H16</f>
        <v>0</v>
      </c>
      <c r="I5" s="441">
        <f>tertiair!I16</f>
        <v>0</v>
      </c>
      <c r="J5" s="441">
        <f>tertiair!J16</f>
        <v>1.3963341882197448E-2</v>
      </c>
      <c r="K5" s="441">
        <f>tertiair!K16</f>
        <v>0</v>
      </c>
      <c r="L5" s="441">
        <f ca="1">tertiair!L16</f>
        <v>0</v>
      </c>
      <c r="M5" s="441">
        <f>tertiair!M16</f>
        <v>0</v>
      </c>
      <c r="N5" s="441">
        <f ca="1">tertiair!N16</f>
        <v>552.75177131101668</v>
      </c>
      <c r="O5" s="441">
        <f>tertiair!O16</f>
        <v>1.5633333333333335</v>
      </c>
      <c r="P5" s="442">
        <f>tertiair!P16</f>
        <v>0</v>
      </c>
      <c r="Q5" s="440">
        <f t="shared" ref="Q5:Q14" ca="1" si="0">SUM(B5:P5)</f>
        <v>10298.026714460681</v>
      </c>
    </row>
    <row r="6" spans="1:17">
      <c r="A6" s="440" t="s">
        <v>187</v>
      </c>
      <c r="B6" s="441">
        <f>'openbare verlichting'!B8</f>
        <v>411.048</v>
      </c>
      <c r="C6" s="441"/>
      <c r="D6" s="441"/>
      <c r="E6" s="441"/>
      <c r="F6" s="441"/>
      <c r="G6" s="441"/>
      <c r="H6" s="441"/>
      <c r="I6" s="441"/>
      <c r="J6" s="441"/>
      <c r="K6" s="441"/>
      <c r="L6" s="441"/>
      <c r="M6" s="441"/>
      <c r="N6" s="441"/>
      <c r="O6" s="441"/>
      <c r="P6" s="442"/>
      <c r="Q6" s="440">
        <f t="shared" si="0"/>
        <v>411.048</v>
      </c>
    </row>
    <row r="7" spans="1:17">
      <c r="A7" s="440" t="s">
        <v>105</v>
      </c>
      <c r="B7" s="441">
        <f>landbouw!B8</f>
        <v>2046.8466559999999</v>
      </c>
      <c r="C7" s="441">
        <f>landbouw!C8</f>
        <v>0</v>
      </c>
      <c r="D7" s="441">
        <f>landbouw!D8</f>
        <v>2183.3848079999998</v>
      </c>
      <c r="E7" s="441">
        <f>landbouw!E8</f>
        <v>66.42690251341034</v>
      </c>
      <c r="F7" s="441">
        <f>landbouw!F8</f>
        <v>7551.2144983231819</v>
      </c>
      <c r="G7" s="441">
        <f>landbouw!G8</f>
        <v>0</v>
      </c>
      <c r="H7" s="441">
        <f>landbouw!H8</f>
        <v>0</v>
      </c>
      <c r="I7" s="441">
        <f>landbouw!I8</f>
        <v>0</v>
      </c>
      <c r="J7" s="441">
        <f>landbouw!J8</f>
        <v>538.29950884690186</v>
      </c>
      <c r="K7" s="441">
        <f>landbouw!K8</f>
        <v>0</v>
      </c>
      <c r="L7" s="441">
        <f>landbouw!L8</f>
        <v>0</v>
      </c>
      <c r="M7" s="441">
        <f>landbouw!M8</f>
        <v>0</v>
      </c>
      <c r="N7" s="441">
        <f>landbouw!N8</f>
        <v>0</v>
      </c>
      <c r="O7" s="441">
        <f>landbouw!O8</f>
        <v>0</v>
      </c>
      <c r="P7" s="442">
        <f>landbouw!P8</f>
        <v>0</v>
      </c>
      <c r="Q7" s="440">
        <f t="shared" si="0"/>
        <v>12386.172373683492</v>
      </c>
    </row>
    <row r="8" spans="1:17">
      <c r="A8" s="440" t="s">
        <v>596</v>
      </c>
      <c r="B8" s="441">
        <f>industrie!B18</f>
        <v>573.27499999999998</v>
      </c>
      <c r="C8" s="441">
        <f>industrie!C18</f>
        <v>0</v>
      </c>
      <c r="D8" s="441">
        <f>industrie!D18</f>
        <v>517.34300199999996</v>
      </c>
      <c r="E8" s="441">
        <f>industrie!E18</f>
        <v>4.0348892562541545</v>
      </c>
      <c r="F8" s="441">
        <f>industrie!F18</f>
        <v>199.13215732037986</v>
      </c>
      <c r="G8" s="441">
        <f>industrie!G18</f>
        <v>0</v>
      </c>
      <c r="H8" s="441">
        <f>industrie!H18</f>
        <v>0</v>
      </c>
      <c r="I8" s="441">
        <f>industrie!I18</f>
        <v>0</v>
      </c>
      <c r="J8" s="441">
        <f>industrie!J18</f>
        <v>6.1448157289047178E-2</v>
      </c>
      <c r="K8" s="441">
        <f>industrie!K18</f>
        <v>0</v>
      </c>
      <c r="L8" s="441">
        <f>industrie!L18</f>
        <v>0</v>
      </c>
      <c r="M8" s="441">
        <f>industrie!M18</f>
        <v>0</v>
      </c>
      <c r="N8" s="441">
        <f>industrie!N18</f>
        <v>19.169819084420304</v>
      </c>
      <c r="O8" s="441">
        <f>industrie!O18</f>
        <v>0</v>
      </c>
      <c r="P8" s="442">
        <f>industrie!P18</f>
        <v>0</v>
      </c>
      <c r="Q8" s="440">
        <f t="shared" si="0"/>
        <v>1313.0163158183434</v>
      </c>
    </row>
    <row r="9" spans="1:17" s="446" customFormat="1">
      <c r="A9" s="444" t="s">
        <v>545</v>
      </c>
      <c r="B9" s="445">
        <f>transport!B14</f>
        <v>28.382868240552373</v>
      </c>
      <c r="C9" s="445">
        <f>transport!C14</f>
        <v>0</v>
      </c>
      <c r="D9" s="445">
        <f>transport!D14</f>
        <v>50.103860156940797</v>
      </c>
      <c r="E9" s="445">
        <f>transport!E14</f>
        <v>86.140803551527014</v>
      </c>
      <c r="F9" s="445">
        <f>transport!F14</f>
        <v>0</v>
      </c>
      <c r="G9" s="445">
        <f>transport!G14</f>
        <v>35499.250036981015</v>
      </c>
      <c r="H9" s="445">
        <f>transport!H14</f>
        <v>8638.787439883039</v>
      </c>
      <c r="I9" s="445">
        <f>transport!I14</f>
        <v>0</v>
      </c>
      <c r="J9" s="445">
        <f>transport!J14</f>
        <v>0</v>
      </c>
      <c r="K9" s="445">
        <f>transport!K14</f>
        <v>0</v>
      </c>
      <c r="L9" s="445">
        <f>transport!L14</f>
        <v>0</v>
      </c>
      <c r="M9" s="445">
        <f>transport!M14</f>
        <v>2328.3894840104072</v>
      </c>
      <c r="N9" s="445">
        <f>transport!N14</f>
        <v>0</v>
      </c>
      <c r="O9" s="445">
        <f>transport!O14</f>
        <v>0</v>
      </c>
      <c r="P9" s="445">
        <f>transport!P14</f>
        <v>0</v>
      </c>
      <c r="Q9" s="444">
        <f>SUM(B9:P9)</f>
        <v>46631.054492823481</v>
      </c>
    </row>
    <row r="10" spans="1:17">
      <c r="A10" s="440" t="s">
        <v>535</v>
      </c>
      <c r="B10" s="441">
        <f>transport!B54</f>
        <v>3.9178518423063284</v>
      </c>
      <c r="C10" s="441">
        <f>transport!C54</f>
        <v>0</v>
      </c>
      <c r="D10" s="441">
        <f>transport!D54</f>
        <v>0</v>
      </c>
      <c r="E10" s="441">
        <f>transport!E54</f>
        <v>0</v>
      </c>
      <c r="F10" s="441">
        <f>transport!F54</f>
        <v>0</v>
      </c>
      <c r="G10" s="441">
        <f>transport!G54</f>
        <v>368.04329919865825</v>
      </c>
      <c r="H10" s="441">
        <f>transport!H54</f>
        <v>0</v>
      </c>
      <c r="I10" s="441">
        <f>transport!I54</f>
        <v>0</v>
      </c>
      <c r="J10" s="441">
        <f>transport!J54</f>
        <v>0</v>
      </c>
      <c r="K10" s="441">
        <f>transport!K54</f>
        <v>0</v>
      </c>
      <c r="L10" s="441">
        <f>transport!L54</f>
        <v>0</v>
      </c>
      <c r="M10" s="441">
        <f>transport!M54</f>
        <v>21.194508556533748</v>
      </c>
      <c r="N10" s="441">
        <f>transport!N54</f>
        <v>0</v>
      </c>
      <c r="O10" s="441">
        <f>transport!O54</f>
        <v>0</v>
      </c>
      <c r="P10" s="442">
        <f>transport!P54</f>
        <v>0</v>
      </c>
      <c r="Q10" s="440">
        <f t="shared" si="0"/>
        <v>393.15565959749836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222.63325</v>
      </c>
      <c r="C14" s="448"/>
      <c r="D14" s="448">
        <f>'SEAP template'!E25</f>
        <v>424.19759999999997</v>
      </c>
      <c r="E14" s="448"/>
      <c r="F14" s="448"/>
      <c r="G14" s="448"/>
      <c r="H14" s="448"/>
      <c r="I14" s="448"/>
      <c r="J14" s="448"/>
      <c r="K14" s="448"/>
      <c r="L14" s="448"/>
      <c r="M14" s="448"/>
      <c r="N14" s="448"/>
      <c r="O14" s="448"/>
      <c r="P14" s="449"/>
      <c r="Q14" s="440">
        <f t="shared" si="0"/>
        <v>646.83084999999994</v>
      </c>
    </row>
    <row r="15" spans="1:17" s="450" customFormat="1">
      <c r="A15" s="957" t="s">
        <v>539</v>
      </c>
      <c r="B15" s="905">
        <f ca="1">SUM(B4:B14)</f>
        <v>20889.982586771319</v>
      </c>
      <c r="C15" s="905">
        <f t="shared" ref="C15:Q15" ca="1" si="1">SUM(C4:C14)</f>
        <v>0</v>
      </c>
      <c r="D15" s="905">
        <f t="shared" ca="1" si="1"/>
        <v>21817.874295356945</v>
      </c>
      <c r="E15" s="905">
        <f t="shared" si="1"/>
        <v>1385.7925070566857</v>
      </c>
      <c r="F15" s="905">
        <f t="shared" ca="1" si="1"/>
        <v>35659.912600623815</v>
      </c>
      <c r="G15" s="905">
        <f t="shared" si="1"/>
        <v>35867.293336179675</v>
      </c>
      <c r="H15" s="905">
        <f t="shared" si="1"/>
        <v>8638.787439883039</v>
      </c>
      <c r="I15" s="905">
        <f t="shared" si="1"/>
        <v>0</v>
      </c>
      <c r="J15" s="905">
        <f t="shared" si="1"/>
        <v>675.55224069007886</v>
      </c>
      <c r="K15" s="905">
        <f t="shared" si="1"/>
        <v>0</v>
      </c>
      <c r="L15" s="905">
        <f t="shared" ca="1" si="1"/>
        <v>0</v>
      </c>
      <c r="M15" s="905">
        <f t="shared" si="1"/>
        <v>2349.5839925669411</v>
      </c>
      <c r="N15" s="905">
        <f t="shared" ca="1" si="1"/>
        <v>5486.114571328515</v>
      </c>
      <c r="O15" s="905">
        <f t="shared" si="1"/>
        <v>92.236666666666679</v>
      </c>
      <c r="P15" s="905">
        <f t="shared" si="1"/>
        <v>457.6</v>
      </c>
      <c r="Q15" s="905">
        <f t="shared" ca="1" si="1"/>
        <v>133320.73023712367</v>
      </c>
    </row>
    <row r="17" spans="1:17">
      <c r="A17" s="451" t="s">
        <v>540</v>
      </c>
      <c r="B17" s="714">
        <f ca="1">huishoudens!B10</f>
        <v>0.19913163850711263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2472.2854524950012</v>
      </c>
      <c r="C22" s="441">
        <f t="shared" ref="C22:C32" ca="1" si="3">C4*$C$17</f>
        <v>0</v>
      </c>
      <c r="D22" s="441">
        <f t="shared" ref="D22:D32" si="4">D4*$D$17</f>
        <v>3107.1840283000006</v>
      </c>
      <c r="E22" s="441">
        <f t="shared" ref="E22:E32" si="5">E4*$E$17</f>
        <v>261.40905758515277</v>
      </c>
      <c r="F22" s="441">
        <f t="shared" ref="F22:F32" si="6">F4*$F$17</f>
        <v>7126.9693363406159</v>
      </c>
      <c r="G22" s="441">
        <f t="shared" ref="G22:G32" si="7">G4*$G$17</f>
        <v>0</v>
      </c>
      <c r="H22" s="441">
        <f t="shared" ref="H22:H32" si="8">H4*$H$17</f>
        <v>0</v>
      </c>
      <c r="I22" s="441">
        <f t="shared" ref="I22:I32" si="9">I4*$I$17</f>
        <v>0</v>
      </c>
      <c r="J22" s="441">
        <f t="shared" ref="J22:J32" si="10">J4*$J$17</f>
        <v>48.560771401778005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13016.408646122549</v>
      </c>
    </row>
    <row r="23" spans="1:17">
      <c r="A23" s="440" t="s">
        <v>149</v>
      </c>
      <c r="B23" s="441">
        <f t="shared" ca="1" si="2"/>
        <v>1033.2038090277786</v>
      </c>
      <c r="C23" s="441">
        <f t="shared" ca="1" si="3"/>
        <v>0</v>
      </c>
      <c r="D23" s="441">
        <f t="shared" ca="1" si="4"/>
        <v>658.67066679040011</v>
      </c>
      <c r="E23" s="441">
        <f t="shared" si="5"/>
        <v>17.617052378804416</v>
      </c>
      <c r="F23" s="441">
        <f t="shared" ca="1" si="6"/>
        <v>324.88477096911072</v>
      </c>
      <c r="G23" s="441">
        <f t="shared" si="7"/>
        <v>0</v>
      </c>
      <c r="H23" s="441">
        <f t="shared" si="8"/>
        <v>0</v>
      </c>
      <c r="I23" s="441">
        <f t="shared" si="9"/>
        <v>0</v>
      </c>
      <c r="J23" s="441">
        <f t="shared" si="10"/>
        <v>4.9430230262978965E-3</v>
      </c>
      <c r="K23" s="441">
        <f t="shared" si="11"/>
        <v>0</v>
      </c>
      <c r="L23" s="441">
        <f t="shared" ca="1" si="12"/>
        <v>0</v>
      </c>
      <c r="M23" s="441">
        <f t="shared" si="13"/>
        <v>0</v>
      </c>
      <c r="N23" s="441">
        <f t="shared" ca="1" si="14"/>
        <v>0</v>
      </c>
      <c r="O23" s="441">
        <f t="shared" si="15"/>
        <v>0</v>
      </c>
      <c r="P23" s="442">
        <f t="shared" si="16"/>
        <v>0</v>
      </c>
      <c r="Q23" s="440">
        <f t="shared" ref="Q23:Q32" ca="1" si="17">SUM(B23:P23)</f>
        <v>2034.38124218912</v>
      </c>
    </row>
    <row r="24" spans="1:17">
      <c r="A24" s="440" t="s">
        <v>187</v>
      </c>
      <c r="B24" s="441">
        <f t="shared" ca="1" si="2"/>
        <v>81.852661745071629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81.852661745071629</v>
      </c>
    </row>
    <row r="25" spans="1:17">
      <c r="A25" s="440" t="s">
        <v>105</v>
      </c>
      <c r="B25" s="441">
        <f t="shared" ca="1" si="2"/>
        <v>407.59192838208429</v>
      </c>
      <c r="C25" s="441">
        <f t="shared" ca="1" si="3"/>
        <v>0</v>
      </c>
      <c r="D25" s="441">
        <f t="shared" si="4"/>
        <v>441.04373121599997</v>
      </c>
      <c r="E25" s="441">
        <f t="shared" si="5"/>
        <v>15.078906870544147</v>
      </c>
      <c r="F25" s="441">
        <f t="shared" si="6"/>
        <v>2016.1742710522897</v>
      </c>
      <c r="G25" s="441">
        <f t="shared" si="7"/>
        <v>0</v>
      </c>
      <c r="H25" s="441">
        <f t="shared" si="8"/>
        <v>0</v>
      </c>
      <c r="I25" s="441">
        <f t="shared" si="9"/>
        <v>0</v>
      </c>
      <c r="J25" s="441">
        <f t="shared" si="10"/>
        <v>190.55802613180325</v>
      </c>
      <c r="K25" s="441">
        <f t="shared" si="11"/>
        <v>0</v>
      </c>
      <c r="L25" s="441">
        <f t="shared" si="12"/>
        <v>0</v>
      </c>
      <c r="M25" s="441">
        <f t="shared" si="13"/>
        <v>0</v>
      </c>
      <c r="N25" s="441">
        <f t="shared" si="14"/>
        <v>0</v>
      </c>
      <c r="O25" s="441">
        <f t="shared" si="15"/>
        <v>0</v>
      </c>
      <c r="P25" s="442">
        <f t="shared" si="16"/>
        <v>0</v>
      </c>
      <c r="Q25" s="440">
        <f t="shared" ca="1" si="17"/>
        <v>3070.4468636527213</v>
      </c>
    </row>
    <row r="26" spans="1:17">
      <c r="A26" s="440" t="s">
        <v>596</v>
      </c>
      <c r="B26" s="441">
        <f t="shared" ca="1" si="2"/>
        <v>114.15719006516498</v>
      </c>
      <c r="C26" s="441">
        <f t="shared" ca="1" si="3"/>
        <v>0</v>
      </c>
      <c r="D26" s="441">
        <f t="shared" si="4"/>
        <v>104.50328640399999</v>
      </c>
      <c r="E26" s="441">
        <f t="shared" si="5"/>
        <v>0.91591986116969315</v>
      </c>
      <c r="F26" s="441">
        <f t="shared" si="6"/>
        <v>53.168286004541429</v>
      </c>
      <c r="G26" s="441">
        <f t="shared" si="7"/>
        <v>0</v>
      </c>
      <c r="H26" s="441">
        <f t="shared" si="8"/>
        <v>0</v>
      </c>
      <c r="I26" s="441">
        <f t="shared" si="9"/>
        <v>0</v>
      </c>
      <c r="J26" s="441">
        <f t="shared" si="10"/>
        <v>2.1752647680322701E-2</v>
      </c>
      <c r="K26" s="441">
        <f t="shared" si="11"/>
        <v>0</v>
      </c>
      <c r="L26" s="441">
        <f t="shared" si="12"/>
        <v>0</v>
      </c>
      <c r="M26" s="441">
        <f t="shared" si="13"/>
        <v>0</v>
      </c>
      <c r="N26" s="441">
        <f t="shared" si="14"/>
        <v>0</v>
      </c>
      <c r="O26" s="441">
        <f t="shared" si="15"/>
        <v>0</v>
      </c>
      <c r="P26" s="442">
        <f t="shared" si="16"/>
        <v>0</v>
      </c>
      <c r="Q26" s="440">
        <f t="shared" ca="1" si="17"/>
        <v>272.7664349825564</v>
      </c>
    </row>
    <row r="27" spans="1:17" s="446" customFormat="1">
      <c r="A27" s="444" t="s">
        <v>545</v>
      </c>
      <c r="B27" s="708">
        <f t="shared" ca="1" si="2"/>
        <v>5.6519270582726833</v>
      </c>
      <c r="C27" s="445">
        <f t="shared" ca="1" si="3"/>
        <v>0</v>
      </c>
      <c r="D27" s="445">
        <f t="shared" si="4"/>
        <v>10.120979751702041</v>
      </c>
      <c r="E27" s="445">
        <f t="shared" si="5"/>
        <v>19.553962406196632</v>
      </c>
      <c r="F27" s="445">
        <f t="shared" si="6"/>
        <v>0</v>
      </c>
      <c r="G27" s="445">
        <f t="shared" si="7"/>
        <v>9478.2997598739312</v>
      </c>
      <c r="H27" s="445">
        <f t="shared" si="8"/>
        <v>2151.0580725308769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11664.684701620979</v>
      </c>
    </row>
    <row r="28" spans="1:17">
      <c r="A28" s="440" t="s">
        <v>535</v>
      </c>
      <c r="B28" s="441">
        <f t="shared" ca="1" si="2"/>
        <v>0.78016825678656898</v>
      </c>
      <c r="C28" s="441">
        <f t="shared" ca="1" si="3"/>
        <v>0</v>
      </c>
      <c r="D28" s="441">
        <f t="shared" si="4"/>
        <v>0</v>
      </c>
      <c r="E28" s="441">
        <f t="shared" si="5"/>
        <v>0</v>
      </c>
      <c r="F28" s="441">
        <f t="shared" si="6"/>
        <v>0</v>
      </c>
      <c r="G28" s="441">
        <f t="shared" si="7"/>
        <v>98.267560886041764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99.047729142828331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44.333323858663633</v>
      </c>
      <c r="C32" s="441">
        <f t="shared" ca="1" si="3"/>
        <v>0</v>
      </c>
      <c r="D32" s="441">
        <f t="shared" si="4"/>
        <v>85.687915199999992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130.02123905866364</v>
      </c>
    </row>
    <row r="33" spans="1:17" s="450" customFormat="1">
      <c r="A33" s="957" t="s">
        <v>539</v>
      </c>
      <c r="B33" s="905">
        <f ca="1">SUM(B22:B32)</f>
        <v>4159.8564608888246</v>
      </c>
      <c r="C33" s="905">
        <f t="shared" ref="C33:Q33" ca="1" si="18">SUM(C22:C32)</f>
        <v>0</v>
      </c>
      <c r="D33" s="905">
        <f t="shared" ca="1" si="18"/>
        <v>4407.210607662103</v>
      </c>
      <c r="E33" s="905">
        <f t="shared" si="18"/>
        <v>314.57489910186769</v>
      </c>
      <c r="F33" s="905">
        <f t="shared" ca="1" si="18"/>
        <v>9521.1966643665583</v>
      </c>
      <c r="G33" s="905">
        <f t="shared" si="18"/>
        <v>9576.5673207599721</v>
      </c>
      <c r="H33" s="905">
        <f t="shared" si="18"/>
        <v>2151.0580725308769</v>
      </c>
      <c r="I33" s="905">
        <f t="shared" si="18"/>
        <v>0</v>
      </c>
      <c r="J33" s="905">
        <f t="shared" si="18"/>
        <v>239.14549320428787</v>
      </c>
      <c r="K33" s="905">
        <f t="shared" si="18"/>
        <v>0</v>
      </c>
      <c r="L33" s="905">
        <f t="shared" ca="1" si="18"/>
        <v>0</v>
      </c>
      <c r="M33" s="905">
        <f t="shared" si="18"/>
        <v>0</v>
      </c>
      <c r="N33" s="905">
        <f t="shared" ca="1" si="18"/>
        <v>0</v>
      </c>
      <c r="O33" s="905">
        <f t="shared" si="18"/>
        <v>0</v>
      </c>
      <c r="P33" s="905">
        <f t="shared" si="18"/>
        <v>0</v>
      </c>
      <c r="Q33" s="905">
        <f t="shared" ca="1" si="18"/>
        <v>30369.609518514491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2067.102673247231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2067.102673247231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0.19913163850711263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0.19913163850711263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2022-07-26T10:53:26Z</dcterms:modified>
</cp:coreProperties>
</file>