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843B5EB-201C-4435-BFF4-0E6C24855A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Q40" i="18"/>
  <c r="R40" i="18"/>
  <c r="J9" i="18"/>
  <c r="J77" i="14"/>
  <c r="J9" i="61"/>
  <c r="U40" i="18"/>
  <c r="T40" i="18"/>
  <c r="I9" i="18"/>
  <c r="S40" i="18"/>
  <c r="E9" i="18"/>
  <c r="P40" i="18"/>
  <c r="C9" i="18"/>
  <c r="O40" i="18"/>
  <c r="N40" i="18"/>
  <c r="B9" i="18"/>
  <c r="M40" i="18"/>
  <c r="W36" i="18"/>
  <c r="V36" i="18"/>
  <c r="U36" i="18"/>
  <c r="T36" i="18"/>
  <c r="S36" i="18"/>
  <c r="R36" i="18"/>
  <c r="Q36" i="18"/>
  <c r="P36" i="18"/>
  <c r="O36" i="18"/>
  <c r="N36" i="18"/>
  <c r="M36" i="18"/>
  <c r="W35" i="18"/>
  <c r="V35" i="18"/>
  <c r="U35" i="18"/>
  <c r="T35" i="18"/>
  <c r="S35" i="18"/>
  <c r="F13" i="15"/>
  <c r="R35" i="18"/>
  <c r="Q35" i="18"/>
  <c r="P35" i="18"/>
  <c r="D13" i="15"/>
  <c r="O35" i="18"/>
  <c r="C13" i="15"/>
  <c r="N35" i="18"/>
  <c r="M35" i="18"/>
  <c r="W34" i="18"/>
  <c r="V34" i="18"/>
  <c r="U34" i="18"/>
  <c r="T34" i="18"/>
  <c r="S34" i="18"/>
  <c r="R34" i="18"/>
  <c r="Q34" i="18"/>
  <c r="P34" i="18"/>
  <c r="O34" i="18"/>
  <c r="N34" i="18"/>
  <c r="M34" i="18"/>
  <c r="W33" i="18"/>
  <c r="V33" i="18"/>
  <c r="U33" i="18"/>
  <c r="T33" i="18"/>
  <c r="S33" i="18"/>
  <c r="R33" i="18"/>
  <c r="Q33" i="18"/>
  <c r="P33" i="18"/>
  <c r="O33" i="18"/>
  <c r="N33" i="18"/>
  <c r="B49" i="18"/>
  <c r="M33"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9"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2" i="18"/>
  <c r="H8" i="18"/>
  <c r="E52" i="18"/>
  <c r="E8" i="18"/>
  <c r="G52" i="18"/>
  <c r="F52" i="18"/>
  <c r="H52" i="18"/>
  <c r="D52" i="18"/>
  <c r="C52" i="18"/>
  <c r="B52" i="18"/>
  <c r="C8" i="18"/>
  <c r="I53" i="18"/>
  <c r="H17" i="18"/>
  <c r="E53" i="18"/>
  <c r="E17" i="18"/>
  <c r="C53" i="18"/>
  <c r="B53" i="18"/>
  <c r="C17" i="18"/>
  <c r="H53" i="18"/>
  <c r="D53" i="18"/>
  <c r="G53" i="18"/>
  <c r="F53"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<sst xmlns="http://schemas.openxmlformats.org/spreadsheetml/2006/main" count="2422" uniqueCount="881">
  <si>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</si>
  <si>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</si>
  <si>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</si>
  <si>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</si>
  <si>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</si>
  <si>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</si>
  <si>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</si>
  <si>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</si>
  <si>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</si>
  <si>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</si>
  <si>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</si>
  <si>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</si>
  <si>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</si>
  <si>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</si>
  <si>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</si>
  <si>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</si>
  <si>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</si>
  <si>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</si>
  <si>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</si>
  <si>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</si>
  <si>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</si>
  <si>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</si>
  <si>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</si>
  <si>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</si>
  <si>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</si>
  <si>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</si>
  <si>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</si>
  <si>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</si>
  <si>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</si>
  <si>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</si>
  <si>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</si>
  <si>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</si>
  <si>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</si>
  <si>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</si>
  <si>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</si>
  <si>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</si>
  <si>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</si>
  <si>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</si>
  <si>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</si>
  <si>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</si>
  <si>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</si>
  <si>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</si>
  <si>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</si>
  <si>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</si>
  <si>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</si>
  <si>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</si>
  <si>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</si>
  <si>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</si>
  <si>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</si>
  <si>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</si>
  <si>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</si>
  <si>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</si>
  <si>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</si>
  <si>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</si>
  <si>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</si>
  <si>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</si>
  <si>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</si>
  <si>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</si>
  <si>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</si>
  <si>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</si>
  <si>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</si>
  <si>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</si>
  <si>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</si>
  <si>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</si>
  <si>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</si>
  <si>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</si>
  <si>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</si>
  <si>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</si>
  <si>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</si>
  <si>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</si>
  <si>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</si>
  <si>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</si>
  <si>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</si>
  <si>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</si>
  <si>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</si>
  <si>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</si>
  <si>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</si>
  <si>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</si>
  <si>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</si>
  <si>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</si>
  <si>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</si>
  <si>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</si>
  <si>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</si>
  <si>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</si>
  <si>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</si>
  <si>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</si>
  <si>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</si>
  <si>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</si>
  <si>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</si>
  <si>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</si>
  <si>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</si>
  <si>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</si>
  <si>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</si>
  <si>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</si>
  <si>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</si>
  <si>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</si>
  <si>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</si>
  <si>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</si>
  <si>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</si>
  <si>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</si>
  <si>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</si>
  <si>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</si>
  <si>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</si>
  <si>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</si>
  <si>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</si>
  <si>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</si>
  <si>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</si>
  <si>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</si>
  <si>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</si>
  <si>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</si>
  <si>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</si>
  <si>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</si>
  <si>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</si>
  <si>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</si>
  <si>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</si>
  <si>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</si>
  <si>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</si>
  <si>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</si>
  <si>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</si>
  <si>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</si>
  <si>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</si>
  <si>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</si>
  <si>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</si>
  <si>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</si>
  <si>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</si>
  <si>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</si>
  <si>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</si>
  <si>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</si>
  <si>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</si>
  <si>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</si>
  <si>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</si>
  <si>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</si>
  <si>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</si>
  <si>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</si>
  <si>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</si>
  <si>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</si>
  <si>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</si>
  <si>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</si>
  <si>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</si>
  <si>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</si>
  <si>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</si>
  <si>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</si>
  <si>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</si>
  <si>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</si>
  <si>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</si>
  <si>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</si>
  <si>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</si>
  <si>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</si>
  <si>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</si>
  <si>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</si>
  <si>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</si>
  <si>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</si>
  <si>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</si>
  <si>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</si>
  <si>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</si>
  <si>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</si>
  <si>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</si>
  <si>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</si>
  <si>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</si>
  <si>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</si>
  <si>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</si>
  <si>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</si>
  <si>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</si>
  <si>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</si>
  <si>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</si>
  <si>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</si>
  <si>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</si>
  <si>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</si>
  <si>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</si>
  <si>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</si>
  <si>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</si>
  <si>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</si>
  <si>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</si>
  <si>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</si>
  <si>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</si>
  <si>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</si>
  <si>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</si>
  <si>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</si>
  <si>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</si>
  <si>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</si>
  <si>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</si>
  <si>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</si>
  <si>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</si>
  <si>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</si>
  <si>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</si>
  <si>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</si>
  <si>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</si>
  <si>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</si>
  <si>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</si>
  <si>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</si>
  <si>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</si>
  <si>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</si>
  <si>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</si>
  <si>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</si>
  <si>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</si>
  <si>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</si>
  <si>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</si>
  <si>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</si>
  <si>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</si>
  <si>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</si>
  <si>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</si>
  <si>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</si>
  <si>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</si>
  <si>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</si>
  <si>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</si>
  <si>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</si>
  <si>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</si>
  <si>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</si>
  <si>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</si>
  <si>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</si>
  <si>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</si>
  <si>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</si>
  <si>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</si>
  <si>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</si>
  <si>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</si>
  <si>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</si>
  <si>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</si>
  <si>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</si>
  <si>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</si>
  <si>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</si>
  <si>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</si>
  <si>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</si>
  <si>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</si>
  <si>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</si>
  <si>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</si>
  <si>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</si>
  <si>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</si>
  <si>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</si>
  <si>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</si>
  <si>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</si>
  <si>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</si>
  <si>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</si>
  <si>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</si>
  <si>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</si>
  <si>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</si>
  <si>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</si>
  <si>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</si>
  <si>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</si>
  <si>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</si>
  <si>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</si>
  <si>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</si>
  <si>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</si>
  <si>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</si>
  <si>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</si>
  <si>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</si>
  <si>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</si>
  <si>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</si>
  <si>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</si>
  <si>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</si>
  <si>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</si>
  <si>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</si>
  <si>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</si>
  <si>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</si>
  <si>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</si>
  <si>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</si>
  <si>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</si>
  <si>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</si>
  <si>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</si>
  <si>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</si>
  <si>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</si>
  <si>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</si>
  <si>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</si>
  <si>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</si>
  <si>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</si>
  <si>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</si>
  <si>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</si>
  <si>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</si>
  <si>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</si>
  <si>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</si>
  <si>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</si>
  <si>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</si>
  <si>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</si>
  <si>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</si>
  <si>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</si>
  <si>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</si>
  <si>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</si>
  <si>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</si>
  <si>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</si>
  <si>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</si>
  <si>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</si>
  <si>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</si>
  <si>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</si>
  <si>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</si>
  <si>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</si>
  <si>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</si>
  <si>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</si>
  <si>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</si>
  <si>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</si>
  <si>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</si>
  <si>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</si>
  <si>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</si>
  <si>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</si>
  <si>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</si>
  <si>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</si>
  <si>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</si>
  <si>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</si>
  <si>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</si>
  <si>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</si>
  <si>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</si>
  <si>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</si>
  <si>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</si>
  <si>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</si>
  <si>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</si>
  <si>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</si>
  <si>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</si>
  <si>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</si>
  <si>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</si>
  <si>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</si>
  <si>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</si>
  <si>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</si>
  <si>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</si>
  <si>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</si>
  <si>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</si>
  <si>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</si>
  <si>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</si>
  <si>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</si>
  <si>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</si>
  <si>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</si>
  <si>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</si>
  <si>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</si>
  <si>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</si>
  <si>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</si>
  <si>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</si>
  <si>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</si>
  <si>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</si>
  <si>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</si>
  <si>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</si>
  <si>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</si>
  <si>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</si>
  <si>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</si>
  <si>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</si>
  <si>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</si>
  <si>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</si>
  <si>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</si>
  <si>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</si>
  <si>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</si>
  <si>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</si>
  <si>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</si>
  <si>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</si>
  <si>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</si>
  <si>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</si>
  <si>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</si>
  <si>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</si>
  <si>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</si>
  <si>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</si>
  <si>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</si>
  <si>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</si>
  <si>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</si>
  <si>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</si>
  <si>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</si>
  <si>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</si>
  <si>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</si>
  <si>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</si>
  <si>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</si>
  <si>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</si>
  <si>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</si>
  <si>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</si>
  <si>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</si>
  <si>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</si>
  <si>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</si>
  <si>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</si>
  <si>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</si>
  <si>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</si>
  <si>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</si>
  <si>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</si>
  <si>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</si>
  <si>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</si>
  <si>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</si>
  <si>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</si>
  <si>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</si>
  <si>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</si>
  <si>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</si>
  <si>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</si>
  <si>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</si>
  <si>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</si>
  <si>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</si>
  <si>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</si>
  <si>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</si>
  <si>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</si>
  <si>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</si>
  <si>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</si>
  <si>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</si>
  <si>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</si>
  <si>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</si>
  <si>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</si>
  <si>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</si>
  <si>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</si>
  <si>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</si>
  <si>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</si>
  <si>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</si>
  <si>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</si>
  <si>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</si>
  <si>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</si>
  <si>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</si>
  <si>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</si>
  <si>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</si>
  <si>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</si>
  <si>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</si>
  <si>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</si>
  <si>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</si>
  <si>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</si>
  <si>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</si>
  <si>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</si>
  <si>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</si>
  <si>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</si>
  <si>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</si>
  <si>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</si>
  <si>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</si>
  <si>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</si>
  <si>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</si>
  <si>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</si>
  <si>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</si>
  <si>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</si>
  <si>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</si>
  <si>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</si>
  <si>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</si>
  <si>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</si>
  <si>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</si>
  <si>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</si>
  <si>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</si>
  <si>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</si>
  <si>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</si>
  <si>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</si>
  <si>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</si>
  <si>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</si>
  <si>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</si>
  <si>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</si>
  <si>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</si>
  <si>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</si>
  <si>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</si>
  <si>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</si>
  <si>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</si>
  <si>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</si>
  <si>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</si>
  <si>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</si>
  <si>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</si>
  <si>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</si>
  <si>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</si>
  <si>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</si>
  <si>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</si>
  <si>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</si>
  <si>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</si>
  <si>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</si>
  <si>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</si>
  <si>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</si>
  <si>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</si>
  <si>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</si>
  <si>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</si>
  <si>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</si>
  <si>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</si>
  <si>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</si>
  <si>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</si>
  <si>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</si>
  <si>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</si>
  <si>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</si>
  <si>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</si>
  <si>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</si>
  <si>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</si>
  <si>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</si>
  <si>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</si>
  <si>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</si>
  <si>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</si>
  <si>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</si>
  <si>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</si>
  <si>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</si>
  <si>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</si>
  <si>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</si>
  <si>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</si>
  <si>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</si>
  <si>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</si>
  <si>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</si>
  <si>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</si>
  <si>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</si>
  <si>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</si>
  <si>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</si>
  <si>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</si>
  <si>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</si>
  <si>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</si>
  <si>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</si>
  <si>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</si>
  <si>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</si>
  <si>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</si>
  <si>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</si>
  <si>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</si>
  <si>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</si>
  <si>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</si>
  <si>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</si>
  <si>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</si>
  <si>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</si>
  <si>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</si>
  <si>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</si>
  <si>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</si>
  <si>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</si>
  <si>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</si>
  <si>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</si>
  <si>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</si>
  <si>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</si>
  <si>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</si>
  <si>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</si>
  <si>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</si>
  <si>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</si>
  <si>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</si>
  <si>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</si>
  <si>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</si>
  <si>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</si>
  <si>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</si>
  <si>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</si>
  <si>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</si>
  <si>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</si>
  <si>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</si>
  <si>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</si>
  <si>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</si>
  <si>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</si>
  <si>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</si>
  <si>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</si>
  <si>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</si>
  <si>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</si>
  <si>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</si>
  <si>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</si>
  <si>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</si>
  <si>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</si>
  <si>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</si>
  <si>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</si>
  <si>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</si>
  <si>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</si>
  <si>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</si>
  <si>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</si>
  <si>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</si>
  <si>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</si>
  <si>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</si>
  <si>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</si>
  <si>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</si>
  <si>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</si>
  <si>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</si>
  <si>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</si>
  <si>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</si>
  <si>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</si>
  <si>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</si>
  <si>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</si>
  <si>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</si>
  <si>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</si>
  <si>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</si>
  <si>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</si>
  <si>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</si>
  <si>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</si>
  <si>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</si>
  <si>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</si>
  <si>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</si>
  <si>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</si>
  <si>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</si>
  <si>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</si>
  <si>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</si>
  <si>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</si>
  <si>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</si>
  <si>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</si>
  <si>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</si>
  <si>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</si>
  <si>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</si>
  <si>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</si>
  <si>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</si>
  <si>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</si>
  <si>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</si>
  <si>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</si>
  <si>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</si>
  <si>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</si>
  <si>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</si>
  <si>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</si>
  <si>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</si>
  <si>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</si>
  <si>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</si>
  <si>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</si>
  <si>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</si>
  <si>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</si>
  <si>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</si>
  <si>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</si>
  <si>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</si>
  <si>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</si>
  <si>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</si>
  <si>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</si>
  <si>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</si>
  <si>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</si>
  <si>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</si>
  <si>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</si>
  <si>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</si>
  <si>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</si>
  <si>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</si>
  <si>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</si>
  <si>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</si>
  <si>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</si>
  <si>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</si>
  <si>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</si>
  <si>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</si>
  <si>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</si>
  <si>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</si>
  <si>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</si>
  <si>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</si>
  <si>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</si>
  <si>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</si>
  <si>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</si>
  <si>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</si>
  <si>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</si>
  <si>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</si>
  <si>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</si>
  <si>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</si>
  <si>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</si>
  <si>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</si>
  <si>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</si>
  <si>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</si>
  <si>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</si>
  <si>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</si>
  <si>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</si>
  <si>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</si>
  <si>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</si>
  <si>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</si>
  <si>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</si>
  <si>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</si>
  <si>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</si>
  <si>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</si>
  <si>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</si>
  <si>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</si>
  <si>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</si>
  <si>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</si>
  <si>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</si>
  <si>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</si>
  <si>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</si>
  <si>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</si>
  <si>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</si>
  <si>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</si>
  <si>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</si>
  <si>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</si>
  <si>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</si>
  <si>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</si>
  <si>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</si>
  <si>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</si>
  <si>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</si>
  <si>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</si>
  <si>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</si>
  <si>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</si>
  <si>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</si>
  <si>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</si>
  <si>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</si>
  <si>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</si>
  <si>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</si>
  <si>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</si>
  <si>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</si>
  <si>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</si>
  <si>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</si>
  <si>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</si>
  <si>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</si>
  <si>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</si>
  <si>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</si>
  <si>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</si>
  <si>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</si>
  <si>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</si>
  <si>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</si>
  <si>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</si>
  <si>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</si>
  <si>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</si>
  <si>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</si>
  <si>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</si>
  <si>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</si>
  <si>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</si>
  <si>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</si>
  <si>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</si>
  <si>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</si>
  <si>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</si>
  <si>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</si>
  <si>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</si>
  <si>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</si>
  <si>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</si>
  <si>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</si>
  <si>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</si>
  <si>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</si>
  <si>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</si>
  <si>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</si>
  <si>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</si>
  <si>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</si>
  <si>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</si>
  <si>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</si>
  <si>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</si>
  <si>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</si>
  <si>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</si>
  <si>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</si>
  <si>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</si>
  <si>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</si>
  <si>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</si>
  <si>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</si>
  <si>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</si>
  <si>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</si>
  <si>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</si>
  <si>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</si>
  <si>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</si>
  <si>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</si>
  <si>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</si>
  <si>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</si>
  <si>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</si>
  <si>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</si>
  <si>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</si>
  <si>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</si>
  <si>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</si>
  <si>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</si>
  <si>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</si>
  <si>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</si>
  <si>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</si>
  <si>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</si>
  <si>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</si>
  <si>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</si>
  <si>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</si>
  <si>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</si>
  <si>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</si>
  <si>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</si>
  <si>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</si>
  <si>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</si>
  <si>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</si>
  <si>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</si>
  <si>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</si>
  <si>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</si>
  <si>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</si>
  <si>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</si>
  <si>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</si>
  <si>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</si>
  <si>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</si>
  <si>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</si>
  <si>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</si>
  <si>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</si>
  <si>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</si>
  <si>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</si>
  <si>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</si>
  <si>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</si>
  <si>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</si>
  <si>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</si>
  <si>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</si>
  <si>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</si>
  <si>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</si>
  <si>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</si>
  <si>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</si>
  <si>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</si>
  <si>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</si>
  <si>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</si>
  <si>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</si>
  <si>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</si>
  <si>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</si>
  <si>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</si>
  <si>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</si>
  <si>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</si>
  <si>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</si>
  <si>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</si>
  <si>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</si>
  <si>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</si>
  <si>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</si>
  <si>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</si>
  <si>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</si>
  <si>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</si>
  <si>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</si>
  <si>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</si>
  <si>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</si>
  <si>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</si>
  <si>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</si>
  <si>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</si>
  <si>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</si>
  <si>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</si>
  <si>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</si>
  <si>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</si>
  <si>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</si>
  <si>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</si>
  <si>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</si>
  <si>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</si>
  <si>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</si>
  <si>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</si>
  <si>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</si>
  <si>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</si>
  <si>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</si>
  <si>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</si>
  <si>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</si>
  <si>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</si>
  <si>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</si>
  <si>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</si>
  <si>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</si>
  <si>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</si>
  <si>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</si>
  <si>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</si>
  <si>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</si>
  <si>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</si>
  <si>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</si>
  <si>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</si>
  <si>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</si>
  <si>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</si>
  <si>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</si>
  <si>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</si>
  <si>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</si>
  <si>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</si>
  <si>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</si>
  <si>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</si>
  <si>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</si>
  <si>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</si>
  <si>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</si>
  <si>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</si>
  <si>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</si>
  <si>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</si>
  <si>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</si>
  <si>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</si>
  <si>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</si>
  <si>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</si>
  <si>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</si>
  <si>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</si>
  <si>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</si>
  <si>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</si>
  <si>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</si>
  <si>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</si>
  <si>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</si>
  <si>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</si>
  <si>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</si>
  <si>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</si>
  <si>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</si>
  <si>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</si>
  <si>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</si>
  <si>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</si>
  <si>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</si>
  <si>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</si>
  <si>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</si>
  <si>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</si>
  <si>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</si>
  <si>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</si>
  <si>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</si>
  <si>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</si>
  <si>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</si>
  <si>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</si>
  <si>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</si>
  <si>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</si>
  <si>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</si>
  <si>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</si>
  <si>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</si>
  <si>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</si>
  <si>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</si>
  <si>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</si>
  <si>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</si>
  <si>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</si>
  <si>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</si>
  <si>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</si>
  <si>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</si>
  <si>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</si>
  <si>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</si>
  <si>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</si>
  <si>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</si>
  <si>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</si>
  <si>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</si>
  <si>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</si>
  <si>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</si>
  <si>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</si>
  <si>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</si>
  <si>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</si>
  <si>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</si>
  <si>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</si>
  <si>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</si>
  <si>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</si>
  <si>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</si>
  <si>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</si>
  <si>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</si>
  <si>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</si>
  <si>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</si>
  <si>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</si>
  <si>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</si>
  <si>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</si>
  <si>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</si>
  <si>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</si>
  <si>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</si>
  <si>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</si>
  <si>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</si>
  <si>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</si>
  <si>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</si>
  <si>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</si>
  <si>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</si>
  <si>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</si>
  <si>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</si>
  <si>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</si>
  <si>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46020</t>
  </si>
  <si>
    <t>SINT-GILLIS-WAAS</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</si>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</sst>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650E11C-013D-4C83-A8DD-F8836339EA0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160544.49550179217</c:v>
                </c:pt>
                <c:pt idx="1">
                  <c:v>34298.131195004513</c:v>
                </c:pt>
                <c:pt idx="2">
                  <c:v>1115.9939999999999</c:v>
                </c:pt>
                <c:pt idx="3">
                  <c:v>70651.456677623399</c:v>
                </c:pt>
                <c:pt idx="4">
                  <c:v>16797.153846084249</c:v>
                </c:pt>
                <c:pt idx="5">
                  <c:v>211387.30122785753</c:v>
                </c:pt>
                <c:pt idx="6">
                  <c:v>1923.6806078227032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160544.49550179217</c:v>
                </c:pt>
                <c:pt idx="1">
                  <c:v>34298.131195004513</c:v>
                </c:pt>
                <c:pt idx="2">
                  <c:v>1115.9939999999999</c:v>
                </c:pt>
                <c:pt idx="3">
                  <c:v>70651.456677623399</c:v>
                </c:pt>
                <c:pt idx="4">
                  <c:v>16797.153846084249</c:v>
                </c:pt>
                <c:pt idx="5">
                  <c:v>211387.30122785753</c:v>
                </c:pt>
                <c:pt idx="6">
                  <c:v>1923.6806078227032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30289.622157541027</c:v>
                </c:pt>
                <c:pt idx="2">
                  <c:v>6316.82859078407</c:v>
                </c:pt>
                <c:pt idx="3">
                  <c:v>165.56168465085841</c:v>
                </c:pt>
                <c:pt idx="4">
                  <c:v>17061.337185932211</c:v>
                </c:pt>
                <c:pt idx="5">
                  <c:v>3135.6889700640677</c:v>
                </c:pt>
                <c:pt idx="6">
                  <c:v>52968.011503995542</c:v>
                </c:pt>
                <c:pt idx="7">
                  <c:v>483.65956905289636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30289.622157541027</c:v>
                </c:pt>
                <c:pt idx="2">
                  <c:v>6316.82859078407</c:v>
                </c:pt>
                <c:pt idx="3">
                  <c:v>165.56168465085841</c:v>
                </c:pt>
                <c:pt idx="4">
                  <c:v>17061.337185932211</c:v>
                </c:pt>
                <c:pt idx="5">
                  <c:v>3135.6889700640677</c:v>
                </c:pt>
                <c:pt idx="6">
                  <c:v>52968.011503995542</c:v>
                </c:pt>
                <c:pt idx="7">
                  <c:v>483.65956905289636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46020</v>
      </c>
      <c r="B6" s="380"/>
      <c r="C6" s="381"/>
    </row>
    <row r="7" spans="1:7" s="378" customFormat="1" ht="15.75" customHeight="1">
      <c r="A7" s="382" t="str">
        <f>txtMunicipality</f>
        <v>SINT-GILLIS-WAAS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0.14835356162386037</v>
      </c>
      <c r="C17" s="488">
        <f ca="1">'EF ele_warmte'!B22</f>
        <v>0.23764705882352954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0.14835356162386037</v>
      </c>
      <c r="C29" s="489">
        <f ca="1">'EF ele_warmte'!B22</f>
        <v>0.23764705882352954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7649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3627.14</v>
      </c>
      <c r="C14" s="322"/>
      <c r="D14" s="322"/>
      <c r="E14" s="322"/>
      <c r="F14" s="322"/>
    </row>
    <row r="15" spans="1:6">
      <c r="A15" s="1248" t="s">
        <v>177</v>
      </c>
      <c r="B15" s="1249">
        <v>24</v>
      </c>
      <c r="C15" s="322"/>
      <c r="D15" s="322"/>
      <c r="E15" s="322"/>
      <c r="F15" s="322"/>
    </row>
    <row r="16" spans="1:6">
      <c r="A16" s="1248" t="s">
        <v>6</v>
      </c>
      <c r="B16" s="1249">
        <v>810</v>
      </c>
      <c r="C16" s="322"/>
      <c r="D16" s="322"/>
      <c r="E16" s="322"/>
      <c r="F16" s="322"/>
    </row>
    <row r="17" spans="1:6">
      <c r="A17" s="1248" t="s">
        <v>7</v>
      </c>
      <c r="B17" s="1249">
        <v>869</v>
      </c>
      <c r="C17" s="322"/>
      <c r="D17" s="322"/>
      <c r="E17" s="322"/>
      <c r="F17" s="322"/>
    </row>
    <row r="18" spans="1:6">
      <c r="A18" s="1248" t="s">
        <v>8</v>
      </c>
      <c r="B18" s="1249">
        <v>1354</v>
      </c>
      <c r="C18" s="322"/>
      <c r="D18" s="322"/>
      <c r="E18" s="322"/>
      <c r="F18" s="322"/>
    </row>
    <row r="19" spans="1:6">
      <c r="A19" s="1248" t="s">
        <v>9</v>
      </c>
      <c r="B19" s="1249">
        <v>1230</v>
      </c>
      <c r="C19" s="322"/>
      <c r="D19" s="322"/>
      <c r="E19" s="322"/>
      <c r="F19" s="322"/>
    </row>
    <row r="20" spans="1:6">
      <c r="A20" s="1248" t="s">
        <v>10</v>
      </c>
      <c r="B20" s="1249">
        <v>764</v>
      </c>
      <c r="C20" s="322"/>
      <c r="D20" s="322"/>
      <c r="E20" s="322"/>
      <c r="F20" s="322"/>
    </row>
    <row r="21" spans="1:6">
      <c r="A21" s="1248" t="s">
        <v>11</v>
      </c>
      <c r="B21" s="1249">
        <v>5213</v>
      </c>
      <c r="C21" s="322"/>
      <c r="D21" s="322"/>
      <c r="E21" s="322"/>
      <c r="F21" s="322"/>
    </row>
    <row r="22" spans="1:6">
      <c r="A22" s="1248" t="s">
        <v>12</v>
      </c>
      <c r="B22" s="1249">
        <v>26066</v>
      </c>
      <c r="C22" s="322"/>
      <c r="D22" s="322"/>
      <c r="E22" s="322"/>
      <c r="F22" s="322"/>
    </row>
    <row r="23" spans="1:6">
      <c r="A23" s="1248" t="s">
        <v>13</v>
      </c>
      <c r="B23" s="1249">
        <v>268</v>
      </c>
      <c r="C23" s="322"/>
      <c r="D23" s="322"/>
      <c r="E23" s="322"/>
      <c r="F23" s="322"/>
    </row>
    <row r="24" spans="1:6">
      <c r="A24" s="1248" t="s">
        <v>14</v>
      </c>
      <c r="B24" s="1249">
        <v>126</v>
      </c>
      <c r="C24" s="322"/>
      <c r="D24" s="322"/>
      <c r="E24" s="322"/>
      <c r="F24" s="322"/>
    </row>
    <row r="25" spans="1:6">
      <c r="A25" s="1248" t="s">
        <v>15</v>
      </c>
      <c r="B25" s="1249">
        <v>1204</v>
      </c>
      <c r="C25" s="322"/>
      <c r="D25" s="322"/>
      <c r="E25" s="322"/>
      <c r="F25" s="322"/>
    </row>
    <row r="26" spans="1:6">
      <c r="A26" s="1248" t="s">
        <v>16</v>
      </c>
      <c r="B26" s="1249">
        <v>223</v>
      </c>
      <c r="C26" s="322"/>
      <c r="D26" s="322"/>
      <c r="E26" s="322"/>
      <c r="F26" s="322"/>
    </row>
    <row r="27" spans="1:6">
      <c r="A27" s="1248" t="s">
        <v>17</v>
      </c>
      <c r="B27" s="1249">
        <v>4325</v>
      </c>
      <c r="C27" s="322"/>
      <c r="D27" s="322"/>
      <c r="E27" s="322"/>
      <c r="F27" s="322"/>
    </row>
    <row r="28" spans="1:6">
      <c r="A28" s="1248" t="s">
        <v>18</v>
      </c>
      <c r="B28" s="1250">
        <v>395839</v>
      </c>
      <c r="C28" s="322"/>
      <c r="D28" s="322"/>
      <c r="E28" s="322"/>
      <c r="F28" s="322"/>
    </row>
    <row r="29" spans="1:6">
      <c r="A29" s="1248" t="s">
        <v>691</v>
      </c>
      <c r="B29" s="1250">
        <v>268</v>
      </c>
      <c r="C29" s="322"/>
      <c r="D29" s="322"/>
      <c r="E29" s="322"/>
      <c r="F29" s="322"/>
    </row>
    <row r="30" spans="1:6">
      <c r="A30" s="1243" t="s">
        <v>692</v>
      </c>
      <c r="B30" s="1251">
        <v>97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320817.03896195203</v>
      </c>
      <c r="E38" s="1249">
        <v>6</v>
      </c>
      <c r="F38" s="1249">
        <v>212520.96129329101</v>
      </c>
    </row>
    <row r="39" spans="1:6">
      <c r="A39" s="1248" t="s">
        <v>29</v>
      </c>
      <c r="B39" s="1248" t="s">
        <v>30</v>
      </c>
      <c r="C39" s="1249">
        <v>5608</v>
      </c>
      <c r="D39" s="1249">
        <v>91520625.948401496</v>
      </c>
      <c r="E39" s="1249">
        <v>7491</v>
      </c>
      <c r="F39" s="1249">
        <v>28038624.646748748</v>
      </c>
    </row>
    <row r="40" spans="1:6">
      <c r="A40" s="1248" t="s">
        <v>29</v>
      </c>
      <c r="B40" s="1248" t="s">
        <v>28</v>
      </c>
      <c r="C40" s="1249">
        <v>1</v>
      </c>
      <c r="D40" s="1249">
        <v>36168.801271746401</v>
      </c>
      <c r="E40" s="1249">
        <v>0</v>
      </c>
      <c r="F40" s="1249">
        <v>0</v>
      </c>
    </row>
    <row r="41" spans="1:6">
      <c r="A41" s="1248" t="s">
        <v>31</v>
      </c>
      <c r="B41" s="1248" t="s">
        <v>32</v>
      </c>
      <c r="C41" s="1249">
        <v>85</v>
      </c>
      <c r="D41" s="1249">
        <v>1876333.8422850301</v>
      </c>
      <c r="E41" s="1249">
        <v>160</v>
      </c>
      <c r="F41" s="1249">
        <v>2263346.8082123101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102358.059711936</v>
      </c>
      <c r="E44" s="1249">
        <v>22</v>
      </c>
      <c r="F44" s="1249">
        <v>202084.765497443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27</v>
      </c>
      <c r="D48" s="1249">
        <v>4986053.3373248996</v>
      </c>
      <c r="E48" s="1249">
        <v>35</v>
      </c>
      <c r="F48" s="1249">
        <v>1838609.9182394401</v>
      </c>
    </row>
    <row r="49" spans="1:6">
      <c r="A49" s="1248" t="s">
        <v>31</v>
      </c>
      <c r="B49" s="1248" t="s">
        <v>39</v>
      </c>
      <c r="C49" s="1249">
        <v>0</v>
      </c>
      <c r="D49" s="1249">
        <v>0</v>
      </c>
      <c r="E49" s="1249">
        <v>0</v>
      </c>
      <c r="F49" s="1249">
        <v>0</v>
      </c>
    </row>
    <row r="50" spans="1:6">
      <c r="A50" s="1248" t="s">
        <v>31</v>
      </c>
      <c r="B50" s="1248" t="s">
        <v>40</v>
      </c>
      <c r="C50" s="1249">
        <v>10</v>
      </c>
      <c r="D50" s="1249">
        <v>1952498.4685897401</v>
      </c>
      <c r="E50" s="1249">
        <v>17</v>
      </c>
      <c r="F50" s="1249">
        <v>2137185.6379991798</v>
      </c>
    </row>
    <row r="51" spans="1:6">
      <c r="A51" s="1248" t="s">
        <v>41</v>
      </c>
      <c r="B51" s="1248" t="s">
        <v>42</v>
      </c>
      <c r="C51" s="1249">
        <v>30</v>
      </c>
      <c r="D51" s="1249">
        <v>21186846.236555099</v>
      </c>
      <c r="E51" s="1249">
        <v>155</v>
      </c>
      <c r="F51" s="1249">
        <v>5409357.63896746</v>
      </c>
    </row>
    <row r="52" spans="1:6">
      <c r="A52" s="1248" t="s">
        <v>41</v>
      </c>
      <c r="B52" s="1248" t="s">
        <v>28</v>
      </c>
      <c r="C52" s="1249">
        <v>9</v>
      </c>
      <c r="D52" s="1249">
        <v>237647.799742267</v>
      </c>
      <c r="E52" s="1249">
        <v>9</v>
      </c>
      <c r="F52" s="1249">
        <v>97855.163532772902</v>
      </c>
    </row>
    <row r="53" spans="1:6">
      <c r="A53" s="1248" t="s">
        <v>43</v>
      </c>
      <c r="B53" s="1248" t="s">
        <v>44</v>
      </c>
      <c r="C53" s="1249">
        <v>120</v>
      </c>
      <c r="D53" s="1249">
        <v>1972351.5711584201</v>
      </c>
      <c r="E53" s="1249">
        <v>297</v>
      </c>
      <c r="F53" s="1249">
        <v>1661660.25401278</v>
      </c>
    </row>
    <row r="54" spans="1:6">
      <c r="A54" s="1248" t="s">
        <v>45</v>
      </c>
      <c r="B54" s="1248" t="s">
        <v>46</v>
      </c>
      <c r="C54" s="1249">
        <v>0</v>
      </c>
      <c r="D54" s="1249">
        <v>0</v>
      </c>
      <c r="E54" s="1249">
        <v>1</v>
      </c>
      <c r="F54" s="1249">
        <v>1115994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63</v>
      </c>
      <c r="D57" s="1249">
        <v>5349543.7327161198</v>
      </c>
      <c r="E57" s="1249">
        <v>53</v>
      </c>
      <c r="F57" s="1249">
        <v>736244.68438230501</v>
      </c>
    </row>
    <row r="58" spans="1:6">
      <c r="A58" s="1248" t="s">
        <v>48</v>
      </c>
      <c r="B58" s="1248" t="s">
        <v>50</v>
      </c>
      <c r="C58" s="1249">
        <v>30</v>
      </c>
      <c r="D58" s="1249">
        <v>533989.97330269299</v>
      </c>
      <c r="E58" s="1249">
        <v>50</v>
      </c>
      <c r="F58" s="1249">
        <v>308113.036661455</v>
      </c>
    </row>
    <row r="59" spans="1:6">
      <c r="A59" s="1248" t="s">
        <v>48</v>
      </c>
      <c r="B59" s="1248" t="s">
        <v>51</v>
      </c>
      <c r="C59" s="1249">
        <v>99</v>
      </c>
      <c r="D59" s="1249">
        <v>3683059.9017258901</v>
      </c>
      <c r="E59" s="1249">
        <v>177</v>
      </c>
      <c r="F59" s="1249">
        <v>4455075.5171397198</v>
      </c>
    </row>
    <row r="60" spans="1:6">
      <c r="A60" s="1248" t="s">
        <v>48</v>
      </c>
      <c r="B60" s="1248" t="s">
        <v>52</v>
      </c>
      <c r="C60" s="1249">
        <v>49</v>
      </c>
      <c r="D60" s="1249">
        <v>1878058.5289895399</v>
      </c>
      <c r="E60" s="1249">
        <v>62</v>
      </c>
      <c r="F60" s="1249">
        <v>1130975.08872966</v>
      </c>
    </row>
    <row r="61" spans="1:6">
      <c r="A61" s="1248" t="s">
        <v>48</v>
      </c>
      <c r="B61" s="1248" t="s">
        <v>53</v>
      </c>
      <c r="C61" s="1249">
        <v>143</v>
      </c>
      <c r="D61" s="1249">
        <v>5865732.7487638602</v>
      </c>
      <c r="E61" s="1249">
        <v>254</v>
      </c>
      <c r="F61" s="1249">
        <v>3393425.74916289</v>
      </c>
    </row>
    <row r="62" spans="1:6">
      <c r="A62" s="1248" t="s">
        <v>48</v>
      </c>
      <c r="B62" s="1248" t="s">
        <v>54</v>
      </c>
      <c r="C62" s="1249">
        <v>9</v>
      </c>
      <c r="D62" s="1249">
        <v>496085.92632698599</v>
      </c>
      <c r="E62" s="1249">
        <v>16</v>
      </c>
      <c r="F62" s="1249">
        <v>231148.61627493901</v>
      </c>
    </row>
    <row r="63" spans="1:6">
      <c r="A63" s="1248" t="s">
        <v>48</v>
      </c>
      <c r="B63" s="1248" t="s">
        <v>28</v>
      </c>
      <c r="C63" s="1249">
        <v>87</v>
      </c>
      <c r="D63" s="1249">
        <v>4229664.6745768702</v>
      </c>
      <c r="E63" s="1249">
        <v>90</v>
      </c>
      <c r="F63" s="1249">
        <v>1686046.6222777299</v>
      </c>
    </row>
    <row r="64" spans="1:6">
      <c r="A64" s="1248" t="s">
        <v>55</v>
      </c>
      <c r="B64" s="1248" t="s">
        <v>56</v>
      </c>
      <c r="C64" s="1249">
        <v>0</v>
      </c>
      <c r="D64" s="1249">
        <v>0</v>
      </c>
      <c r="E64" s="1249">
        <v>0</v>
      </c>
      <c r="F64" s="1249">
        <v>0</v>
      </c>
    </row>
    <row r="65" spans="1:6">
      <c r="A65" s="1248" t="s">
        <v>55</v>
      </c>
      <c r="B65" s="1248" t="s">
        <v>28</v>
      </c>
      <c r="C65" s="1249">
        <v>1</v>
      </c>
      <c r="D65" s="1249">
        <v>15300.0044920612</v>
      </c>
      <c r="E65" s="1249">
        <v>3</v>
      </c>
      <c r="F65" s="1249">
        <v>11345.666994950199</v>
      </c>
    </row>
    <row r="66" spans="1:6">
      <c r="A66" s="1248" t="s">
        <v>55</v>
      </c>
      <c r="B66" s="1248" t="s">
        <v>57</v>
      </c>
      <c r="C66" s="1249">
        <v>0</v>
      </c>
      <c r="D66" s="1249">
        <v>0</v>
      </c>
      <c r="E66" s="1249">
        <v>4</v>
      </c>
      <c r="F66" s="1249">
        <v>90980.857483031607</v>
      </c>
    </row>
    <row r="67" spans="1:6">
      <c r="A67" s="1248" t="s">
        <v>55</v>
      </c>
      <c r="B67" s="1248" t="s">
        <v>58</v>
      </c>
      <c r="C67" s="1249">
        <v>0</v>
      </c>
      <c r="D67" s="1249">
        <v>0</v>
      </c>
      <c r="E67" s="1249">
        <v>0</v>
      </c>
      <c r="F67" s="1249">
        <v>0</v>
      </c>
    </row>
    <row r="68" spans="1:6">
      <c r="A68" s="1243" t="s">
        <v>55</v>
      </c>
      <c r="B68" s="1243" t="s">
        <v>59</v>
      </c>
      <c r="C68" s="1251">
        <v>9</v>
      </c>
      <c r="D68" s="1251">
        <v>245028.452651926</v>
      </c>
      <c r="E68" s="1251">
        <v>22</v>
      </c>
      <c r="F68" s="1251">
        <v>190039.44046995099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29881128</v>
      </c>
      <c r="E73" s="439"/>
      <c r="F73" s="322"/>
    </row>
    <row r="74" spans="1:6">
      <c r="A74" s="1248" t="s">
        <v>63</v>
      </c>
      <c r="B74" s="1248" t="s">
        <v>617</v>
      </c>
      <c r="C74" s="1261" t="s">
        <v>619</v>
      </c>
      <c r="D74" s="1249">
        <v>4113774.5</v>
      </c>
      <c r="E74" s="439"/>
      <c r="F74" s="322"/>
    </row>
    <row r="75" spans="1:6">
      <c r="A75" s="1248" t="s">
        <v>64</v>
      </c>
      <c r="B75" s="1248" t="s">
        <v>616</v>
      </c>
      <c r="C75" s="1261" t="s">
        <v>620</v>
      </c>
      <c r="D75" s="1249">
        <v>56411435</v>
      </c>
      <c r="E75" s="439"/>
      <c r="F75" s="322"/>
    </row>
    <row r="76" spans="1:6">
      <c r="A76" s="1248" t="s">
        <v>64</v>
      </c>
      <c r="B76" s="1248" t="s">
        <v>617</v>
      </c>
      <c r="C76" s="1261" t="s">
        <v>621</v>
      </c>
      <c r="D76" s="1249">
        <v>3318966.5</v>
      </c>
      <c r="E76" s="439"/>
      <c r="F76" s="322"/>
    </row>
    <row r="77" spans="1:6">
      <c r="A77" s="1248" t="s">
        <v>65</v>
      </c>
      <c r="B77" s="1248" t="s">
        <v>616</v>
      </c>
      <c r="C77" s="1261" t="s">
        <v>622</v>
      </c>
      <c r="D77" s="1249">
        <v>87961837</v>
      </c>
      <c r="E77" s="439"/>
      <c r="F77" s="322"/>
    </row>
    <row r="78" spans="1:6">
      <c r="A78" s="1243" t="s">
        <v>65</v>
      </c>
      <c r="B78" s="1243" t="s">
        <v>617</v>
      </c>
      <c r="C78" s="1243" t="s">
        <v>623</v>
      </c>
      <c r="D78" s="1251">
        <v>22142360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523215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14124.074627087984</v>
      </c>
      <c r="C90" s="322"/>
      <c r="D90" s="322"/>
      <c r="E90" s="322"/>
      <c r="F90" s="322"/>
    </row>
    <row r="91" spans="1:6">
      <c r="A91" s="1248" t="s">
        <v>67</v>
      </c>
      <c r="B91" s="1249">
        <v>5457.5817739655786</v>
      </c>
      <c r="C91" s="322"/>
      <c r="D91" s="322"/>
      <c r="E91" s="322"/>
      <c r="F91" s="322"/>
    </row>
    <row r="92" spans="1:6">
      <c r="A92" s="1243" t="s">
        <v>68</v>
      </c>
      <c r="B92" s="1244">
        <v>2558.6795603654991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3398</v>
      </c>
      <c r="C97" s="322"/>
      <c r="D97" s="322"/>
      <c r="E97" s="322"/>
      <c r="F97" s="322"/>
    </row>
    <row r="98" spans="1:6">
      <c r="A98" s="1248" t="s">
        <v>71</v>
      </c>
      <c r="B98" s="1249">
        <v>2</v>
      </c>
      <c r="C98" s="322"/>
      <c r="D98" s="322"/>
      <c r="E98" s="322"/>
      <c r="F98" s="322"/>
    </row>
    <row r="99" spans="1:6">
      <c r="A99" s="1248" t="s">
        <v>72</v>
      </c>
      <c r="B99" s="1249">
        <v>114</v>
      </c>
      <c r="C99" s="322"/>
      <c r="D99" s="322"/>
      <c r="E99" s="322"/>
      <c r="F99" s="322"/>
    </row>
    <row r="100" spans="1:6">
      <c r="A100" s="1248" t="s">
        <v>73</v>
      </c>
      <c r="B100" s="1249">
        <v>499</v>
      </c>
      <c r="C100" s="322"/>
      <c r="D100" s="322"/>
      <c r="E100" s="322"/>
      <c r="F100" s="322"/>
    </row>
    <row r="101" spans="1:6">
      <c r="A101" s="1248" t="s">
        <v>74</v>
      </c>
      <c r="B101" s="1249">
        <v>141</v>
      </c>
      <c r="C101" s="322"/>
      <c r="D101" s="322"/>
      <c r="E101" s="322"/>
      <c r="F101" s="322"/>
    </row>
    <row r="102" spans="1:6">
      <c r="A102" s="1248" t="s">
        <v>75</v>
      </c>
      <c r="B102" s="1249">
        <v>152</v>
      </c>
      <c r="C102" s="322"/>
      <c r="D102" s="322"/>
      <c r="E102" s="322"/>
      <c r="F102" s="322"/>
    </row>
    <row r="103" spans="1:6">
      <c r="A103" s="1248" t="s">
        <v>76</v>
      </c>
      <c r="B103" s="1249">
        <v>229</v>
      </c>
      <c r="C103" s="322"/>
      <c r="D103" s="322"/>
      <c r="E103" s="322"/>
      <c r="F103" s="322"/>
    </row>
    <row r="104" spans="1:6">
      <c r="A104" s="1248" t="s">
        <v>77</v>
      </c>
      <c r="B104" s="1249">
        <v>1855</v>
      </c>
      <c r="C104" s="322"/>
      <c r="D104" s="322"/>
      <c r="E104" s="322"/>
      <c r="F104" s="322"/>
    </row>
    <row r="105" spans="1:6">
      <c r="A105" s="1243" t="s">
        <v>78</v>
      </c>
      <c r="B105" s="1251">
        <v>18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51</v>
      </c>
      <c r="C123" s="1249">
        <v>33</v>
      </c>
      <c r="D123" s="322"/>
      <c r="E123" s="322"/>
      <c r="F123" s="322"/>
    </row>
    <row r="124" spans="1:6">
      <c r="A124" s="1248" t="s">
        <v>88</v>
      </c>
      <c r="B124" s="1249">
        <v>3</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138</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60398.99475451684</v>
      </c>
      <c r="C3" s="43" t="s">
        <v>163</v>
      </c>
      <c r="D3" s="43"/>
      <c r="E3" s="153"/>
      <c r="F3" s="43"/>
      <c r="G3" s="43"/>
      <c r="H3" s="43"/>
      <c r="I3" s="43"/>
      <c r="J3" s="43"/>
      <c r="K3" s="96"/>
    </row>
    <row r="4" spans="1:11">
      <c r="A4" s="348" t="s">
        <v>164</v>
      </c>
      <c r="B4" s="49">
        <f>IF(ISERROR('SEAP template'!B78+'SEAP template'!C78),0,'SEAP template'!B78+'SEAP template'!C78)</f>
        <v>52490.585961419063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7212.6476470588241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0.14835356162386037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10303.782352941182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43357.5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0.23764705882352954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1115.9939999999999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1115.9939999999999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0.14835356162386037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165.56168465085841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28038.624646748747</v>
      </c>
      <c r="C5" s="17">
        <f>IF(ISERROR('Eigen informatie GS &amp; warmtenet'!B57),0,'Eigen informatie GS &amp; warmtenet'!B57)</f>
        <v>0</v>
      </c>
      <c r="D5" s="30">
        <f>(SUM(HH_hh_gas_kWh,HH_rest_gas_kWh)/1000)*0.902</f>
        <v>82584.228864205274</v>
      </c>
      <c r="E5" s="17">
        <f>B32*B41</f>
        <v>1337.6119971543262</v>
      </c>
      <c r="F5" s="17">
        <f>B36*B45</f>
        <v>31004.805410233199</v>
      </c>
      <c r="G5" s="18"/>
      <c r="H5" s="17"/>
      <c r="I5" s="17"/>
      <c r="J5" s="17">
        <f>B35*B44+C35*C44</f>
        <v>159.33738893862414</v>
      </c>
      <c r="K5" s="17"/>
      <c r="L5" s="17"/>
      <c r="M5" s="17"/>
      <c r="N5" s="17">
        <f>B34*B43+C34*C43</f>
        <v>10245.908753879774</v>
      </c>
      <c r="O5" s="17">
        <f>B52*B53*B54</f>
        <v>267.33000000000004</v>
      </c>
      <c r="P5" s="17">
        <f>B60*B61*B62/1000-B60*B61*B62/1000/B63</f>
        <v>1449.0666666666666</v>
      </c>
    </row>
    <row r="6" spans="1:16">
      <c r="A6" s="16" t="s">
        <v>582</v>
      </c>
      <c r="B6" s="716">
        <f>kWh_PV_kleiner_dan_10kW</f>
        <v>5457.5817739655786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33496.206420714327</v>
      </c>
      <c r="C8" s="21">
        <f>C5</f>
        <v>0</v>
      </c>
      <c r="D8" s="21">
        <f>D5</f>
        <v>82584.228864205274</v>
      </c>
      <c r="E8" s="21">
        <f>E5</f>
        <v>1337.6119971543262</v>
      </c>
      <c r="F8" s="21">
        <f>F5</f>
        <v>31004.805410233199</v>
      </c>
      <c r="G8" s="21"/>
      <c r="H8" s="21"/>
      <c r="I8" s="21"/>
      <c r="J8" s="21">
        <f>J5</f>
        <v>159.33738893862414</v>
      </c>
      <c r="K8" s="21"/>
      <c r="L8" s="21">
        <f>L5</f>
        <v>0</v>
      </c>
      <c r="M8" s="21">
        <f>M5</f>
        <v>0</v>
      </c>
      <c r="N8" s="21">
        <f>N5</f>
        <v>10245.908753879774</v>
      </c>
      <c r="O8" s="21">
        <f>O5</f>
        <v>267.33000000000004</v>
      </c>
      <c r="P8" s="21">
        <f>P5</f>
        <v>1449.0666666666666</v>
      </c>
    </row>
    <row r="9" spans="1:16">
      <c r="B9" s="19"/>
      <c r="C9" s="19"/>
      <c r="D9" s="253"/>
      <c r="E9" s="19"/>
      <c r="F9" s="19"/>
      <c r="G9" s="19"/>
      <c r="H9" s="19"/>
      <c r="I9" s="19"/>
      <c r="J9" s="19"/>
      <c r="K9" s="19"/>
      <c r="L9" s="19"/>
      <c r="M9" s="19"/>
      <c r="N9" s="19"/>
      <c r="O9" s="19"/>
      <c r="P9" s="19"/>
    </row>
    <row r="10" spans="1:16">
      <c r="A10" s="24" t="s">
        <v>207</v>
      </c>
      <c r="B10" s="25">
        <f ca="1">'EF ele_warmte'!B12</f>
        <v>0.14835356162386037</v>
      </c>
      <c r="C10" s="25">
        <f ca="1">'EF ele_warmte'!B22</f>
        <v>0.23764705882352954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4969.2815234009904</v>
      </c>
      <c r="C12" s="23">
        <f ca="1">C10*C8</f>
        <v>0</v>
      </c>
      <c r="D12" s="23">
        <f>D8*D10</f>
        <v>16682.014230569468</v>
      </c>
      <c r="E12" s="23">
        <f>E10*E8</f>
        <v>303.63792335403207</v>
      </c>
      <c r="F12" s="23">
        <f>F10*F8</f>
        <v>8278.2830445322652</v>
      </c>
      <c r="G12" s="23"/>
      <c r="H12" s="23"/>
      <c r="I12" s="23"/>
      <c r="J12" s="23">
        <f>J10*J8</f>
        <v>56.405435684272945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7649</v>
      </c>
      <c r="C26" s="36"/>
      <c r="D26" s="224"/>
    </row>
    <row r="27" spans="1:5" s="15" customFormat="1">
      <c r="A27" s="226" t="s">
        <v>736</v>
      </c>
      <c r="B27" s="37">
        <f>SUM(HH_hh_gas_aantal,HH_rest_gas_aantal)</f>
        <v>5609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5328.55</v>
      </c>
      <c r="C31" s="34" t="s">
        <v>104</v>
      </c>
      <c r="D31" s="170"/>
    </row>
    <row r="32" spans="1:5">
      <c r="A32" s="167" t="s">
        <v>72</v>
      </c>
      <c r="B32" s="33">
        <f>IF((B21*($B$26-($B$27-0.05*$B$27)-$B$60))&lt;0,0,B21*($B$26-($B$27-0.05*$B$27)-$B$60))</f>
        <v>24.717753124600616</v>
      </c>
      <c r="C32" s="34" t="s">
        <v>104</v>
      </c>
      <c r="D32" s="170"/>
    </row>
    <row r="33" spans="1:6">
      <c r="A33" s="167" t="s">
        <v>73</v>
      </c>
      <c r="B33" s="33">
        <f>IF((B22*($B$26-($B$27-0.05*$B$27)-$B$60))&lt;0,0,B22*($B$26-($B$27-0.05*$B$27)-$B$60))</f>
        <v>513.90284467027561</v>
      </c>
      <c r="C33" s="34" t="s">
        <v>104</v>
      </c>
      <c r="D33" s="170"/>
    </row>
    <row r="34" spans="1:6">
      <c r="A34" s="167" t="s">
        <v>74</v>
      </c>
      <c r="B34" s="33">
        <f>IF((B24*($B$26-($B$27-0.05*$B$27)-$B$60))&lt;0,0,B24*($B$26-($B$27-0.05*$B$27)-$B$60))</f>
        <v>200.57451849065737</v>
      </c>
      <c r="C34" s="33">
        <f>B26*C24</f>
        <v>1354.8263618534777</v>
      </c>
      <c r="D34" s="229"/>
    </row>
    <row r="35" spans="1:6">
      <c r="A35" s="167" t="s">
        <v>76</v>
      </c>
      <c r="B35" s="33">
        <f>IF((B19*($B$26-($B$27-0.05*$B$27)-$B$60))&lt;0,0,B19*($B$26-($B$27-0.05*$B$27)-$B$60))</f>
        <v>18.708673783257318</v>
      </c>
      <c r="C35" s="33">
        <f>B35/2</f>
        <v>9.3543368916286589</v>
      </c>
      <c r="D35" s="229"/>
    </row>
    <row r="36" spans="1:6">
      <c r="A36" s="167" t="s">
        <v>77</v>
      </c>
      <c r="B36" s="33">
        <f>IF((B18*($B$26-($B$27-0.05*$B$27)-$B$60))&lt;0,0,B18*($B$26-($B$27-0.05*$B$27)-$B$60))</f>
        <v>1486.5462099312088</v>
      </c>
      <c r="C36" s="34" t="s">
        <v>104</v>
      </c>
      <c r="D36" s="170"/>
    </row>
    <row r="37" spans="1:6">
      <c r="A37" s="167" t="s">
        <v>78</v>
      </c>
      <c r="B37" s="33">
        <f>B60</f>
        <v>76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11941.029314628699</v>
      </c>
      <c r="C5" s="17">
        <f>IF(ISERROR('Eigen informatie GS &amp; warmtenet'!B58),0,'Eigen informatie GS &amp; warmtenet'!B58)</f>
        <v>0</v>
      </c>
      <c r="D5" s="30">
        <f>SUM(D6:D12)</f>
        <v>19876.594208734568</v>
      </c>
      <c r="E5" s="17">
        <f>SUM(E6:E12)</f>
        <v>177.53477511130257</v>
      </c>
      <c r="F5" s="17">
        <f>SUM(F6:F12)</f>
        <v>1871.9193631303262</v>
      </c>
      <c r="G5" s="18"/>
      <c r="H5" s="17"/>
      <c r="I5" s="17"/>
      <c r="J5" s="17">
        <f>SUM(J6:J12)</f>
        <v>1.1515536146412795E-2</v>
      </c>
      <c r="K5" s="17"/>
      <c r="L5" s="17"/>
      <c r="M5" s="17"/>
      <c r="N5" s="17">
        <f>SUM(N6:N12)</f>
        <v>476.72868453013314</v>
      </c>
      <c r="O5" s="17">
        <f>B38*B39*B40</f>
        <v>1.5633333333333335</v>
      </c>
      <c r="P5" s="17">
        <f>B46*B47*B48/1000-B46*B47*B48/1000/B49</f>
        <v>0</v>
      </c>
      <c r="R5" s="32"/>
    </row>
    <row r="6" spans="1:18">
      <c r="A6" s="32" t="s">
        <v>53</v>
      </c>
      <c r="B6" s="37">
        <f>B26</f>
        <v>3393.42574916289</v>
      </c>
      <c r="C6" s="33"/>
      <c r="D6" s="37">
        <f>IF(ISERROR(TER_kantoor_gas_kWh/1000),0,TER_kantoor_gas_kWh/1000)*0.902</f>
        <v>5290.8909393850026</v>
      </c>
      <c r="E6" s="33">
        <f>$C$26*'E Balans VL '!I12/100/3.6*1000000</f>
        <v>-2.7864442490334887E-4</v>
      </c>
      <c r="F6" s="33">
        <f>$C$26*('E Balans VL '!L12+'E Balans VL '!N12)/100/3.6*1000000</f>
        <v>430.0535298598906</v>
      </c>
      <c r="G6" s="34"/>
      <c r="H6" s="33"/>
      <c r="I6" s="33"/>
      <c r="J6" s="33">
        <f>$C$26*('E Balans VL '!D12+'E Balans VL '!E12)/100/3.6*1000000</f>
        <v>0</v>
      </c>
      <c r="K6" s="33"/>
      <c r="L6" s="33"/>
      <c r="M6" s="33"/>
      <c r="N6" s="33">
        <f>$C$26*'E Balans VL '!Y12/100/3.6*1000000</f>
        <v>4.1622373999070748</v>
      </c>
      <c r="O6" s="33"/>
      <c r="P6" s="33"/>
      <c r="R6" s="32"/>
    </row>
    <row r="7" spans="1:18">
      <c r="A7" s="32" t="s">
        <v>52</v>
      </c>
      <c r="B7" s="37">
        <f t="shared" ref="B7:B12" si="0">B27</f>
        <v>1130.97508872966</v>
      </c>
      <c r="C7" s="33"/>
      <c r="D7" s="37">
        <f>IF(ISERROR(TER_horeca_gas_kWh/1000),0,TER_horeca_gas_kWh/1000)*0.902</f>
        <v>1694.0087931485652</v>
      </c>
      <c r="E7" s="33">
        <f>$C$27*'E Balans VL '!I9/100/3.6*1000000</f>
        <v>13.018077152875669</v>
      </c>
      <c r="F7" s="33">
        <f>$C$27*('E Balans VL '!L9+'E Balans VL '!N9)/100/3.6*1000000</f>
        <v>145.82095752409006</v>
      </c>
      <c r="G7" s="34"/>
      <c r="H7" s="33"/>
      <c r="I7" s="33"/>
      <c r="J7" s="33">
        <f>$C$27*('E Balans VL '!D9+'E Balans VL '!E9)/100/3.6*1000000</f>
        <v>0</v>
      </c>
      <c r="K7" s="33"/>
      <c r="L7" s="33"/>
      <c r="M7" s="33"/>
      <c r="N7" s="33">
        <f>$C$27*'E Balans VL '!Y9/100/3.6*1000000</f>
        <v>11.937182886706211</v>
      </c>
      <c r="O7" s="33"/>
      <c r="P7" s="33"/>
      <c r="R7" s="32"/>
    </row>
    <row r="8" spans="1:18">
      <c r="A8" s="6" t="s">
        <v>51</v>
      </c>
      <c r="B8" s="37">
        <f t="shared" si="0"/>
        <v>4455.0755171397195</v>
      </c>
      <c r="C8" s="33"/>
      <c r="D8" s="37">
        <f>IF(ISERROR(TER_handel_gas_kWh/1000),0,TER_handel_gas_kWh/1000)*0.902</f>
        <v>3322.1200313567529</v>
      </c>
      <c r="E8" s="33">
        <f>$C$28*'E Balans VL '!I13/100/3.6*1000000</f>
        <v>125.69730488672212</v>
      </c>
      <c r="F8" s="33">
        <f>$C$28*('E Balans VL '!L13+'E Balans VL '!N13)/100/3.6*1000000</f>
        <v>448.08508554327267</v>
      </c>
      <c r="G8" s="34"/>
      <c r="H8" s="33"/>
      <c r="I8" s="33"/>
      <c r="J8" s="33">
        <f>$C$28*('E Balans VL '!D13+'E Balans VL '!E13)/100/3.6*1000000</f>
        <v>0</v>
      </c>
      <c r="K8" s="33"/>
      <c r="L8" s="33"/>
      <c r="M8" s="33"/>
      <c r="N8" s="33">
        <f>$C$28*'E Balans VL '!Y13/100/3.6*1000000</f>
        <v>6.1497327326245772</v>
      </c>
      <c r="O8" s="33"/>
      <c r="P8" s="33"/>
      <c r="R8" s="32"/>
    </row>
    <row r="9" spans="1:18">
      <c r="A9" s="32" t="s">
        <v>50</v>
      </c>
      <c r="B9" s="37">
        <f t="shared" si="0"/>
        <v>308.113036661455</v>
      </c>
      <c r="C9" s="33"/>
      <c r="D9" s="37">
        <f>IF(ISERROR(TER_gezond_gas_kWh/1000),0,TER_gezond_gas_kWh/1000)*0.902</f>
        <v>481.6589559190291</v>
      </c>
      <c r="E9" s="33">
        <f>$C$29*'E Balans VL '!I10/100/3.6*1000000</f>
        <v>0.61551498968991414</v>
      </c>
      <c r="F9" s="33">
        <f>$C$29*('E Balans VL '!L10+'E Balans VL '!N10)/100/3.6*1000000</f>
        <v>26.996882458591916</v>
      </c>
      <c r="G9" s="34"/>
      <c r="H9" s="33"/>
      <c r="I9" s="33"/>
      <c r="J9" s="33">
        <f>$C$29*('E Balans VL '!D10+'E Balans VL '!E10)/100/3.6*1000000</f>
        <v>0</v>
      </c>
      <c r="K9" s="33"/>
      <c r="L9" s="33"/>
      <c r="M9" s="33"/>
      <c r="N9" s="33">
        <f>$C$29*'E Balans VL '!Y10/100/3.6*1000000</f>
        <v>4.6606525681237434</v>
      </c>
      <c r="O9" s="33"/>
      <c r="P9" s="33"/>
      <c r="R9" s="32"/>
    </row>
    <row r="10" spans="1:18">
      <c r="A10" s="32" t="s">
        <v>49</v>
      </c>
      <c r="B10" s="37">
        <f t="shared" si="0"/>
        <v>736.24468438230497</v>
      </c>
      <c r="C10" s="33"/>
      <c r="D10" s="37">
        <f>IF(ISERROR(TER_ander_gas_kWh/1000),0,TER_ander_gas_kWh/1000)*0.902</f>
        <v>4825.2884469099399</v>
      </c>
      <c r="E10" s="33">
        <f>$C$30*'E Balans VL '!I14/100/3.6*1000000</f>
        <v>10.371910967229306</v>
      </c>
      <c r="F10" s="33">
        <f>$C$30*('E Balans VL '!L14+'E Balans VL '!N14)/100/3.6*1000000</f>
        <v>446.61546483606713</v>
      </c>
      <c r="G10" s="34"/>
      <c r="H10" s="33"/>
      <c r="I10" s="33"/>
      <c r="J10" s="33">
        <f>$C$30*('E Balans VL '!D14+'E Balans VL '!E14)/100/3.6*1000000</f>
        <v>8.0825512960628343E-3</v>
      </c>
      <c r="K10" s="33"/>
      <c r="L10" s="33"/>
      <c r="M10" s="33"/>
      <c r="N10" s="33">
        <f>$C$30*'E Balans VL '!Y14/100/3.6*1000000</f>
        <v>311.38088183742536</v>
      </c>
      <c r="O10" s="33"/>
      <c r="P10" s="33"/>
      <c r="R10" s="32"/>
    </row>
    <row r="11" spans="1:18">
      <c r="A11" s="32" t="s">
        <v>54</v>
      </c>
      <c r="B11" s="37">
        <f t="shared" si="0"/>
        <v>231.148616274939</v>
      </c>
      <c r="C11" s="33"/>
      <c r="D11" s="37">
        <f>IF(ISERROR(TER_onderwijs_gas_kWh/1000),0,TER_onderwijs_gas_kWh/1000)*0.902</f>
        <v>447.46950554694138</v>
      </c>
      <c r="E11" s="33">
        <f>$C$31*'E Balans VL '!I11/100/3.6*1000000</f>
        <v>6.0330925019973458</v>
      </c>
      <c r="F11" s="33">
        <f>$C$31*('E Balans VL '!L11+'E Balans VL '!N11)/100/3.6*1000000</f>
        <v>28.444779589978356</v>
      </c>
      <c r="G11" s="34"/>
      <c r="H11" s="33"/>
      <c r="I11" s="33"/>
      <c r="J11" s="33">
        <f>$C$31*('E Balans VL '!D11+'E Balans VL '!E11)/100/3.6*1000000</f>
        <v>0</v>
      </c>
      <c r="K11" s="33"/>
      <c r="L11" s="33"/>
      <c r="M11" s="33"/>
      <c r="N11" s="33">
        <f>$C$31*'E Balans VL '!Y11/100/3.6*1000000</f>
        <v>0.73197947278175268</v>
      </c>
      <c r="O11" s="33"/>
      <c r="P11" s="33"/>
      <c r="R11" s="32"/>
    </row>
    <row r="12" spans="1:18">
      <c r="A12" s="32" t="s">
        <v>248</v>
      </c>
      <c r="B12" s="37">
        <f t="shared" si="0"/>
        <v>1686.04662227773</v>
      </c>
      <c r="C12" s="33"/>
      <c r="D12" s="37">
        <f>IF(ISERROR(TER_rest_gas_kWh/1000),0,TER_rest_gas_kWh/1000)*0.902</f>
        <v>3815.1575364683372</v>
      </c>
      <c r="E12" s="33">
        <f>$C$32*'E Balans VL '!I8/100/3.6*1000000</f>
        <v>21.799153257213106</v>
      </c>
      <c r="F12" s="33">
        <f>$C$32*('E Balans VL '!L8+'E Balans VL '!N8)/100/3.6*1000000</f>
        <v>345.90266331843549</v>
      </c>
      <c r="G12" s="34"/>
      <c r="H12" s="33"/>
      <c r="I12" s="33"/>
      <c r="J12" s="33">
        <f>$C$32*('E Balans VL '!D8+'E Balans VL '!E8)/100/3.6*1000000</f>
        <v>3.4329848503499598E-3</v>
      </c>
      <c r="K12" s="33"/>
      <c r="L12" s="33"/>
      <c r="M12" s="33"/>
      <c r="N12" s="33">
        <f>$C$32*'E Balans VL '!Y8/100/3.6*1000000</f>
        <v>137.70601763256437</v>
      </c>
      <c r="O12" s="33"/>
      <c r="P12" s="33"/>
      <c r="R12" s="32"/>
    </row>
    <row r="13" spans="1:18">
      <c r="A13" s="16" t="s">
        <v>473</v>
      </c>
      <c r="B13" s="242">
        <f ca="1">'lokale energieproductie'!N42+'lokale energieproductie'!N35</f>
        <v>110.25</v>
      </c>
      <c r="C13" s="242">
        <f ca="1">'lokale energieproductie'!O42+'lokale energieproductie'!O35</f>
        <v>157.5</v>
      </c>
      <c r="D13" s="300">
        <f ca="1">('lokale energieproductie'!P35+'lokale energieproductie'!P42)*(-1)</f>
        <v>-315</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12051.279314628699</v>
      </c>
      <c r="C16" s="21">
        <f t="shared" ca="1" si="1"/>
        <v>157.5</v>
      </c>
      <c r="D16" s="21">
        <f t="shared" ca="1" si="1"/>
        <v>19561.594208734568</v>
      </c>
      <c r="E16" s="21">
        <f t="shared" si="1"/>
        <v>177.53477511130257</v>
      </c>
      <c r="F16" s="21">
        <f t="shared" ca="1" si="1"/>
        <v>1871.9193631303262</v>
      </c>
      <c r="G16" s="21">
        <f t="shared" si="1"/>
        <v>0</v>
      </c>
      <c r="H16" s="21">
        <f t="shared" si="1"/>
        <v>0</v>
      </c>
      <c r="I16" s="21">
        <f t="shared" si="1"/>
        <v>0</v>
      </c>
      <c r="J16" s="21">
        <f t="shared" si="1"/>
        <v>1.1515536146412795E-2</v>
      </c>
      <c r="K16" s="21">
        <f t="shared" si="1"/>
        <v>0</v>
      </c>
      <c r="L16" s="21">
        <f t="shared" ca="1" si="1"/>
        <v>0</v>
      </c>
      <c r="M16" s="21">
        <f t="shared" si="1"/>
        <v>0</v>
      </c>
      <c r="N16" s="21">
        <f t="shared" ca="1" si="1"/>
        <v>476.72868453013314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0.14835356162386037</v>
      </c>
      <c r="C18" s="25">
        <f ca="1">'EF ele_warmte'!B22</f>
        <v>0.23764705882352954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1787.8502084491224</v>
      </c>
      <c r="C20" s="23">
        <f t="shared" ref="C20:P20" ca="1" si="2">C16*C18</f>
        <v>37.429411764705904</v>
      </c>
      <c r="D20" s="23">
        <f t="shared" ca="1" si="2"/>
        <v>3951.4420301643831</v>
      </c>
      <c r="E20" s="23">
        <f t="shared" si="2"/>
        <v>40.300393950265686</v>
      </c>
      <c r="F20" s="23">
        <f t="shared" ca="1" si="2"/>
        <v>499.80246995579716</v>
      </c>
      <c r="G20" s="23">
        <f t="shared" si="2"/>
        <v>0</v>
      </c>
      <c r="H20" s="23">
        <f t="shared" si="2"/>
        <v>0</v>
      </c>
      <c r="I20" s="23">
        <f t="shared" si="2"/>
        <v>0</v>
      </c>
      <c r="J20" s="23">
        <f t="shared" si="2"/>
        <v>4.0764997958301291E-3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3393.42574916289</v>
      </c>
      <c r="C26" s="39">
        <f>IF(ISERROR(B26*3.6/1000000/'E Balans VL '!Z12*100),0,B26*3.6/1000000/'E Balans VL '!Z12*100)</f>
        <v>9.1998688363717593E-2</v>
      </c>
      <c r="D26" s="232" t="s">
        <v>700</v>
      </c>
      <c r="F26" s="6"/>
    </row>
    <row r="27" spans="1:18">
      <c r="A27" s="227" t="s">
        <v>52</v>
      </c>
      <c r="B27" s="33">
        <f>IF(ISERROR(TER_horeca_ele_kWh/1000),0,TER_horeca_ele_kWh/1000)</f>
        <v>1130.97508872966</v>
      </c>
      <c r="C27" s="39">
        <f>IF(ISERROR(B27*3.6/1000000/'E Balans VL '!Z9*100),0,B27*3.6/1000000/'E Balans VL '!Z9*100)</f>
        <v>8.7482109483982148E-2</v>
      </c>
      <c r="D27" s="232" t="s">
        <v>700</v>
      </c>
      <c r="F27" s="6"/>
    </row>
    <row r="28" spans="1:18">
      <c r="A28" s="167" t="s">
        <v>51</v>
      </c>
      <c r="B28" s="33">
        <f>IF(ISERROR(TER_handel_ele_kWh/1000),0,TER_handel_ele_kWh/1000)</f>
        <v>4455.0755171397195</v>
      </c>
      <c r="C28" s="39">
        <f>IF(ISERROR(B28*3.6/1000000/'E Balans VL '!Z13*100),0,B28*3.6/1000000/'E Balans VL '!Z13*100)</f>
        <v>0.1288523061458057</v>
      </c>
      <c r="D28" s="232" t="s">
        <v>700</v>
      </c>
      <c r="F28" s="6"/>
    </row>
    <row r="29" spans="1:18">
      <c r="A29" s="227" t="s">
        <v>50</v>
      </c>
      <c r="B29" s="33">
        <f>IF(ISERROR(TER_gezond_ele_kWh/1000),0,TER_gezond_ele_kWh/1000)</f>
        <v>308.113036661455</v>
      </c>
      <c r="C29" s="39">
        <f>IF(ISERROR(B29*3.6/1000000/'E Balans VL '!Z10*100),0,B29*3.6/1000000/'E Balans VL '!Z10*100)</f>
        <v>3.1732621116013084E-2</v>
      </c>
      <c r="D29" s="232" t="s">
        <v>700</v>
      </c>
      <c r="F29" s="6"/>
    </row>
    <row r="30" spans="1:18">
      <c r="A30" s="227" t="s">
        <v>49</v>
      </c>
      <c r="B30" s="33">
        <f>IF(ISERROR(TER_ander_ele_kWh/1000),0,TER_ander_ele_kWh/1000)</f>
        <v>736.24468438230497</v>
      </c>
      <c r="C30" s="39">
        <f>IF(ISERROR(B30*3.6/1000000/'E Balans VL '!Z14*100),0,B30*3.6/1000000/'E Balans VL '!Z14*100)</f>
        <v>3.3102599164762457E-2</v>
      </c>
      <c r="D30" s="232" t="s">
        <v>700</v>
      </c>
      <c r="F30" s="6"/>
    </row>
    <row r="31" spans="1:18">
      <c r="A31" s="227" t="s">
        <v>54</v>
      </c>
      <c r="B31" s="33">
        <f>IF(ISERROR(TER_onderwijs_ele_kWh/1000),0,TER_onderwijs_ele_kWh/1000)</f>
        <v>231.148616274939</v>
      </c>
      <c r="C31" s="39">
        <f>IF(ISERROR(B31*3.6/1000000/'E Balans VL '!Z11*100),0,B31*3.6/1000000/'E Balans VL '!Z11*100)</f>
        <v>6.4598393771353457E-2</v>
      </c>
      <c r="D31" s="232" t="s">
        <v>700</v>
      </c>
    </row>
    <row r="32" spans="1:18">
      <c r="A32" s="227" t="s">
        <v>248</v>
      </c>
      <c r="B32" s="33">
        <f>IF(ISERROR(TER_rest_ele_kWh/1000),0,TER_rest_ele_kWh/1000)</f>
        <v>1686.04662227773</v>
      </c>
      <c r="C32" s="39">
        <f>IF(ISERROR(B32*3.6/1000000/'E Balans VL '!Z8*100),0,B32*3.6/1000000/'E Balans VL '!Z8*100)</f>
        <v>1.4060006213037376E-2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6441.2271299483727</v>
      </c>
      <c r="C5" s="17">
        <f>IF(ISERROR('Eigen informatie GS &amp; warmtenet'!B59),0,'Eigen informatie GS &amp; warmtenet'!B59)</f>
        <v>0</v>
      </c>
      <c r="D5" s="30">
        <f>SUM(D6:D15)</f>
        <v>8043.3538245362688</v>
      </c>
      <c r="E5" s="17">
        <f>SUM(E6:E15)</f>
        <v>118.96861380496377</v>
      </c>
      <c r="F5" s="17">
        <f>SUM(F6:F15)</f>
        <v>1970.2417557156477</v>
      </c>
      <c r="G5" s="18"/>
      <c r="H5" s="17"/>
      <c r="I5" s="17"/>
      <c r="J5" s="17">
        <f>SUM(J6:J15)</f>
        <v>6.4748232820894778</v>
      </c>
      <c r="K5" s="17"/>
      <c r="L5" s="17"/>
      <c r="M5" s="17"/>
      <c r="N5" s="17">
        <f>SUM(N6:N15)</f>
        <v>216.88769879690713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202.08476549744302</v>
      </c>
      <c r="C8" s="33"/>
      <c r="D8" s="37">
        <f>IF( ISERROR(IND_metaal_Gas_kWH/1000),0,IND_metaal_Gas_kWH/1000)*0.902</f>
        <v>92.326969860166287</v>
      </c>
      <c r="E8" s="33">
        <f>C30*'E Balans VL '!I18/100/3.6*1000000</f>
        <v>1.8339811623055975</v>
      </c>
      <c r="F8" s="33">
        <f>C30*'E Balans VL '!L18/100/3.6*1000000+C30*'E Balans VL '!N18/100/3.6*1000000</f>
        <v>18.600302902526643</v>
      </c>
      <c r="G8" s="34"/>
      <c r="H8" s="33"/>
      <c r="I8" s="33"/>
      <c r="J8" s="40">
        <f>C30*'E Balans VL '!D18/100/3.6*1000000+C30*'E Balans VL '!E18/100/3.6*1000000</f>
        <v>0</v>
      </c>
      <c r="K8" s="33"/>
      <c r="L8" s="33"/>
      <c r="M8" s="33"/>
      <c r="N8" s="33">
        <f>C30*'E Balans VL '!Y18/100/3.6*1000000</f>
        <v>2.950278437117468</v>
      </c>
      <c r="O8" s="33"/>
      <c r="P8" s="33"/>
      <c r="R8" s="32"/>
    </row>
    <row r="9" spans="1:18">
      <c r="A9" s="6" t="s">
        <v>32</v>
      </c>
      <c r="B9" s="37">
        <f t="shared" si="0"/>
        <v>2263.34680821231</v>
      </c>
      <c r="C9" s="33"/>
      <c r="D9" s="37">
        <f>IF( ISERROR(IND_andere_gas_kWh/1000),0,IND_andere_gas_kWh/1000)*0.902</f>
        <v>1692.453125741097</v>
      </c>
      <c r="E9" s="33">
        <f>C31*'E Balans VL '!I19/100/3.6*1000000</f>
        <v>13.136976382828996</v>
      </c>
      <c r="F9" s="33">
        <f>C31*'E Balans VL '!L19/100/3.6*1000000+C31*'E Balans VL '!N19/100/3.6*1000000</f>
        <v>1492.6518054721546</v>
      </c>
      <c r="G9" s="34"/>
      <c r="H9" s="33"/>
      <c r="I9" s="33"/>
      <c r="J9" s="40">
        <f>C31*'E Balans VL '!D19/100/3.6*1000000+C31*'E Balans VL '!E19/100/3.6*1000000</f>
        <v>0</v>
      </c>
      <c r="K9" s="33"/>
      <c r="L9" s="33"/>
      <c r="M9" s="33"/>
      <c r="N9" s="33">
        <f>C31*'E Balans VL '!Y19/100/3.6*1000000</f>
        <v>104.81755812219974</v>
      </c>
      <c r="O9" s="33"/>
      <c r="P9" s="33"/>
      <c r="R9" s="32"/>
    </row>
    <row r="10" spans="1:18">
      <c r="A10" s="6" t="s">
        <v>40</v>
      </c>
      <c r="B10" s="37">
        <f t="shared" si="0"/>
        <v>2137.1856379991796</v>
      </c>
      <c r="C10" s="33"/>
      <c r="D10" s="37">
        <f>IF( ISERROR(IND_voed_gas_kWh/1000),0,IND_voed_gas_kWh/1000)*0.902</f>
        <v>1761.1536186679455</v>
      </c>
      <c r="E10" s="33">
        <f>C32*'E Balans VL '!I20/100/3.6*1000000</f>
        <v>4.5291948807445666</v>
      </c>
      <c r="F10" s="33">
        <f>C32*'E Balans VL '!L20/100/3.6*1000000+C32*'E Balans VL '!N20/100/3.6*1000000</f>
        <v>135.82697565961482</v>
      </c>
      <c r="G10" s="34"/>
      <c r="H10" s="33"/>
      <c r="I10" s="33"/>
      <c r="J10" s="40">
        <f>C32*'E Balans VL '!D20/100/3.6*1000000+C32*'E Balans VL '!E20/100/3.6*1000000</f>
        <v>0</v>
      </c>
      <c r="K10" s="33"/>
      <c r="L10" s="33"/>
      <c r="M10" s="33"/>
      <c r="N10" s="33">
        <f>C32*'E Balans VL '!Y20/100/3.6*1000000</f>
        <v>61.954644525811815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1838.60991823944</v>
      </c>
      <c r="C15" s="33"/>
      <c r="D15" s="37">
        <f>IF( ISERROR(IND_rest_gas_kWh/1000),0,IND_rest_gas_kWh/1000)*0.902</f>
        <v>4497.4201102670595</v>
      </c>
      <c r="E15" s="33">
        <f>C37*'E Balans VL '!I15/100/3.6*1000000</f>
        <v>99.468461379084602</v>
      </c>
      <c r="F15" s="33">
        <f>C37*'E Balans VL '!L15/100/3.6*1000000+C37*'E Balans VL '!N15/100/3.6*1000000</f>
        <v>323.1626716813517</v>
      </c>
      <c r="G15" s="34"/>
      <c r="H15" s="33"/>
      <c r="I15" s="33"/>
      <c r="J15" s="40">
        <f>C37*'E Balans VL '!D15/100/3.6*1000000+C37*'E Balans VL '!E15/100/3.6*1000000</f>
        <v>6.4748232820894778</v>
      </c>
      <c r="K15" s="33"/>
      <c r="L15" s="33"/>
      <c r="M15" s="33"/>
      <c r="N15" s="33">
        <f>C37*'E Balans VL '!Y15/100/3.6*1000000</f>
        <v>47.165217711778133</v>
      </c>
      <c r="O15" s="33"/>
      <c r="P15" s="33"/>
      <c r="R15" s="32"/>
    </row>
    <row r="16" spans="1:18">
      <c r="A16" s="16" t="s">
        <v>473</v>
      </c>
      <c r="B16" s="242">
        <f>'lokale energieproductie'!N41+'lokale energieproductie'!N34</f>
        <v>0</v>
      </c>
      <c r="C16" s="242">
        <f>'lokale energieproductie'!O41+'lokale energieproductie'!O34</f>
        <v>0</v>
      </c>
      <c r="D16" s="300">
        <f>('lokale energieproductie'!P34+'lokale energieproductie'!P41)*(-1)</f>
        <v>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6441.2271299483727</v>
      </c>
      <c r="C18" s="21">
        <f>C5+C16</f>
        <v>0</v>
      </c>
      <c r="D18" s="21">
        <f>MAX((D5+D16),0)</f>
        <v>8043.3538245362688</v>
      </c>
      <c r="E18" s="21">
        <f>MAX((E5+E16),0)</f>
        <v>118.96861380496377</v>
      </c>
      <c r="F18" s="21">
        <f>MAX((F5+F16),0)</f>
        <v>1970.2417557156477</v>
      </c>
      <c r="G18" s="21"/>
      <c r="H18" s="21"/>
      <c r="I18" s="21"/>
      <c r="J18" s="21">
        <f>MAX((J5+J16),0)</f>
        <v>6.4748232820894778</v>
      </c>
      <c r="K18" s="21"/>
      <c r="L18" s="21">
        <f>MAX((L5+L16),0)</f>
        <v>0</v>
      </c>
      <c r="M18" s="21"/>
      <c r="N18" s="21">
        <f>MAX((N5+N16),0)</f>
        <v>216.88769879690713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0.14835356162386037</v>
      </c>
      <c r="C20" s="25">
        <f ca="1">'EF ele_warmte'!B22</f>
        <v>0.23764705882352954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955.57898595607719</v>
      </c>
      <c r="C22" s="23">
        <f ca="1">C18*C20</f>
        <v>0</v>
      </c>
      <c r="D22" s="23">
        <f>D18*D20</f>
        <v>1624.7574725563263</v>
      </c>
      <c r="E22" s="23">
        <f>E18*E20</f>
        <v>27.005875333726777</v>
      </c>
      <c r="F22" s="23">
        <f>F18*F20</f>
        <v>526.05454877607792</v>
      </c>
      <c r="G22" s="23"/>
      <c r="H22" s="23"/>
      <c r="I22" s="23"/>
      <c r="J22" s="23">
        <f>J18*J20</f>
        <v>2.2920874418596751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202.08476549744302</v>
      </c>
      <c r="C30" s="39">
        <f>IF(ISERROR(B30*3.6/1000000/'E Balans VL '!Z18*100),0,B30*3.6/1000000/'E Balans VL '!Z18*100)</f>
        <v>1.1719626816771642E-2</v>
      </c>
      <c r="D30" s="232" t="s">
        <v>700</v>
      </c>
    </row>
    <row r="31" spans="1:18">
      <c r="A31" s="6" t="s">
        <v>32</v>
      </c>
      <c r="B31" s="37">
        <f>IF( ISERROR(IND_ander_ele_kWh/1000),0,IND_ander_ele_kWh/1000)</f>
        <v>2263.34680821231</v>
      </c>
      <c r="C31" s="39">
        <f>IF(ISERROR(B31*3.6/1000000/'E Balans VL '!Z19*100),0,B31*3.6/1000000/'E Balans VL '!Z19*100)</f>
        <v>9.4525879872134497E-2</v>
      </c>
      <c r="D31" s="232" t="s">
        <v>700</v>
      </c>
    </row>
    <row r="32" spans="1:18">
      <c r="A32" s="167" t="s">
        <v>40</v>
      </c>
      <c r="B32" s="37">
        <f>IF( ISERROR(IND_voed_ele_kWh/1000),0,IND_voed_ele_kWh/1000)</f>
        <v>2137.1856379991796</v>
      </c>
      <c r="C32" s="39">
        <f>IF(ISERROR(B32*3.6/1000000/'E Balans VL '!Z20*100),0,B32*3.6/1000000/'E Balans VL '!Z20*100)</f>
        <v>6.6287077742151368E-2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1838.60991823944</v>
      </c>
      <c r="C37" s="39">
        <f>IF(ISERROR(B37*3.6/1000000/'E Balans VL '!Z15*100),0,B37*3.6/1000000/'E Balans VL '!Z15*100)</f>
        <v>1.4335530432658722E-2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5507.212802500233</v>
      </c>
      <c r="C5" s="17">
        <f>'Eigen informatie GS &amp; warmtenet'!B60</f>
        <v>0</v>
      </c>
      <c r="D5" s="30">
        <f>IF(ISERROR(SUM(LB_lb_gas_kWh,LB_rest_gas_kWh)/1000),0,SUM(LB_lb_gas_kWh,LB_rest_gas_kWh)/1000)*0.902</f>
        <v>19324.893620740222</v>
      </c>
      <c r="E5" s="17">
        <f>B17*'E Balans VL '!I25/3.6*1000000/100</f>
        <v>178.72715910589852</v>
      </c>
      <c r="F5" s="17">
        <f>B17*('E Balans VL '!L25/3.6*1000000+'E Balans VL '!N25/3.6*1000000)/100</f>
        <v>20317.176686239658</v>
      </c>
      <c r="G5" s="18"/>
      <c r="H5" s="17"/>
      <c r="I5" s="17"/>
      <c r="J5" s="17">
        <f>('E Balans VL '!D25+'E Balans VL '!E25)/3.6*1000000*landbouw!B17/100</f>
        <v>1448.3400297776118</v>
      </c>
      <c r="K5" s="17"/>
      <c r="L5" s="17">
        <f>L6*(-1)</f>
        <v>0</v>
      </c>
      <c r="M5" s="17"/>
      <c r="N5" s="17">
        <f>N6*(-1)</f>
        <v>0</v>
      </c>
      <c r="O5" s="17"/>
      <c r="P5" s="17"/>
      <c r="R5" s="32"/>
    </row>
    <row r="6" spans="1:18">
      <c r="A6" s="16" t="s">
        <v>473</v>
      </c>
      <c r="B6" s="17" t="s">
        <v>204</v>
      </c>
      <c r="C6" s="17">
        <f>'lokale energieproductie'!O43+'lokale energieproductie'!O36</f>
        <v>43200</v>
      </c>
      <c r="D6" s="300">
        <f>('lokale energieproductie'!P36+'lokale energieproductie'!P43)*(-1)</f>
        <v>-86400</v>
      </c>
      <c r="E6" s="243"/>
      <c r="F6" s="300">
        <f>('lokale energieproductie'!S36+'lokale energieproductie'!S43)*(-1)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5507.212802500233</v>
      </c>
      <c r="C8" s="21">
        <f>C5+C6</f>
        <v>43200</v>
      </c>
      <c r="D8" s="21">
        <f>MAX((D5+D6),0)</f>
        <v>0</v>
      </c>
      <c r="E8" s="21">
        <f>MAX((E5+E6),0)</f>
        <v>178.72715910589852</v>
      </c>
      <c r="F8" s="21">
        <f>MAX((F5+F6),0)</f>
        <v>20317.176686239658</v>
      </c>
      <c r="G8" s="21"/>
      <c r="H8" s="21"/>
      <c r="I8" s="21"/>
      <c r="J8" s="21">
        <f>MAX((J5+J6),0)</f>
        <v>1448.3400297776118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0.14835356162386037</v>
      </c>
      <c r="C10" s="31">
        <f ca="1">'EF ele_warmte'!B22</f>
        <v>0.23764705882352954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817.0146338714311</v>
      </c>
      <c r="C12" s="23">
        <f ca="1">C8*C10</f>
        <v>10266.352941176476</v>
      </c>
      <c r="D12" s="23">
        <f>D8*D10</f>
        <v>0</v>
      </c>
      <c r="E12" s="23">
        <f>E8*E10</f>
        <v>40.571065117038962</v>
      </c>
      <c r="F12" s="23">
        <f>F8*F10</f>
        <v>5424.6861752259892</v>
      </c>
      <c r="G12" s="23"/>
      <c r="H12" s="23"/>
      <c r="I12" s="23"/>
      <c r="J12" s="23">
        <f>J8*J10</f>
        <v>512.71237054127459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0.78149077502801478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376.6135008342489</v>
      </c>
      <c r="C26" s="242">
        <f>B26*'GWP N2O_CH4'!B5</f>
        <v>7908.8835175192271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199.71921092927869</v>
      </c>
      <c r="C27" s="242">
        <f>B27*'GWP N2O_CH4'!B5</f>
        <v>4194.1034295148529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6.3557183611080186</v>
      </c>
      <c r="C28" s="242">
        <f>B28*'GWP N2O_CH4'!B4</f>
        <v>1970.2726919434858</v>
      </c>
      <c r="D28" s="50"/>
    </row>
    <row r="29" spans="1:4">
      <c r="A29" s="41" t="s">
        <v>265</v>
      </c>
      <c r="B29" s="242">
        <f>B34*'ha_N2O bodem landbouw'!B4</f>
        <v>23.599044750118722</v>
      </c>
      <c r="C29" s="242">
        <f>B29*'GWP N2O_CH4'!B4</f>
        <v>7315.7038725368038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5.3852206860509309E-3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3.8248229860898608E-4</v>
      </c>
      <c r="C5" s="427" t="s">
        <v>204</v>
      </c>
      <c r="D5" s="412">
        <f>SUM(D6:D11)</f>
        <v>6.3250771288852841E-4</v>
      </c>
      <c r="E5" s="412">
        <f>SUM(E6:E11)</f>
        <v>1.182252736389934E-3</v>
      </c>
      <c r="F5" s="425" t="s">
        <v>204</v>
      </c>
      <c r="G5" s="412">
        <f>SUM(G6:G11)</f>
        <v>0.60922854665279091</v>
      </c>
      <c r="H5" s="412">
        <f>SUM(H6:H11)</f>
        <v>0.11071461412718088</v>
      </c>
      <c r="I5" s="427" t="s">
        <v>204</v>
      </c>
      <c r="J5" s="427" t="s">
        <v>204</v>
      </c>
      <c r="K5" s="427" t="s">
        <v>204</v>
      </c>
      <c r="L5" s="427" t="s">
        <v>204</v>
      </c>
      <c r="M5" s="412">
        <f>SUM(M6:M11)</f>
        <v>3.8853880892427833E-2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5.2412853882130963E-5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8.8559982502635392E-5</v>
      </c>
      <c r="E6" s="818">
        <f>vkm_GW_PW*SUMIFS(TableVerdeelsleutelVkm[LPG],TableVerdeelsleutelVkm[Voertuigtype],"Lichte voertuigen")*SUMIFS(TableECFTransport[EnergieConsumptieFactor (PJ per km)],TableECFTransport[Index],CONCATENATE($A6,"_LPG_LPG"))</f>
        <v>1.5394386547710407E-4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4.6625514110978761E-2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1.53546371643255E-2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3.176170501539182E-3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1.203219091151706E-6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3.8647686901484665E-2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7.7105677057879011E-7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2.2580162630462114E-3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1.3085141210587053E-4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2.8306891024048973E-4</v>
      </c>
      <c r="E8" s="415">
        <f>vkm_NGW_PW*SUMIFS(TableVerdeelsleutelVkm[LPG],TableVerdeelsleutelVkm[Voertuigtype],"Lichte voertuigen")*SUMIFS(TableECFTransport[EnergieConsumptieFactor (PJ per km)],TableECFTransport[Index],CONCATENATE($A8,"_LPG_LPG"))</f>
        <v>4.6974961988810395E-4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0.13287305321894516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4.7946146167321124E-2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9.1747490414858072E-3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9.707493339007666E-7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4.0006905439771603E-2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7.5087075263146907E-7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2.3374280981458876E-3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1.9056774657688082E-4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2.6087882014540334E-4</v>
      </c>
      <c r="E10" s="415">
        <f>vkm_SW_PW*SUMIFS(TableVerdeelsleutelVkm[LPG],TableVerdeelsleutelVkm[Voertuigtype],"Lichte voertuigen")*SUMIFS(TableECFTransport[EnergieConsumptieFactor (PJ per km)],TableECFTransport[Index],CONCATENATE($A10,"_LPG_LPG"))</f>
        <v>5.5855925102472599E-4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0.15293892915915108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4.7408037173172254E-2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1.0331256089757344E-2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6.4763176190512851E-6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0.19813645782245959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4.2716948387992122E-6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1.1576260898453398E-2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106.24508294694057</v>
      </c>
      <c r="C14" s="21"/>
      <c r="D14" s="21">
        <f t="shared" ref="D14:M14" si="0">((D5)*10^9/3600)+D12</f>
        <v>175.6965869134801</v>
      </c>
      <c r="E14" s="21">
        <f t="shared" si="0"/>
        <v>328.40353788609281</v>
      </c>
      <c r="F14" s="21"/>
      <c r="G14" s="21">
        <f t="shared" si="0"/>
        <v>169230.15184799748</v>
      </c>
      <c r="H14" s="21">
        <f t="shared" si="0"/>
        <v>30754.059479772466</v>
      </c>
      <c r="I14" s="21"/>
      <c r="J14" s="21"/>
      <c r="K14" s="21"/>
      <c r="L14" s="21"/>
      <c r="M14" s="21">
        <f t="shared" si="0"/>
        <v>10792.744692341064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0.14835356162386037</v>
      </c>
      <c r="C16" s="56">
        <f ca="1">'EF ele_warmte'!B22</f>
        <v>0.23764705882352954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15.761836460201105</v>
      </c>
      <c r="C18" s="23"/>
      <c r="D18" s="23">
        <f t="shared" ref="D18:M18" si="1">D14*D16</f>
        <v>35.490710556522984</v>
      </c>
      <c r="E18" s="23">
        <f t="shared" si="1"/>
        <v>74.547603100143064</v>
      </c>
      <c r="F18" s="23"/>
      <c r="G18" s="23">
        <f t="shared" si="1"/>
        <v>45184.450543415325</v>
      </c>
      <c r="H18" s="23">
        <f t="shared" si="1"/>
        <v>7657.7608104633437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6.9011099155735835E-5</v>
      </c>
      <c r="C50" s="311">
        <f t="shared" ref="C50:P50" si="2">SUM(C51:C52)</f>
        <v>0</v>
      </c>
      <c r="D50" s="311">
        <f t="shared" si="2"/>
        <v>0</v>
      </c>
      <c r="E50" s="311">
        <f t="shared" si="2"/>
        <v>0</v>
      </c>
      <c r="F50" s="311">
        <f t="shared" si="2"/>
        <v>0</v>
      </c>
      <c r="G50" s="311">
        <f t="shared" si="2"/>
        <v>6.4829078885359397E-3</v>
      </c>
      <c r="H50" s="311">
        <f t="shared" si="2"/>
        <v>0</v>
      </c>
      <c r="I50" s="311">
        <f t="shared" si="2"/>
        <v>0</v>
      </c>
      <c r="J50" s="311">
        <f t="shared" si="2"/>
        <v>0</v>
      </c>
      <c r="K50" s="311">
        <f t="shared" si="2"/>
        <v>0</v>
      </c>
      <c r="L50" s="311">
        <f t="shared" si="2"/>
        <v>0</v>
      </c>
      <c r="M50" s="311">
        <f t="shared" si="2"/>
        <v>3.7333120047005594E-4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6.9011099155735835E-5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6.4829078885359397E-3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3.7333120047005594E-4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19.169749765482177</v>
      </c>
      <c r="C54" s="21">
        <f t="shared" ref="C54:P54" si="3">(C50)*10^9/3600</f>
        <v>0</v>
      </c>
      <c r="D54" s="21">
        <f t="shared" si="3"/>
        <v>0</v>
      </c>
      <c r="E54" s="21">
        <f t="shared" si="3"/>
        <v>0</v>
      </c>
      <c r="F54" s="21">
        <f t="shared" si="3"/>
        <v>0</v>
      </c>
      <c r="G54" s="21">
        <f t="shared" si="3"/>
        <v>1800.8077468155388</v>
      </c>
      <c r="H54" s="21">
        <f t="shared" si="3"/>
        <v>0</v>
      </c>
      <c r="I54" s="21">
        <f t="shared" si="3"/>
        <v>0</v>
      </c>
      <c r="J54" s="21">
        <f t="shared" si="3"/>
        <v>0</v>
      </c>
      <c r="K54" s="21">
        <f t="shared" si="3"/>
        <v>0</v>
      </c>
      <c r="L54" s="21">
        <f t="shared" si="3"/>
        <v>0</v>
      </c>
      <c r="M54" s="21">
        <f t="shared" si="3"/>
        <v>103.70311124168219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0.14835356162386037</v>
      </c>
      <c r="C56" s="56">
        <f ca="1">'EF ele_warmte'!B22</f>
        <v>0.23764705882352954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2.8439006531474429</v>
      </c>
      <c r="C58" s="23">
        <f t="shared" ref="C58:P58" ca="1" si="4">C54*C56</f>
        <v>0</v>
      </c>
      <c r="D58" s="23">
        <f t="shared" si="4"/>
        <v>0</v>
      </c>
      <c r="E58" s="23">
        <f t="shared" si="4"/>
        <v>0</v>
      </c>
      <c r="F58" s="23">
        <f t="shared" si="4"/>
        <v>0</v>
      </c>
      <c r="G58" s="23">
        <f t="shared" si="4"/>
        <v>480.81566839974892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70" zoomScaleNormal="70" workbookViewId="0">
      <selection activeCell="A28" sqref="A28:XFD33"/>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14124.074627087984</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8016.2613343310777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N33</f>
        <v>30350.25</v>
      </c>
      <c r="C8" s="534">
        <f>B52</f>
        <v>35706.176470588238</v>
      </c>
      <c r="D8" s="962"/>
      <c r="E8" s="962">
        <f>E52</f>
        <v>0</v>
      </c>
      <c r="F8" s="963"/>
      <c r="G8" s="535"/>
      <c r="H8" s="962">
        <f>I52</f>
        <v>0</v>
      </c>
      <c r="I8" s="962">
        <f>G52+F52</f>
        <v>0</v>
      </c>
      <c r="J8" s="962">
        <f>H52+D52+C52</f>
        <v>0</v>
      </c>
      <c r="K8" s="962"/>
      <c r="L8" s="962"/>
      <c r="M8" s="962"/>
      <c r="N8" s="536"/>
      <c r="O8" s="537">
        <f>C8*$C$12+D8*$D$12+E8*$E$12+F8*$F$12+G8*$G$12+H8*$H$12+I8*$I$12+J8*$J$12</f>
        <v>7212.6476470588241</v>
      </c>
      <c r="P8" s="1180"/>
      <c r="Q8" s="1181"/>
      <c r="S8" s="925"/>
      <c r="T8" s="1217"/>
      <c r="U8" s="1217"/>
    </row>
    <row r="9" spans="1:21" s="523" customFormat="1" ht="17.45" customHeight="1" thickBot="1">
      <c r="A9" s="538" t="s">
        <v>236</v>
      </c>
      <c r="B9" s="539">
        <f>N40+'Eigen informatie GS &amp; warmtenet'!B12</f>
        <v>0</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52490.585961419063</v>
      </c>
      <c r="C10" s="547">
        <f t="shared" ref="C10:L10" si="0">SUM(C8:C9)</f>
        <v>35706.176470588238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7212.6476470588241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O33</f>
        <v>43357.500000000007</v>
      </c>
      <c r="C17" s="559">
        <f>B53</f>
        <v>51008.823529411784</v>
      </c>
      <c r="D17" s="560"/>
      <c r="E17" s="560">
        <f>E53</f>
        <v>0</v>
      </c>
      <c r="F17" s="968"/>
      <c r="G17" s="561"/>
      <c r="H17" s="559">
        <f>I53</f>
        <v>0</v>
      </c>
      <c r="I17" s="560">
        <f>G53+F53</f>
        <v>0</v>
      </c>
      <c r="J17" s="560">
        <f>H53+D53+C53</f>
        <v>0</v>
      </c>
      <c r="K17" s="560"/>
      <c r="L17" s="560"/>
      <c r="M17" s="560"/>
      <c r="N17" s="969"/>
      <c r="O17" s="562">
        <f>C17*$C$22+E17*$E$22+H17*$H$22+I17*$I$22+J17*$J$22+D17*$D$22+F17*$F$22+G17*$G$22+K17*$K$22+L17*$L$22</f>
        <v>10303.782352941182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43357.500000000007</v>
      </c>
      <c r="C20" s="546">
        <f>SUM(C17:C19)</f>
        <v>51008.823529411784</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10303.782352941182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46020</v>
      </c>
      <c r="C28" s="724">
        <v>9170</v>
      </c>
      <c r="D28" s="617"/>
      <c r="E28" s="616"/>
      <c r="F28" s="616"/>
      <c r="G28" s="616" t="s">
        <v>878</v>
      </c>
      <c r="H28" s="616" t="s">
        <v>879</v>
      </c>
      <c r="I28" s="616"/>
      <c r="J28" s="723"/>
      <c r="K28" s="723"/>
      <c r="L28" s="616" t="s">
        <v>880</v>
      </c>
      <c r="M28" s="616">
        <v>1600</v>
      </c>
      <c r="N28" s="616">
        <v>7200</v>
      </c>
      <c r="O28" s="616">
        <v>10285.714285714286</v>
      </c>
      <c r="P28" s="616">
        <v>20571.428571428572</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46020</v>
      </c>
      <c r="C29" s="724">
        <v>9170</v>
      </c>
      <c r="D29" s="617"/>
      <c r="E29" s="616"/>
      <c r="F29" s="616"/>
      <c r="G29" s="616" t="s">
        <v>878</v>
      </c>
      <c r="H29" s="616" t="s">
        <v>879</v>
      </c>
      <c r="I29" s="616"/>
      <c r="J29" s="723"/>
      <c r="K29" s="723"/>
      <c r="L29" s="616" t="s">
        <v>880</v>
      </c>
      <c r="M29" s="616">
        <v>5120</v>
      </c>
      <c r="N29" s="616">
        <v>23040</v>
      </c>
      <c r="O29" s="616">
        <v>32914.285714285717</v>
      </c>
      <c r="P29" s="616">
        <v>65828.571428571435</v>
      </c>
      <c r="Q29" s="616">
        <v>0</v>
      </c>
      <c r="R29" s="616">
        <v>0</v>
      </c>
      <c r="S29" s="616">
        <v>0</v>
      </c>
      <c r="T29" s="616">
        <v>0</v>
      </c>
      <c r="U29" s="616">
        <v>0</v>
      </c>
      <c r="V29" s="616">
        <v>0</v>
      </c>
      <c r="W29" s="616">
        <v>0</v>
      </c>
      <c r="X29" s="616"/>
      <c r="Y29" s="616">
        <v>10</v>
      </c>
      <c r="Z29" s="616" t="s">
        <v>105</v>
      </c>
      <c r="AA29" s="618" t="s">
        <v>105</v>
      </c>
    </row>
    <row r="30" spans="1:27" s="570" customFormat="1" ht="51" hidden="1">
      <c r="A30" s="569"/>
      <c r="B30" s="724">
        <v>46020</v>
      </c>
      <c r="C30" s="724">
        <v>9170</v>
      </c>
      <c r="D30" s="617"/>
      <c r="E30" s="616"/>
      <c r="F30" s="616"/>
      <c r="G30" s="616" t="s">
        <v>878</v>
      </c>
      <c r="H30" s="616" t="s">
        <v>879</v>
      </c>
      <c r="I30" s="616"/>
      <c r="J30" s="723"/>
      <c r="K30" s="723"/>
      <c r="L30" s="616" t="s">
        <v>880</v>
      </c>
      <c r="M30" s="616">
        <v>5.5</v>
      </c>
      <c r="N30" s="616">
        <v>24.75</v>
      </c>
      <c r="O30" s="616">
        <v>35.357142857142861</v>
      </c>
      <c r="P30" s="616">
        <v>70.714285714285722</v>
      </c>
      <c r="Q30" s="616">
        <v>0</v>
      </c>
      <c r="R30" s="616">
        <v>0</v>
      </c>
      <c r="S30" s="616">
        <v>0</v>
      </c>
      <c r="T30" s="616">
        <v>0</v>
      </c>
      <c r="U30" s="616">
        <v>0</v>
      </c>
      <c r="V30" s="616">
        <v>0</v>
      </c>
      <c r="W30" s="616">
        <v>0</v>
      </c>
      <c r="X30" s="616"/>
      <c r="Y30" s="616">
        <v>1500</v>
      </c>
      <c r="Z30" s="616" t="s">
        <v>50</v>
      </c>
      <c r="AA30" s="618" t="s">
        <v>149</v>
      </c>
    </row>
    <row r="31" spans="1:27" s="570" customFormat="1" ht="51" hidden="1">
      <c r="A31" s="569"/>
      <c r="B31" s="724">
        <v>46020</v>
      </c>
      <c r="C31" s="724">
        <v>9170</v>
      </c>
      <c r="D31" s="617"/>
      <c r="E31" s="616"/>
      <c r="F31" s="616"/>
      <c r="G31" s="616" t="s">
        <v>878</v>
      </c>
      <c r="H31" s="616" t="s">
        <v>879</v>
      </c>
      <c r="I31" s="616"/>
      <c r="J31" s="723"/>
      <c r="K31" s="723"/>
      <c r="L31" s="616" t="s">
        <v>880</v>
      </c>
      <c r="M31" s="616">
        <v>10</v>
      </c>
      <c r="N31" s="616">
        <v>45</v>
      </c>
      <c r="O31" s="616">
        <v>64.285714285714292</v>
      </c>
      <c r="P31" s="616">
        <v>128.57142857142858</v>
      </c>
      <c r="Q31" s="616">
        <v>0</v>
      </c>
      <c r="R31" s="616">
        <v>0</v>
      </c>
      <c r="S31" s="616">
        <v>0</v>
      </c>
      <c r="T31" s="616">
        <v>0</v>
      </c>
      <c r="U31" s="616">
        <v>0</v>
      </c>
      <c r="V31" s="616">
        <v>0</v>
      </c>
      <c r="W31" s="616">
        <v>0</v>
      </c>
      <c r="X31" s="616"/>
      <c r="Y31" s="616">
        <v>1500</v>
      </c>
      <c r="Z31" s="616" t="s">
        <v>50</v>
      </c>
      <c r="AA31" s="618" t="s">
        <v>149</v>
      </c>
    </row>
    <row r="32" spans="1:27" s="570" customFormat="1" ht="63.75" hidden="1">
      <c r="A32" s="569"/>
      <c r="B32" s="724">
        <v>46020</v>
      </c>
      <c r="C32" s="724">
        <v>9170</v>
      </c>
      <c r="D32" s="617"/>
      <c r="E32" s="616"/>
      <c r="F32" s="616"/>
      <c r="G32" s="616" t="s">
        <v>878</v>
      </c>
      <c r="H32" s="616" t="s">
        <v>879</v>
      </c>
      <c r="I32" s="616"/>
      <c r="J32" s="723"/>
      <c r="K32" s="723"/>
      <c r="L32" s="616" t="s">
        <v>880</v>
      </c>
      <c r="M32" s="616">
        <v>9</v>
      </c>
      <c r="N32" s="616">
        <v>40.5</v>
      </c>
      <c r="O32" s="616">
        <v>57.857142857142861</v>
      </c>
      <c r="P32" s="616">
        <v>115.71428571428572</v>
      </c>
      <c r="Q32" s="616">
        <v>0</v>
      </c>
      <c r="R32" s="616">
        <v>0</v>
      </c>
      <c r="S32" s="616">
        <v>0</v>
      </c>
      <c r="T32" s="616">
        <v>0</v>
      </c>
      <c r="U32" s="616">
        <v>0</v>
      </c>
      <c r="V32" s="616">
        <v>0</v>
      </c>
      <c r="W32" s="616">
        <v>0</v>
      </c>
      <c r="X32" s="616"/>
      <c r="Y32" s="616">
        <v>1600</v>
      </c>
      <c r="Z32" s="616" t="s">
        <v>49</v>
      </c>
      <c r="AA32" s="618" t="s">
        <v>149</v>
      </c>
    </row>
    <row r="33" spans="1:28" s="554" customFormat="1" hidden="1">
      <c r="A33" s="572" t="s">
        <v>268</v>
      </c>
      <c r="B33" s="573"/>
      <c r="C33" s="573"/>
      <c r="D33" s="573"/>
      <c r="E33" s="573"/>
      <c r="F33" s="573"/>
      <c r="G33" s="573"/>
      <c r="H33" s="573"/>
      <c r="I33" s="573"/>
      <c r="J33" s="573"/>
      <c r="K33" s="573"/>
      <c r="L33" s="574"/>
      <c r="M33" s="574">
        <f>SUM(M28:M32)</f>
        <v>6744.5</v>
      </c>
      <c r="N33" s="574">
        <f>SUM(N28:N32)</f>
        <v>30350.25</v>
      </c>
      <c r="O33" s="574">
        <f>SUM(O28:O32)</f>
        <v>43357.500000000007</v>
      </c>
      <c r="P33" s="574">
        <f>SUM(P28:P32)</f>
        <v>86715.000000000015</v>
      </c>
      <c r="Q33" s="574">
        <f>SUM(Q28:Q32)</f>
        <v>0</v>
      </c>
      <c r="R33" s="574">
        <f>SUM(R28:R32)</f>
        <v>0</v>
      </c>
      <c r="S33" s="574">
        <f>SUM(S28:S32)</f>
        <v>0</v>
      </c>
      <c r="T33" s="574">
        <f>SUM(T28:T32)</f>
        <v>0</v>
      </c>
      <c r="U33" s="574">
        <f>SUM(U28:U32)</f>
        <v>0</v>
      </c>
      <c r="V33" s="574">
        <f>SUM(V28:V32)</f>
        <v>0</v>
      </c>
      <c r="W33" s="574">
        <f>SUM(W28:W32)</f>
        <v>0</v>
      </c>
      <c r="X33" s="574"/>
      <c r="Y33" s="575"/>
      <c r="Z33" s="575"/>
      <c r="AA33" s="576"/>
    </row>
    <row r="34" spans="1:28" s="554" customFormat="1">
      <c r="A34" s="572" t="s">
        <v>275</v>
      </c>
      <c r="B34" s="573"/>
      <c r="C34" s="573"/>
      <c r="D34" s="573"/>
      <c r="E34" s="573"/>
      <c r="F34" s="573"/>
      <c r="G34" s="573"/>
      <c r="H34" s="573"/>
      <c r="I34" s="573"/>
      <c r="J34" s="573"/>
      <c r="K34" s="573"/>
      <c r="L34" s="574"/>
      <c r="M34" s="574">
        <f>SUMIF($AA$28:$AA$32,"industrie",M28:M32)</f>
        <v>0</v>
      </c>
      <c r="N34" s="574">
        <f>SUMIF($AA$28:$AA$32,"industrie",N28:N32)</f>
        <v>0</v>
      </c>
      <c r="O34" s="574">
        <f>SUMIF($AA$28:$AA$32,"industrie",O28:O32)</f>
        <v>0</v>
      </c>
      <c r="P34" s="574">
        <f>SUMIF($AA$28:$AA$32,"industrie",P28:P32)</f>
        <v>0</v>
      </c>
      <c r="Q34" s="574">
        <f>SUMIF($AA$28:$AA$32,"industrie",Q28:Q32)</f>
        <v>0</v>
      </c>
      <c r="R34" s="574">
        <f>SUMIF($AA$28:$AA$32,"industrie",R28:R32)</f>
        <v>0</v>
      </c>
      <c r="S34" s="574">
        <f>SUMIF($AA$28:$AA$32,"industrie",S28:S32)</f>
        <v>0</v>
      </c>
      <c r="T34" s="574">
        <f>SUMIF($AA$28:$AA$32,"industrie",T28:T32)</f>
        <v>0</v>
      </c>
      <c r="U34" s="574">
        <f>SUMIF($AA$28:$AA$32,"industrie",U28:U32)</f>
        <v>0</v>
      </c>
      <c r="V34" s="574">
        <f>SUMIF($AA$28:$AA$32,"industrie",V28:V32)</f>
        <v>0</v>
      </c>
      <c r="W34" s="574">
        <f>SUMIF($AA$28:$AA$32,"industrie",W28:W32)</f>
        <v>0</v>
      </c>
      <c r="X34" s="574"/>
      <c r="Y34" s="575"/>
      <c r="Z34" s="575"/>
      <c r="AA34" s="576"/>
    </row>
    <row r="35" spans="1:28" s="554" customFormat="1">
      <c r="A35" s="572" t="s">
        <v>276</v>
      </c>
      <c r="B35" s="573"/>
      <c r="C35" s="573"/>
      <c r="D35" s="573"/>
      <c r="E35" s="573"/>
      <c r="F35" s="573"/>
      <c r="G35" s="573"/>
      <c r="H35" s="573"/>
      <c r="I35" s="573"/>
      <c r="J35" s="573"/>
      <c r="K35" s="573"/>
      <c r="L35" s="574"/>
      <c r="M35" s="574">
        <f ca="1">SUMIF($AA$28:AD32,"tertiair",M28:M32)</f>
        <v>24.5</v>
      </c>
      <c r="N35" s="574">
        <f ca="1">SUMIF($AA$28:AE32,"tertiair",N28:N32)</f>
        <v>110.25</v>
      </c>
      <c r="O35" s="574">
        <f ca="1">SUMIF($AA$28:AF32,"tertiair",O28:O32)</f>
        <v>157.5</v>
      </c>
      <c r="P35" s="574">
        <f ca="1">SUMIF($AA$28:AG32,"tertiair",P28:P32)</f>
        <v>315</v>
      </c>
      <c r="Q35" s="574">
        <f ca="1">SUMIF($AA$28:AH32,"tertiair",Q28:Q32)</f>
        <v>0</v>
      </c>
      <c r="R35" s="574">
        <f ca="1">SUMIF($AA$28:AI32,"tertiair",R28:R32)</f>
        <v>0</v>
      </c>
      <c r="S35" s="574">
        <f ca="1">SUMIF($AA$28:AJ32,"tertiair",S28:S32)</f>
        <v>0</v>
      </c>
      <c r="T35" s="574">
        <f ca="1">SUMIF($AA$28:AK32,"tertiair",T28:T32)</f>
        <v>0</v>
      </c>
      <c r="U35" s="574">
        <f ca="1">SUMIF($AA$28:AL32,"tertiair",U28:U32)</f>
        <v>0</v>
      </c>
      <c r="V35" s="574">
        <f ca="1">SUMIF($AA$28:AM32,"tertiair",V28:V32)</f>
        <v>0</v>
      </c>
      <c r="W35" s="574">
        <f ca="1">SUMIF($AA$28:AN32,"tertiair",W28:W32)</f>
        <v>0</v>
      </c>
      <c r="X35" s="574"/>
      <c r="Y35" s="575"/>
      <c r="Z35" s="575"/>
      <c r="AA35" s="576"/>
    </row>
    <row r="36" spans="1:28" s="554" customFormat="1" ht="15.75" thickBot="1">
      <c r="A36" s="577" t="s">
        <v>277</v>
      </c>
      <c r="B36" s="578"/>
      <c r="C36" s="578"/>
      <c r="D36" s="578"/>
      <c r="E36" s="578"/>
      <c r="F36" s="578"/>
      <c r="G36" s="578"/>
      <c r="H36" s="578"/>
      <c r="I36" s="578"/>
      <c r="J36" s="578"/>
      <c r="K36" s="578"/>
      <c r="L36" s="579"/>
      <c r="M36" s="579">
        <f>SUMIF($AA$28:$AA$32,"landbouw",M28:M32)</f>
        <v>6720</v>
      </c>
      <c r="N36" s="579">
        <f>SUMIF($AA$28:$AA$32,"landbouw",N28:N32)</f>
        <v>30240</v>
      </c>
      <c r="O36" s="579">
        <f>SUMIF($AA$28:$AA$32,"landbouw",O28:O32)</f>
        <v>43200</v>
      </c>
      <c r="P36" s="579">
        <f>SUMIF($AA$28:$AA$32,"landbouw",P28:P32)</f>
        <v>86400</v>
      </c>
      <c r="Q36" s="579">
        <f>SUMIF($AA$28:$AA$32,"landbouw",Q28:Q32)</f>
        <v>0</v>
      </c>
      <c r="R36" s="579">
        <f>SUMIF($AA$28:$AA$32,"landbouw",R28:R32)</f>
        <v>0</v>
      </c>
      <c r="S36" s="579">
        <f>SUMIF($AA$28:$AA$32,"landbouw",S28:S32)</f>
        <v>0</v>
      </c>
      <c r="T36" s="579">
        <f>SUMIF($AA$28:$AA$32,"landbouw",T28:T32)</f>
        <v>0</v>
      </c>
      <c r="U36" s="579">
        <f>SUMIF($AA$28:$AA$32,"landbouw",U28:U32)</f>
        <v>0</v>
      </c>
      <c r="V36" s="579">
        <f>SUMIF($AA$28:$AA$32,"landbouw",V28:V32)</f>
        <v>0</v>
      </c>
      <c r="W36" s="579">
        <f>SUMIF($AA$28:$AA$32,"landbouw",W28:W32)</f>
        <v>0</v>
      </c>
      <c r="X36" s="579"/>
      <c r="Y36" s="580"/>
      <c r="Z36" s="580"/>
      <c r="AA36" s="581"/>
    </row>
    <row r="37" spans="1:28" s="523" customFormat="1" ht="15.75" thickBot="1">
      <c r="A37" s="582"/>
      <c r="B37" s="583"/>
      <c r="C37" s="583"/>
      <c r="D37" s="583"/>
      <c r="E37" s="583"/>
      <c r="F37" s="583"/>
      <c r="G37" s="583"/>
      <c r="H37" s="583"/>
      <c r="I37" s="583"/>
      <c r="J37" s="583"/>
      <c r="K37" s="583"/>
      <c r="L37" s="566"/>
      <c r="M37" s="566"/>
      <c r="N37" s="566"/>
      <c r="O37" s="567"/>
      <c r="P37" s="567"/>
    </row>
    <row r="38" spans="1:28" s="523" customFormat="1" ht="45">
      <c r="A38" s="584" t="s">
        <v>269</v>
      </c>
      <c r="B38" s="613" t="s">
        <v>89</v>
      </c>
      <c r="C38" s="613" t="s">
        <v>90</v>
      </c>
      <c r="D38" s="613"/>
      <c r="E38" s="613"/>
      <c r="F38" s="613"/>
      <c r="G38" s="613" t="s">
        <v>91</v>
      </c>
      <c r="H38" s="613" t="s">
        <v>92</v>
      </c>
      <c r="I38" s="613"/>
      <c r="J38" s="613"/>
      <c r="K38" s="613"/>
      <c r="L38" s="613" t="s">
        <v>93</v>
      </c>
      <c r="M38" s="614" t="s">
        <v>286</v>
      </c>
      <c r="N38" s="614" t="s">
        <v>94</v>
      </c>
      <c r="O38" s="614" t="s">
        <v>95</v>
      </c>
      <c r="P38" s="614" t="s">
        <v>518</v>
      </c>
      <c r="Q38" s="614" t="s">
        <v>96</v>
      </c>
      <c r="R38" s="614" t="s">
        <v>97</v>
      </c>
      <c r="S38" s="614" t="s">
        <v>98</v>
      </c>
      <c r="T38" s="614" t="s">
        <v>99</v>
      </c>
      <c r="U38" s="614" t="s">
        <v>100</v>
      </c>
      <c r="V38" s="614" t="s">
        <v>101</v>
      </c>
      <c r="W38" s="613" t="s">
        <v>102</v>
      </c>
      <c r="X38" s="613" t="s">
        <v>877</v>
      </c>
      <c r="Y38" s="613" t="s">
        <v>287</v>
      </c>
      <c r="Z38" s="613" t="s">
        <v>103</v>
      </c>
      <c r="AA38" s="615" t="s">
        <v>288</v>
      </c>
    </row>
    <row r="39" spans="1:28" s="585" customFormat="1" ht="12.75" hidden="1">
      <c r="A39" s="571"/>
      <c r="B39" s="724"/>
      <c r="C39" s="724"/>
      <c r="D39" s="619"/>
      <c r="E39" s="619"/>
      <c r="F39" s="619"/>
      <c r="G39" s="619"/>
      <c r="H39" s="619"/>
      <c r="I39" s="619"/>
      <c r="J39" s="723"/>
      <c r="K39" s="723"/>
      <c r="L39" s="619"/>
      <c r="M39" s="619"/>
      <c r="N39" s="619"/>
      <c r="O39" s="619"/>
      <c r="P39" s="619"/>
      <c r="Q39" s="619"/>
      <c r="R39" s="619"/>
      <c r="S39" s="619"/>
      <c r="T39" s="619"/>
      <c r="U39" s="619"/>
      <c r="V39" s="619"/>
      <c r="W39" s="619"/>
      <c r="X39" s="619"/>
      <c r="Y39" s="619"/>
      <c r="Z39" s="619"/>
      <c r="AA39" s="620"/>
    </row>
    <row r="40" spans="1:28" s="554" customFormat="1" hidden="1">
      <c r="A40" s="572" t="s">
        <v>268</v>
      </c>
      <c r="B40" s="573"/>
      <c r="C40" s="573"/>
      <c r="D40" s="573"/>
      <c r="E40" s="573"/>
      <c r="F40" s="573"/>
      <c r="G40" s="573"/>
      <c r="H40" s="573"/>
      <c r="I40" s="573"/>
      <c r="J40" s="573"/>
      <c r="K40" s="573"/>
      <c r="L40" s="574"/>
      <c r="M40" s="574">
        <f>SUM(M39:M39)</f>
        <v>0</v>
      </c>
      <c r="N40" s="574">
        <f>SUM(N39:N39)</f>
        <v>0</v>
      </c>
      <c r="O40" s="574">
        <f>SUM(O39:O39)</f>
        <v>0</v>
      </c>
      <c r="P40" s="574">
        <f>SUM(P39:P39)</f>
        <v>0</v>
      </c>
      <c r="Q40" s="574">
        <f>SUM(Q39:Q39)</f>
        <v>0</v>
      </c>
      <c r="R40" s="574">
        <f>SUM(R39:R39)</f>
        <v>0</v>
      </c>
      <c r="S40" s="574">
        <f>SUM(S39:S39)</f>
        <v>0</v>
      </c>
      <c r="T40" s="574">
        <f>SUM(T39:T39)</f>
        <v>0</v>
      </c>
      <c r="U40" s="574">
        <f>SUM(U39:U39)</f>
        <v>0</v>
      </c>
      <c r="V40" s="574">
        <f>SUM(V39:V39)</f>
        <v>0</v>
      </c>
      <c r="W40" s="574">
        <f>SUM(W39:W39)</f>
        <v>0</v>
      </c>
      <c r="X40" s="574"/>
      <c r="Y40" s="575"/>
      <c r="Z40" s="575"/>
      <c r="AA40" s="576"/>
    </row>
    <row r="41" spans="1:28" s="554" customFormat="1">
      <c r="A41" s="572" t="s">
        <v>275</v>
      </c>
      <c r="B41" s="573"/>
      <c r="C41" s="573"/>
      <c r="D41" s="573"/>
      <c r="E41" s="573"/>
      <c r="F41" s="573"/>
      <c r="G41" s="573"/>
      <c r="H41" s="573"/>
      <c r="I41" s="573"/>
      <c r="J41" s="573"/>
      <c r="K41" s="573"/>
      <c r="L41" s="574"/>
      <c r="M41" s="574">
        <f>SUMIF($AA$39:$AA$39,"industrie",M39:M39)</f>
        <v>0</v>
      </c>
      <c r="N41" s="574">
        <f>SUMIF($AA$39:$AA$39,"industrie",N39:N39)</f>
        <v>0</v>
      </c>
      <c r="O41" s="574">
        <f>SUMIF($AA$39:$AA$39,"industrie",O39:O39)</f>
        <v>0</v>
      </c>
      <c r="P41" s="574">
        <f>SUMIF($AA$39:$AA$39,"industrie",P39:P39)</f>
        <v>0</v>
      </c>
      <c r="Q41" s="574">
        <f>SUMIF($AA$39:$AA$39,"industrie",Q39:Q39)</f>
        <v>0</v>
      </c>
      <c r="R41" s="574">
        <f>SUMIF($AA$39:$AA$39,"industrie",R39:R39)</f>
        <v>0</v>
      </c>
      <c r="S41" s="574">
        <f>SUMIF($AA$39:$AA$39,"industrie",S39:S39)</f>
        <v>0</v>
      </c>
      <c r="T41" s="574">
        <f>SUMIF($AA$39:$AA$39,"industrie",T39:T39)</f>
        <v>0</v>
      </c>
      <c r="U41" s="574">
        <f>SUMIF($AA$39:$AA$39,"industrie",U39:U39)</f>
        <v>0</v>
      </c>
      <c r="V41" s="574">
        <f>SUMIF($AA$39:$AA$39,"industrie",V39:V39)</f>
        <v>0</v>
      </c>
      <c r="W41" s="574">
        <f>SUMIF($AA$39:$AA$39,"industrie",W39:W39)</f>
        <v>0</v>
      </c>
      <c r="X41" s="574"/>
      <c r="Y41" s="575"/>
      <c r="Z41" s="575"/>
      <c r="AA41" s="576"/>
    </row>
    <row r="42" spans="1:28" s="554" customFormat="1">
      <c r="A42" s="572" t="s">
        <v>276</v>
      </c>
      <c r="B42" s="573"/>
      <c r="C42" s="573"/>
      <c r="D42" s="573"/>
      <c r="E42" s="573"/>
      <c r="F42" s="573"/>
      <c r="G42" s="573"/>
      <c r="H42" s="573"/>
      <c r="I42" s="573"/>
      <c r="J42" s="573"/>
      <c r="K42" s="573"/>
      <c r="L42" s="574"/>
      <c r="M42" s="574">
        <f>SUMIF($AA$39:$AA$40,"tertiair",M39:M40)</f>
        <v>0</v>
      </c>
      <c r="N42" s="574">
        <f>SUMIF($AA$39:$AA$40,"tertiair",N39:N40)</f>
        <v>0</v>
      </c>
      <c r="O42" s="574">
        <f>SUMIF($AA$39:$AA$40,"tertiair",O39:O40)</f>
        <v>0</v>
      </c>
      <c r="P42" s="574">
        <f>SUMIF($AA$39:$AA$40,"tertiair",P39:P40)</f>
        <v>0</v>
      </c>
      <c r="Q42" s="574">
        <f>SUMIF($AA$39:$AA$40,"tertiair",Q39:Q40)</f>
        <v>0</v>
      </c>
      <c r="R42" s="574">
        <f>SUMIF($AA$39:$AA$40,"tertiair",R39:R40)</f>
        <v>0</v>
      </c>
      <c r="S42" s="574">
        <f>SUMIF($AA$39:$AA$40,"tertiair",S39:S40)</f>
        <v>0</v>
      </c>
      <c r="T42" s="574">
        <f>SUMIF($AA$39:$AA$40,"tertiair",T39:T40)</f>
        <v>0</v>
      </c>
      <c r="U42" s="574">
        <f>SUMIF($AA$39:$AA$40,"tertiair",U39:U40)</f>
        <v>0</v>
      </c>
      <c r="V42" s="574">
        <f>SUMIF($AA$39:$AA$40,"tertiair",V39:V40)</f>
        <v>0</v>
      </c>
      <c r="W42" s="574">
        <f>SUMIF($AA$39:$AA$40,"tertiair",W39:W40)</f>
        <v>0</v>
      </c>
      <c r="X42" s="574"/>
      <c r="Y42" s="575"/>
      <c r="Z42" s="575"/>
      <c r="AA42" s="576"/>
    </row>
    <row r="43" spans="1:28" s="554" customFormat="1" ht="15.75" thickBot="1">
      <c r="A43" s="577" t="s">
        <v>277</v>
      </c>
      <c r="B43" s="578"/>
      <c r="C43" s="578"/>
      <c r="D43" s="578"/>
      <c r="E43" s="578"/>
      <c r="F43" s="578"/>
      <c r="G43" s="578"/>
      <c r="H43" s="578"/>
      <c r="I43" s="578"/>
      <c r="J43" s="578"/>
      <c r="K43" s="578"/>
      <c r="L43" s="579"/>
      <c r="M43" s="579">
        <f>SUMIF($AA$39:$AA$41,"landbouw",M39:M41)</f>
        <v>0</v>
      </c>
      <c r="N43" s="579">
        <f>SUMIF($AA$39:$AA$41,"landbouw",N39:N41)</f>
        <v>0</v>
      </c>
      <c r="O43" s="579">
        <f>SUMIF($AA$39:$AA$41,"landbouw",O39:O41)</f>
        <v>0</v>
      </c>
      <c r="P43" s="579">
        <f>SUMIF($AA$39:$AA$41,"landbouw",P39:P41)</f>
        <v>0</v>
      </c>
      <c r="Q43" s="579">
        <f>SUMIF($AA$39:$AA$41,"landbouw",Q39:Q41)</f>
        <v>0</v>
      </c>
      <c r="R43" s="579">
        <f>SUMIF($AA$39:$AA$41,"landbouw",R39:R41)</f>
        <v>0</v>
      </c>
      <c r="S43" s="579">
        <f>SUMIF($AA$39:$AA$41,"landbouw",S39:S41)</f>
        <v>0</v>
      </c>
      <c r="T43" s="579">
        <f>SUMIF($AA$39:$AA$41,"landbouw",T39:T41)</f>
        <v>0</v>
      </c>
      <c r="U43" s="579">
        <f>SUMIF($AA$39:$AA$41,"landbouw",U39:U41)</f>
        <v>0</v>
      </c>
      <c r="V43" s="579">
        <f>SUMIF($AA$39:$AA$41,"landbouw",V39:V41)</f>
        <v>0</v>
      </c>
      <c r="W43" s="579">
        <f>SUMIF($AA$39:$AA$41,"landbouw",W39:W41)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270</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271</v>
      </c>
      <c r="C48" s="596" t="s">
        <v>272</v>
      </c>
      <c r="D48" s="596"/>
      <c r="E48" s="596"/>
      <c r="F48" s="596"/>
      <c r="G48" s="596"/>
      <c r="H48" s="596"/>
      <c r="I48" s="597"/>
      <c r="J48" s="596"/>
      <c r="K48" s="596"/>
      <c r="L48" s="596"/>
      <c r="M48" s="596"/>
      <c r="N48" s="596"/>
      <c r="O48" s="596"/>
      <c r="P48" s="591"/>
    </row>
    <row r="49" spans="1:16">
      <c r="A49" s="593" t="s">
        <v>268</v>
      </c>
      <c r="B49" s="598">
        <f>IF(ISERROR(O33/(O33+N33)),0,O33/(O33+N33))</f>
        <v>0.58823529411764719</v>
      </c>
      <c r="C49" s="599">
        <f>IF(ISERROR(N33/(O33+N33)),0,N33/(N33+O33))</f>
        <v>0.41176470588235292</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518</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273</v>
      </c>
      <c r="B52" s="608">
        <f t="shared" ref="B52:I52" si="2">$C$49*P33</f>
        <v>35706.176470588238</v>
      </c>
      <c r="C52" s="608">
        <f t="shared" si="2"/>
        <v>0</v>
      </c>
      <c r="D52" s="608">
        <f t="shared" si="2"/>
        <v>0</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274</v>
      </c>
      <c r="B53" s="611">
        <f t="shared" ref="B53:I53" si="3">$B$49*P33</f>
        <v>51008.823529411784</v>
      </c>
      <c r="C53" s="611">
        <f t="shared" si="3"/>
        <v>0</v>
      </c>
      <c r="D53" s="611">
        <f t="shared" si="3"/>
        <v>0</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13167.273314628699</v>
      </c>
      <c r="D10" s="931">
        <f ca="1">tertiair!C16</f>
        <v>157.5</v>
      </c>
      <c r="E10" s="931">
        <f ca="1">tertiair!D16</f>
        <v>19561.594208734568</v>
      </c>
      <c r="F10" s="931">
        <f>tertiair!E16</f>
        <v>177.53477511130257</v>
      </c>
      <c r="G10" s="931">
        <f ca="1">tertiair!F16</f>
        <v>1871.9193631303262</v>
      </c>
      <c r="H10" s="931">
        <f>tertiair!G16</f>
        <v>0</v>
      </c>
      <c r="I10" s="931">
        <f>tertiair!H16</f>
        <v>0</v>
      </c>
      <c r="J10" s="931">
        <f>tertiair!I16</f>
        <v>0</v>
      </c>
      <c r="K10" s="931">
        <f>tertiair!J16</f>
        <v>1.1515536146412795E-2</v>
      </c>
      <c r="L10" s="931">
        <f>tertiair!K16</f>
        <v>0</v>
      </c>
      <c r="M10" s="931">
        <f ca="1">tertiair!L16</f>
        <v>0</v>
      </c>
      <c r="N10" s="931">
        <f>tertiair!M16</f>
        <v>0</v>
      </c>
      <c r="O10" s="931">
        <f ca="1">tertiair!N16</f>
        <v>476.72868453013314</v>
      </c>
      <c r="P10" s="931">
        <f>tertiair!O16</f>
        <v>1.5633333333333335</v>
      </c>
      <c r="Q10" s="932">
        <f>tertiair!P16</f>
        <v>0</v>
      </c>
      <c r="R10" s="628">
        <f ca="1">SUM(C10:Q10)</f>
        <v>35414.125195004512</v>
      </c>
      <c r="S10" s="67"/>
    </row>
    <row r="11" spans="1:19" s="437" customFormat="1">
      <c r="A11" s="736" t="s">
        <v>213</v>
      </c>
      <c r="B11" s="741"/>
      <c r="C11" s="931">
        <f>huishoudens!B8</f>
        <v>33496.206420714327</v>
      </c>
      <c r="D11" s="931">
        <f>huishoudens!C8</f>
        <v>0</v>
      </c>
      <c r="E11" s="931">
        <f>huishoudens!D8</f>
        <v>82584.228864205274</v>
      </c>
      <c r="F11" s="931">
        <f>huishoudens!E8</f>
        <v>1337.6119971543262</v>
      </c>
      <c r="G11" s="931">
        <f>huishoudens!F8</f>
        <v>31004.805410233199</v>
      </c>
      <c r="H11" s="931">
        <f>huishoudens!G8</f>
        <v>0</v>
      </c>
      <c r="I11" s="931">
        <f>huishoudens!H8</f>
        <v>0</v>
      </c>
      <c r="J11" s="931">
        <f>huishoudens!I8</f>
        <v>0</v>
      </c>
      <c r="K11" s="931">
        <f>huishoudens!J8</f>
        <v>159.33738893862414</v>
      </c>
      <c r="L11" s="931">
        <f>huishoudens!K8</f>
        <v>0</v>
      </c>
      <c r="M11" s="931">
        <f>huishoudens!L8</f>
        <v>0</v>
      </c>
      <c r="N11" s="931">
        <f>huishoudens!M8</f>
        <v>0</v>
      </c>
      <c r="O11" s="931">
        <f>huishoudens!N8</f>
        <v>10245.908753879774</v>
      </c>
      <c r="P11" s="931">
        <f>huishoudens!O8</f>
        <v>267.33000000000004</v>
      </c>
      <c r="Q11" s="932">
        <f>huishoudens!P8</f>
        <v>1449.0666666666666</v>
      </c>
      <c r="R11" s="628">
        <f>SUM(C11:Q11)</f>
        <v>160544.49550179217</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6441.2271299483727</v>
      </c>
      <c r="D13" s="931">
        <f>industrie!C18</f>
        <v>0</v>
      </c>
      <c r="E13" s="931">
        <f>industrie!D18</f>
        <v>8043.3538245362688</v>
      </c>
      <c r="F13" s="931">
        <f>industrie!E18</f>
        <v>118.96861380496377</v>
      </c>
      <c r="G13" s="931">
        <f>industrie!F18</f>
        <v>1970.2417557156477</v>
      </c>
      <c r="H13" s="931">
        <f>industrie!G18</f>
        <v>0</v>
      </c>
      <c r="I13" s="931">
        <f>industrie!H18</f>
        <v>0</v>
      </c>
      <c r="J13" s="931">
        <f>industrie!I18</f>
        <v>0</v>
      </c>
      <c r="K13" s="931">
        <f>industrie!J18</f>
        <v>6.4748232820894778</v>
      </c>
      <c r="L13" s="931">
        <f>industrie!K18</f>
        <v>0</v>
      </c>
      <c r="M13" s="931">
        <f>industrie!L18</f>
        <v>0</v>
      </c>
      <c r="N13" s="931">
        <f>industrie!M18</f>
        <v>0</v>
      </c>
      <c r="O13" s="931">
        <f>industrie!N18</f>
        <v>216.88769879690713</v>
      </c>
      <c r="P13" s="931">
        <f>industrie!O18</f>
        <v>0</v>
      </c>
      <c r="Q13" s="932">
        <f>industrie!P18</f>
        <v>0</v>
      </c>
      <c r="R13" s="628">
        <f>SUM(C13:Q13)</f>
        <v>16797.153846084249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53104.706865291402</v>
      </c>
      <c r="D16" s="660">
        <f t="shared" ref="D16:R16" ca="1" si="0">SUM(D9:D15)</f>
        <v>157.5</v>
      </c>
      <c r="E16" s="660">
        <f t="shared" ca="1" si="0"/>
        <v>110189.17689747612</v>
      </c>
      <c r="F16" s="660">
        <f t="shared" si="0"/>
        <v>1634.1153860705926</v>
      </c>
      <c r="G16" s="660">
        <f t="shared" ca="1" si="0"/>
        <v>34846.966529079175</v>
      </c>
      <c r="H16" s="660">
        <f t="shared" si="0"/>
        <v>0</v>
      </c>
      <c r="I16" s="660">
        <f t="shared" si="0"/>
        <v>0</v>
      </c>
      <c r="J16" s="660">
        <f t="shared" si="0"/>
        <v>0</v>
      </c>
      <c r="K16" s="660">
        <f t="shared" si="0"/>
        <v>165.82372775686005</v>
      </c>
      <c r="L16" s="660">
        <f t="shared" si="0"/>
        <v>0</v>
      </c>
      <c r="M16" s="660">
        <f t="shared" ca="1" si="0"/>
        <v>0</v>
      </c>
      <c r="N16" s="660">
        <f t="shared" si="0"/>
        <v>0</v>
      </c>
      <c r="O16" s="660">
        <f t="shared" ca="1" si="0"/>
        <v>10939.525137206814</v>
      </c>
      <c r="P16" s="660">
        <f t="shared" si="0"/>
        <v>268.89333333333337</v>
      </c>
      <c r="Q16" s="660">
        <f t="shared" si="0"/>
        <v>1449.0666666666666</v>
      </c>
      <c r="R16" s="660">
        <f t="shared" ca="1" si="0"/>
        <v>212755.77454288094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19.169749765482177</v>
      </c>
      <c r="D19" s="931">
        <f>transport!C54</f>
        <v>0</v>
      </c>
      <c r="E19" s="931">
        <f>transport!D54</f>
        <v>0</v>
      </c>
      <c r="F19" s="931">
        <f>transport!E54</f>
        <v>0</v>
      </c>
      <c r="G19" s="931">
        <f>transport!F54</f>
        <v>0</v>
      </c>
      <c r="H19" s="931">
        <f>transport!G54</f>
        <v>1800.8077468155388</v>
      </c>
      <c r="I19" s="931">
        <f>transport!H54</f>
        <v>0</v>
      </c>
      <c r="J19" s="931">
        <f>transport!I54</f>
        <v>0</v>
      </c>
      <c r="K19" s="931">
        <f>transport!J54</f>
        <v>0</v>
      </c>
      <c r="L19" s="931">
        <f>transport!K54</f>
        <v>0</v>
      </c>
      <c r="M19" s="931">
        <f>transport!L54</f>
        <v>0</v>
      </c>
      <c r="N19" s="931">
        <f>transport!M54</f>
        <v>103.70311124168219</v>
      </c>
      <c r="O19" s="931">
        <f>transport!N54</f>
        <v>0</v>
      </c>
      <c r="P19" s="931">
        <f>transport!O54</f>
        <v>0</v>
      </c>
      <c r="Q19" s="932">
        <f>transport!P54</f>
        <v>0</v>
      </c>
      <c r="R19" s="628">
        <f>SUM(C19:Q19)</f>
        <v>1923.6806078227032</v>
      </c>
      <c r="S19" s="67"/>
    </row>
    <row r="20" spans="1:19" s="437" customFormat="1">
      <c r="A20" s="736" t="s">
        <v>295</v>
      </c>
      <c r="B20" s="741"/>
      <c r="C20" s="931">
        <f>transport!B14</f>
        <v>106.24508294694057</v>
      </c>
      <c r="D20" s="931">
        <f>transport!C14</f>
        <v>0</v>
      </c>
      <c r="E20" s="931">
        <f>transport!D14</f>
        <v>175.6965869134801</v>
      </c>
      <c r="F20" s="931">
        <f>transport!E14</f>
        <v>328.40353788609281</v>
      </c>
      <c r="G20" s="931">
        <f>transport!F14</f>
        <v>0</v>
      </c>
      <c r="H20" s="931">
        <f>transport!G14</f>
        <v>169230.15184799748</v>
      </c>
      <c r="I20" s="931">
        <f>transport!H14</f>
        <v>30754.059479772466</v>
      </c>
      <c r="J20" s="931">
        <f>transport!I14</f>
        <v>0</v>
      </c>
      <c r="K20" s="931">
        <f>transport!J14</f>
        <v>0</v>
      </c>
      <c r="L20" s="931">
        <f>transport!K14</f>
        <v>0</v>
      </c>
      <c r="M20" s="931">
        <f>transport!L14</f>
        <v>0</v>
      </c>
      <c r="N20" s="931">
        <f>transport!M14</f>
        <v>10792.744692341064</v>
      </c>
      <c r="O20" s="931">
        <f>transport!N14</f>
        <v>0</v>
      </c>
      <c r="P20" s="931">
        <f>transport!O14</f>
        <v>0</v>
      </c>
      <c r="Q20" s="932">
        <f>transport!P14</f>
        <v>0</v>
      </c>
      <c r="R20" s="628">
        <f>SUM(C20:Q20)</f>
        <v>211387.30122785753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125.41483271242275</v>
      </c>
      <c r="D22" s="739">
        <f t="shared" ref="D22:R22" si="1">SUM(D18:D21)</f>
        <v>0</v>
      </c>
      <c r="E22" s="739">
        <f t="shared" si="1"/>
        <v>175.6965869134801</v>
      </c>
      <c r="F22" s="739">
        <f t="shared" si="1"/>
        <v>328.40353788609281</v>
      </c>
      <c r="G22" s="739">
        <f t="shared" si="1"/>
        <v>0</v>
      </c>
      <c r="H22" s="739">
        <f t="shared" si="1"/>
        <v>171030.959594813</v>
      </c>
      <c r="I22" s="739">
        <f t="shared" si="1"/>
        <v>30754.059479772466</v>
      </c>
      <c r="J22" s="739">
        <f t="shared" si="1"/>
        <v>0</v>
      </c>
      <c r="K22" s="739">
        <f t="shared" si="1"/>
        <v>0</v>
      </c>
      <c r="L22" s="739">
        <f t="shared" si="1"/>
        <v>0</v>
      </c>
      <c r="M22" s="739">
        <f t="shared" si="1"/>
        <v>0</v>
      </c>
      <c r="N22" s="739">
        <f t="shared" si="1"/>
        <v>10896.447803582747</v>
      </c>
      <c r="O22" s="739">
        <f t="shared" si="1"/>
        <v>0</v>
      </c>
      <c r="P22" s="739">
        <f t="shared" si="1"/>
        <v>0</v>
      </c>
      <c r="Q22" s="739">
        <f t="shared" si="1"/>
        <v>0</v>
      </c>
      <c r="R22" s="739">
        <f t="shared" si="1"/>
        <v>213310.98183568023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5507.212802500233</v>
      </c>
      <c r="D24" s="931">
        <f>+landbouw!C8</f>
        <v>43200</v>
      </c>
      <c r="E24" s="931">
        <f>+landbouw!D8</f>
        <v>0</v>
      </c>
      <c r="F24" s="931">
        <f>+landbouw!E8</f>
        <v>178.72715910589852</v>
      </c>
      <c r="G24" s="931">
        <f>+landbouw!F8</f>
        <v>20317.176686239658</v>
      </c>
      <c r="H24" s="931">
        <f>+landbouw!G8</f>
        <v>0</v>
      </c>
      <c r="I24" s="931">
        <f>+landbouw!H8</f>
        <v>0</v>
      </c>
      <c r="J24" s="931">
        <f>+landbouw!I8</f>
        <v>0</v>
      </c>
      <c r="K24" s="931">
        <f>+landbouw!J8</f>
        <v>1448.3400297776118</v>
      </c>
      <c r="L24" s="931">
        <f>+landbouw!K8</f>
        <v>0</v>
      </c>
      <c r="M24" s="931">
        <f>+landbouw!L8</f>
        <v>0</v>
      </c>
      <c r="N24" s="931">
        <f>+landbouw!M8</f>
        <v>0</v>
      </c>
      <c r="O24" s="931">
        <f>+landbouw!N8</f>
        <v>0</v>
      </c>
      <c r="P24" s="931">
        <f>+landbouw!O8</f>
        <v>0</v>
      </c>
      <c r="Q24" s="932">
        <f>+landbouw!P8</f>
        <v>0</v>
      </c>
      <c r="R24" s="628">
        <f>SUM(C24:Q24)</f>
        <v>70651.456677623399</v>
      </c>
      <c r="S24" s="67"/>
    </row>
    <row r="25" spans="1:19" s="437" customFormat="1" ht="15" thickBot="1">
      <c r="A25" s="758" t="s">
        <v>775</v>
      </c>
      <c r="B25" s="934"/>
      <c r="C25" s="935">
        <f>IF(Onbekend_ele_kWh="---",0,Onbekend_ele_kWh)/1000+IF(REST_rest_ele_kWh="---",0,REST_rest_ele_kWh)/1000</f>
        <v>1661.6602540127801</v>
      </c>
      <c r="D25" s="935"/>
      <c r="E25" s="935">
        <f>IF(onbekend_gas_kWh="---",0,onbekend_gas_kWh)/1000+IF(REST_rest_gas_kWh="---",0,REST_rest_gas_kWh)/1000</f>
        <v>1972.35157115842</v>
      </c>
      <c r="F25" s="935"/>
      <c r="G25" s="935"/>
      <c r="H25" s="935"/>
      <c r="I25" s="935"/>
      <c r="J25" s="935"/>
      <c r="K25" s="935"/>
      <c r="L25" s="935"/>
      <c r="M25" s="935"/>
      <c r="N25" s="935"/>
      <c r="O25" s="935"/>
      <c r="P25" s="935"/>
      <c r="Q25" s="936"/>
      <c r="R25" s="628">
        <f>SUM(C25:Q25)</f>
        <v>3634.0118251712001</v>
      </c>
      <c r="S25" s="67"/>
    </row>
    <row r="26" spans="1:19" s="437" customFormat="1" ht="15.75" thickBot="1">
      <c r="A26" s="633" t="s">
        <v>776</v>
      </c>
      <c r="B26" s="744"/>
      <c r="C26" s="739">
        <f>SUM(C24:C25)</f>
        <v>7168.8730565130136</v>
      </c>
      <c r="D26" s="739">
        <f t="shared" ref="D26:R26" si="2">SUM(D24:D25)</f>
        <v>43200</v>
      </c>
      <c r="E26" s="739">
        <f t="shared" si="2"/>
        <v>1972.35157115842</v>
      </c>
      <c r="F26" s="739">
        <f t="shared" si="2"/>
        <v>178.72715910589852</v>
      </c>
      <c r="G26" s="739">
        <f t="shared" si="2"/>
        <v>20317.176686239658</v>
      </c>
      <c r="H26" s="739">
        <f t="shared" si="2"/>
        <v>0</v>
      </c>
      <c r="I26" s="739">
        <f t="shared" si="2"/>
        <v>0</v>
      </c>
      <c r="J26" s="739">
        <f t="shared" si="2"/>
        <v>0</v>
      </c>
      <c r="K26" s="739">
        <f t="shared" si="2"/>
        <v>1448.3400297776118</v>
      </c>
      <c r="L26" s="739">
        <f t="shared" si="2"/>
        <v>0</v>
      </c>
      <c r="M26" s="739">
        <f t="shared" si="2"/>
        <v>0</v>
      </c>
      <c r="N26" s="739">
        <f t="shared" si="2"/>
        <v>0</v>
      </c>
      <c r="O26" s="739">
        <f t="shared" si="2"/>
        <v>0</v>
      </c>
      <c r="P26" s="739">
        <f t="shared" si="2"/>
        <v>0</v>
      </c>
      <c r="Q26" s="739">
        <f t="shared" si="2"/>
        <v>0</v>
      </c>
      <c r="R26" s="739">
        <f t="shared" si="2"/>
        <v>74285.468502794596</v>
      </c>
      <c r="S26" s="67"/>
    </row>
    <row r="27" spans="1:19" s="437" customFormat="1" ht="17.25" thickTop="1" thickBot="1">
      <c r="A27" s="634" t="s">
        <v>109</v>
      </c>
      <c r="B27" s="732"/>
      <c r="C27" s="635">
        <f ca="1">C22+C16+C26</f>
        <v>60398.99475451684</v>
      </c>
      <c r="D27" s="635">
        <f t="shared" ref="D27:R27" ca="1" si="3">D22+D16+D26</f>
        <v>43357.5</v>
      </c>
      <c r="E27" s="635">
        <f t="shared" ca="1" si="3"/>
        <v>112337.22505554801</v>
      </c>
      <c r="F27" s="635">
        <f t="shared" si="3"/>
        <v>2141.2460830625841</v>
      </c>
      <c r="G27" s="635">
        <f t="shared" ca="1" si="3"/>
        <v>55164.143215318836</v>
      </c>
      <c r="H27" s="635">
        <f t="shared" si="3"/>
        <v>171030.959594813</v>
      </c>
      <c r="I27" s="635">
        <f t="shared" si="3"/>
        <v>30754.059479772466</v>
      </c>
      <c r="J27" s="635">
        <f t="shared" si="3"/>
        <v>0</v>
      </c>
      <c r="K27" s="635">
        <f t="shared" si="3"/>
        <v>1614.1637575344719</v>
      </c>
      <c r="L27" s="635">
        <f t="shared" si="3"/>
        <v>0</v>
      </c>
      <c r="M27" s="635">
        <f t="shared" ca="1" si="3"/>
        <v>0</v>
      </c>
      <c r="N27" s="635">
        <f t="shared" si="3"/>
        <v>10896.447803582747</v>
      </c>
      <c r="O27" s="635">
        <f t="shared" ca="1" si="3"/>
        <v>10939.525137206814</v>
      </c>
      <c r="P27" s="635">
        <f t="shared" si="3"/>
        <v>268.89333333333337</v>
      </c>
      <c r="Q27" s="635">
        <f t="shared" si="3"/>
        <v>1449.0666666666666</v>
      </c>
      <c r="R27" s="635">
        <f t="shared" ca="1" si="3"/>
        <v>500352.22488135577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1953.4118930999807</v>
      </c>
      <c r="D40" s="931">
        <f ca="1">tertiair!C20</f>
        <v>37.429411764705904</v>
      </c>
      <c r="E40" s="931">
        <f ca="1">tertiair!D20</f>
        <v>3951.4420301643831</v>
      </c>
      <c r="F40" s="931">
        <f>tertiair!E20</f>
        <v>40.300393950265686</v>
      </c>
      <c r="G40" s="931">
        <f ca="1">tertiair!F20</f>
        <v>499.80246995579716</v>
      </c>
      <c r="H40" s="931">
        <f>tertiair!G20</f>
        <v>0</v>
      </c>
      <c r="I40" s="931">
        <f>tertiair!H20</f>
        <v>0</v>
      </c>
      <c r="J40" s="931">
        <f>tertiair!I20</f>
        <v>0</v>
      </c>
      <c r="K40" s="931">
        <f>tertiair!J20</f>
        <v>4.0764997958301291E-3</v>
      </c>
      <c r="L40" s="931">
        <f>tertiair!K20</f>
        <v>0</v>
      </c>
      <c r="M40" s="931">
        <f ca="1">tertiair!L20</f>
        <v>0</v>
      </c>
      <c r="N40" s="931">
        <f>tertiair!M20</f>
        <v>0</v>
      </c>
      <c r="O40" s="931">
        <f ca="1">tertiair!N20</f>
        <v>0</v>
      </c>
      <c r="P40" s="931">
        <f>tertiair!O20</f>
        <v>0</v>
      </c>
      <c r="Q40" s="702">
        <f>tertiair!P20</f>
        <v>0</v>
      </c>
      <c r="R40" s="777">
        <f t="shared" ca="1" si="4"/>
        <v>6482.3902754349283</v>
      </c>
    </row>
    <row r="41" spans="1:18">
      <c r="A41" s="749" t="s">
        <v>213</v>
      </c>
      <c r="B41" s="756"/>
      <c r="C41" s="931">
        <f ca="1">huishoudens!B12</f>
        <v>4969.2815234009904</v>
      </c>
      <c r="D41" s="931">
        <f ca="1">huishoudens!C12</f>
        <v>0</v>
      </c>
      <c r="E41" s="931">
        <f>huishoudens!D12</f>
        <v>16682.014230569468</v>
      </c>
      <c r="F41" s="931">
        <f>huishoudens!E12</f>
        <v>303.63792335403207</v>
      </c>
      <c r="G41" s="931">
        <f>huishoudens!F12</f>
        <v>8278.2830445322652</v>
      </c>
      <c r="H41" s="931">
        <f>huishoudens!G12</f>
        <v>0</v>
      </c>
      <c r="I41" s="931">
        <f>huishoudens!H12</f>
        <v>0</v>
      </c>
      <c r="J41" s="931">
        <f>huishoudens!I12</f>
        <v>0</v>
      </c>
      <c r="K41" s="931">
        <f>huishoudens!J12</f>
        <v>56.405435684272945</v>
      </c>
      <c r="L41" s="931">
        <f>huishoudens!K12</f>
        <v>0</v>
      </c>
      <c r="M41" s="931">
        <f>huishoudens!L12</f>
        <v>0</v>
      </c>
      <c r="N41" s="931">
        <f>huishoudens!M12</f>
        <v>0</v>
      </c>
      <c r="O41" s="931">
        <f>huishoudens!N12</f>
        <v>0</v>
      </c>
      <c r="P41" s="931">
        <f>huishoudens!O12</f>
        <v>0</v>
      </c>
      <c r="Q41" s="702">
        <f>huishoudens!P12</f>
        <v>0</v>
      </c>
      <c r="R41" s="777">
        <f t="shared" ca="1" si="4"/>
        <v>30289.622157541027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955.57898595607719</v>
      </c>
      <c r="D43" s="931">
        <f ca="1">industrie!C22</f>
        <v>0</v>
      </c>
      <c r="E43" s="931">
        <f>industrie!D22</f>
        <v>1624.7574725563263</v>
      </c>
      <c r="F43" s="931">
        <f>industrie!E22</f>
        <v>27.005875333726777</v>
      </c>
      <c r="G43" s="931">
        <f>industrie!F22</f>
        <v>526.05454877607792</v>
      </c>
      <c r="H43" s="931">
        <f>industrie!G22</f>
        <v>0</v>
      </c>
      <c r="I43" s="931">
        <f>industrie!H22</f>
        <v>0</v>
      </c>
      <c r="J43" s="931">
        <f>industrie!I22</f>
        <v>0</v>
      </c>
      <c r="K43" s="931">
        <f>industrie!J22</f>
        <v>2.2920874418596751</v>
      </c>
      <c r="L43" s="931">
        <f>industrie!K22</f>
        <v>0</v>
      </c>
      <c r="M43" s="931">
        <f>industrie!L22</f>
        <v>0</v>
      </c>
      <c r="N43" s="931">
        <f>industrie!M22</f>
        <v>0</v>
      </c>
      <c r="O43" s="931">
        <f>industrie!N22</f>
        <v>0</v>
      </c>
      <c r="P43" s="931">
        <f>industrie!O22</f>
        <v>0</v>
      </c>
      <c r="Q43" s="702">
        <f>industrie!P22</f>
        <v>0</v>
      </c>
      <c r="R43" s="776">
        <f t="shared" ca="1" si="4"/>
        <v>3135.6889700640677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7878.2724024570489</v>
      </c>
      <c r="D46" s="660">
        <f t="shared" ref="D46:Q46" ca="1" si="5">SUM(D39:D45)</f>
        <v>37.429411764705904</v>
      </c>
      <c r="E46" s="660">
        <f t="shared" ca="1" si="5"/>
        <v>22258.213733290177</v>
      </c>
      <c r="F46" s="660">
        <f t="shared" si="5"/>
        <v>370.94419263802456</v>
      </c>
      <c r="G46" s="660">
        <f t="shared" ca="1" si="5"/>
        <v>9304.1400632641398</v>
      </c>
      <c r="H46" s="660">
        <f t="shared" si="5"/>
        <v>0</v>
      </c>
      <c r="I46" s="660">
        <f t="shared" si="5"/>
        <v>0</v>
      </c>
      <c r="J46" s="660">
        <f t="shared" si="5"/>
        <v>0</v>
      </c>
      <c r="K46" s="660">
        <f t="shared" si="5"/>
        <v>58.701599625928452</v>
      </c>
      <c r="L46" s="660">
        <f t="shared" si="5"/>
        <v>0</v>
      </c>
      <c r="M46" s="660">
        <f t="shared" ca="1" si="5"/>
        <v>0</v>
      </c>
      <c r="N46" s="660">
        <f t="shared" si="5"/>
        <v>0</v>
      </c>
      <c r="O46" s="660">
        <f t="shared" ca="1" si="5"/>
        <v>0</v>
      </c>
      <c r="P46" s="660">
        <f t="shared" si="5"/>
        <v>0</v>
      </c>
      <c r="Q46" s="660">
        <f t="shared" si="5"/>
        <v>0</v>
      </c>
      <c r="R46" s="660">
        <f ca="1">SUM(R39:R45)</f>
        <v>39907.701403040024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2.8439006531474429</v>
      </c>
      <c r="D49" s="931">
        <f ca="1">transport!C58</f>
        <v>0</v>
      </c>
      <c r="E49" s="931">
        <f>transport!D58</f>
        <v>0</v>
      </c>
      <c r="F49" s="931">
        <f>transport!E58</f>
        <v>0</v>
      </c>
      <c r="G49" s="931">
        <f>transport!F58</f>
        <v>0</v>
      </c>
      <c r="H49" s="931">
        <f>transport!G58</f>
        <v>480.81566839974892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483.65956905289636</v>
      </c>
    </row>
    <row r="50" spans="1:18">
      <c r="A50" s="752" t="s">
        <v>295</v>
      </c>
      <c r="B50" s="762"/>
      <c r="C50" s="631">
        <f ca="1">transport!B18</f>
        <v>15.761836460201105</v>
      </c>
      <c r="D50" s="631">
        <f>transport!C18</f>
        <v>0</v>
      </c>
      <c r="E50" s="631">
        <f>transport!D18</f>
        <v>35.490710556522984</v>
      </c>
      <c r="F50" s="631">
        <f>transport!E18</f>
        <v>74.547603100143064</v>
      </c>
      <c r="G50" s="631">
        <f>transport!F18</f>
        <v>0</v>
      </c>
      <c r="H50" s="631">
        <f>transport!G18</f>
        <v>45184.450543415325</v>
      </c>
      <c r="I50" s="631">
        <f>transport!H18</f>
        <v>7657.7608104633437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52968.011503995542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18.605737113348546</v>
      </c>
      <c r="D52" s="660">
        <f t="shared" ref="D52:Q52" ca="1" si="6">SUM(D48:D51)</f>
        <v>0</v>
      </c>
      <c r="E52" s="660">
        <f t="shared" si="6"/>
        <v>35.490710556522984</v>
      </c>
      <c r="F52" s="660">
        <f t="shared" si="6"/>
        <v>74.547603100143064</v>
      </c>
      <c r="G52" s="660">
        <f t="shared" si="6"/>
        <v>0</v>
      </c>
      <c r="H52" s="660">
        <f t="shared" si="6"/>
        <v>45665.266211815077</v>
      </c>
      <c r="I52" s="660">
        <f t="shared" si="6"/>
        <v>7657.7608104633437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53451.671073048441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817.0146338714311</v>
      </c>
      <c r="D54" s="631">
        <f ca="1">+landbouw!C12</f>
        <v>10266.352941176476</v>
      </c>
      <c r="E54" s="631">
        <f>+landbouw!D12</f>
        <v>0</v>
      </c>
      <c r="F54" s="631">
        <f>+landbouw!E12</f>
        <v>40.571065117038962</v>
      </c>
      <c r="G54" s="631">
        <f>+landbouw!F12</f>
        <v>5424.6861752259892</v>
      </c>
      <c r="H54" s="631">
        <f>+landbouw!G12</f>
        <v>0</v>
      </c>
      <c r="I54" s="631">
        <f>+landbouw!H12</f>
        <v>0</v>
      </c>
      <c r="J54" s="631">
        <f>+landbouw!I12</f>
        <v>0</v>
      </c>
      <c r="K54" s="631">
        <f>+landbouw!J12</f>
        <v>512.71237054127459</v>
      </c>
      <c r="L54" s="631">
        <f>+landbouw!K12</f>
        <v>0</v>
      </c>
      <c r="M54" s="631">
        <f>+landbouw!L12</f>
        <v>0</v>
      </c>
      <c r="N54" s="631">
        <f>+landbouw!M12</f>
        <v>0</v>
      </c>
      <c r="O54" s="631">
        <f>+landbouw!N12</f>
        <v>0</v>
      </c>
      <c r="P54" s="631">
        <f>+landbouw!O12</f>
        <v>0</v>
      </c>
      <c r="Q54" s="632">
        <f>+landbouw!P12</f>
        <v>0</v>
      </c>
      <c r="R54" s="659">
        <f ca="1">SUM(C54:Q54)</f>
        <v>17061.337185932211</v>
      </c>
    </row>
    <row r="55" spans="1:18" ht="15" thickBot="1">
      <c r="A55" s="752" t="s">
        <v>775</v>
      </c>
      <c r="B55" s="762"/>
      <c r="C55" s="631">
        <f ca="1">C25*'EF ele_warmte'!B12</f>
        <v>246.51321689160446</v>
      </c>
      <c r="D55" s="631"/>
      <c r="E55" s="631">
        <f>E25*EF_CO2_aardgas</f>
        <v>398.41501737400085</v>
      </c>
      <c r="F55" s="631"/>
      <c r="G55" s="631"/>
      <c r="H55" s="631"/>
      <c r="I55" s="631"/>
      <c r="J55" s="631"/>
      <c r="K55" s="631"/>
      <c r="L55" s="631"/>
      <c r="M55" s="631"/>
      <c r="N55" s="631"/>
      <c r="O55" s="631"/>
      <c r="P55" s="631"/>
      <c r="Q55" s="632"/>
      <c r="R55" s="659">
        <f ca="1">SUM(C55:Q55)</f>
        <v>644.92823426560528</v>
      </c>
    </row>
    <row r="56" spans="1:18" ht="15.75" thickBot="1">
      <c r="A56" s="750" t="s">
        <v>776</v>
      </c>
      <c r="B56" s="763"/>
      <c r="C56" s="660">
        <f ca="1">SUM(C54:C55)</f>
        <v>1063.5278507630355</v>
      </c>
      <c r="D56" s="660">
        <f t="shared" ref="D56:Q56" ca="1" si="7">SUM(D54:D55)</f>
        <v>10266.352941176476</v>
      </c>
      <c r="E56" s="660">
        <f t="shared" si="7"/>
        <v>398.41501737400085</v>
      </c>
      <c r="F56" s="660">
        <f t="shared" si="7"/>
        <v>40.571065117038962</v>
      </c>
      <c r="G56" s="660">
        <f t="shared" si="7"/>
        <v>5424.6861752259892</v>
      </c>
      <c r="H56" s="660">
        <f t="shared" si="7"/>
        <v>0</v>
      </c>
      <c r="I56" s="660">
        <f t="shared" si="7"/>
        <v>0</v>
      </c>
      <c r="J56" s="660">
        <f t="shared" si="7"/>
        <v>0</v>
      </c>
      <c r="K56" s="660">
        <f t="shared" si="7"/>
        <v>512.71237054127459</v>
      </c>
      <c r="L56" s="660">
        <f t="shared" si="7"/>
        <v>0</v>
      </c>
      <c r="M56" s="660">
        <f t="shared" si="7"/>
        <v>0</v>
      </c>
      <c r="N56" s="660">
        <f t="shared" si="7"/>
        <v>0</v>
      </c>
      <c r="O56" s="660">
        <f t="shared" si="7"/>
        <v>0</v>
      </c>
      <c r="P56" s="660">
        <f t="shared" si="7"/>
        <v>0</v>
      </c>
      <c r="Q56" s="661">
        <f t="shared" si="7"/>
        <v>0</v>
      </c>
      <c r="R56" s="662">
        <f ca="1">SUM(R54:R55)</f>
        <v>17706.265420197815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8960.4059903334328</v>
      </c>
      <c r="D61" s="668">
        <f t="shared" ref="D61:Q61" ca="1" si="8">D46+D52+D56</f>
        <v>10303.782352941182</v>
      </c>
      <c r="E61" s="668">
        <f t="shared" ca="1" si="8"/>
        <v>22692.1194612207</v>
      </c>
      <c r="F61" s="668">
        <f t="shared" si="8"/>
        <v>486.06286085520662</v>
      </c>
      <c r="G61" s="668">
        <f t="shared" ca="1" si="8"/>
        <v>14728.826238490128</v>
      </c>
      <c r="H61" s="668">
        <f t="shared" si="8"/>
        <v>45665.266211815077</v>
      </c>
      <c r="I61" s="668">
        <f t="shared" si="8"/>
        <v>7657.7608104633437</v>
      </c>
      <c r="J61" s="668">
        <f t="shared" si="8"/>
        <v>0</v>
      </c>
      <c r="K61" s="668">
        <f t="shared" si="8"/>
        <v>571.41397016720305</v>
      </c>
      <c r="L61" s="668">
        <f t="shared" si="8"/>
        <v>0</v>
      </c>
      <c r="M61" s="668">
        <f t="shared" ca="1" si="8"/>
        <v>0</v>
      </c>
      <c r="N61" s="668">
        <f t="shared" si="8"/>
        <v>0</v>
      </c>
      <c r="O61" s="668">
        <f t="shared" ca="1" si="8"/>
        <v>0</v>
      </c>
      <c r="P61" s="668">
        <f t="shared" si="8"/>
        <v>0</v>
      </c>
      <c r="Q61" s="668">
        <f t="shared" si="8"/>
        <v>0</v>
      </c>
      <c r="R61" s="668">
        <f ca="1">R46+R52+R56</f>
        <v>111065.63789628628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0.14835356162386037</v>
      </c>
      <c r="D63" s="709">
        <f t="shared" ca="1" si="9"/>
        <v>0.23764705882352954</v>
      </c>
      <c r="E63" s="942">
        <f t="shared" ca="1" si="9"/>
        <v>0.20200000000000001</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14124.074627087984</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8016.2613343310777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30350.25</v>
      </c>
      <c r="D76" s="952">
        <f>'lokale energieproductie'!C8</f>
        <v>35706.176470588238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7212.6476470588241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22140.335961419063</v>
      </c>
      <c r="C78" s="683">
        <f>SUM(C72:C77)</f>
        <v>30350.25</v>
      </c>
      <c r="D78" s="684">
        <f t="shared" ref="D78:H78" si="10">SUM(D76:D77)</f>
        <v>35706.176470588238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7212.6476470588241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43357.500000000007</v>
      </c>
      <c r="D87" s="705">
        <f>'lokale energieproductie'!C17</f>
        <v>51008.823529411784</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10303.782352941182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43357.500000000007</v>
      </c>
      <c r="D90" s="683">
        <f t="shared" ref="D90:H90" si="12">SUM(D87:D89)</f>
        <v>51008.823529411784</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10303.782352941182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33496.206420714327</v>
      </c>
      <c r="C4" s="441">
        <f>huishoudens!C8</f>
        <v>0</v>
      </c>
      <c r="D4" s="441">
        <f>huishoudens!D8</f>
        <v>82584.228864205274</v>
      </c>
      <c r="E4" s="441">
        <f>huishoudens!E8</f>
        <v>1337.6119971543262</v>
      </c>
      <c r="F4" s="441">
        <f>huishoudens!F8</f>
        <v>31004.805410233199</v>
      </c>
      <c r="G4" s="441">
        <f>huishoudens!G8</f>
        <v>0</v>
      </c>
      <c r="H4" s="441">
        <f>huishoudens!H8</f>
        <v>0</v>
      </c>
      <c r="I4" s="441">
        <f>huishoudens!I8</f>
        <v>0</v>
      </c>
      <c r="J4" s="441">
        <f>huishoudens!J8</f>
        <v>159.33738893862414</v>
      </c>
      <c r="K4" s="441">
        <f>huishoudens!K8</f>
        <v>0</v>
      </c>
      <c r="L4" s="441">
        <f>huishoudens!L8</f>
        <v>0</v>
      </c>
      <c r="M4" s="441">
        <f>huishoudens!M8</f>
        <v>0</v>
      </c>
      <c r="N4" s="441">
        <f>huishoudens!N8</f>
        <v>10245.908753879774</v>
      </c>
      <c r="O4" s="441">
        <f>huishoudens!O8</f>
        <v>267.33000000000004</v>
      </c>
      <c r="P4" s="442">
        <f>huishoudens!P8</f>
        <v>1449.0666666666666</v>
      </c>
      <c r="Q4" s="443">
        <f>SUM(B4:P4)</f>
        <v>160544.49550179217</v>
      </c>
    </row>
    <row r="5" spans="1:17">
      <c r="A5" s="440" t="s">
        <v>149</v>
      </c>
      <c r="B5" s="441">
        <f ca="1">tertiair!B16</f>
        <v>12051.279314628699</v>
      </c>
      <c r="C5" s="441">
        <f ca="1">tertiair!C16</f>
        <v>157.5</v>
      </c>
      <c r="D5" s="441">
        <f ca="1">tertiair!D16</f>
        <v>19561.594208734568</v>
      </c>
      <c r="E5" s="441">
        <f>tertiair!E16</f>
        <v>177.53477511130257</v>
      </c>
      <c r="F5" s="441">
        <f ca="1">tertiair!F16</f>
        <v>1871.9193631303262</v>
      </c>
      <c r="G5" s="441">
        <f>tertiair!G16</f>
        <v>0</v>
      </c>
      <c r="H5" s="441">
        <f>tertiair!H16</f>
        <v>0</v>
      </c>
      <c r="I5" s="441">
        <f>tertiair!I16</f>
        <v>0</v>
      </c>
      <c r="J5" s="441">
        <f>tertiair!J16</f>
        <v>1.1515536146412795E-2</v>
      </c>
      <c r="K5" s="441">
        <f>tertiair!K16</f>
        <v>0</v>
      </c>
      <c r="L5" s="441">
        <f ca="1">tertiair!L16</f>
        <v>0</v>
      </c>
      <c r="M5" s="441">
        <f>tertiair!M16</f>
        <v>0</v>
      </c>
      <c r="N5" s="441">
        <f ca="1">tertiair!N16</f>
        <v>476.72868453013314</v>
      </c>
      <c r="O5" s="441">
        <f>tertiair!O16</f>
        <v>1.5633333333333335</v>
      </c>
      <c r="P5" s="442">
        <f>tertiair!P16</f>
        <v>0</v>
      </c>
      <c r="Q5" s="440">
        <f t="shared" ref="Q5:Q14" ca="1" si="0">SUM(B5:P5)</f>
        <v>34298.131195004513</v>
      </c>
    </row>
    <row r="6" spans="1:17">
      <c r="A6" s="440" t="s">
        <v>187</v>
      </c>
      <c r="B6" s="441">
        <f>'openbare verlichting'!B8</f>
        <v>1115.9939999999999</v>
      </c>
      <c r="C6" s="441"/>
      <c r="D6" s="441"/>
      <c r="E6" s="441"/>
      <c r="F6" s="441"/>
      <c r="G6" s="441"/>
      <c r="H6" s="441"/>
      <c r="I6" s="441"/>
      <c r="J6" s="441"/>
      <c r="K6" s="441"/>
      <c r="L6" s="441"/>
      <c r="M6" s="441"/>
      <c r="N6" s="441"/>
      <c r="O6" s="441"/>
      <c r="P6" s="442"/>
      <c r="Q6" s="440">
        <f t="shared" si="0"/>
        <v>1115.9939999999999</v>
      </c>
    </row>
    <row r="7" spans="1:17">
      <c r="A7" s="440" t="s">
        <v>105</v>
      </c>
      <c r="B7" s="441">
        <f>landbouw!B8</f>
        <v>5507.212802500233</v>
      </c>
      <c r="C7" s="441">
        <f>landbouw!C8</f>
        <v>43200</v>
      </c>
      <c r="D7" s="441">
        <f>landbouw!D8</f>
        <v>0</v>
      </c>
      <c r="E7" s="441">
        <f>landbouw!E8</f>
        <v>178.72715910589852</v>
      </c>
      <c r="F7" s="441">
        <f>landbouw!F8</f>
        <v>20317.176686239658</v>
      </c>
      <c r="G7" s="441">
        <f>landbouw!G8</f>
        <v>0</v>
      </c>
      <c r="H7" s="441">
        <f>landbouw!H8</f>
        <v>0</v>
      </c>
      <c r="I7" s="441">
        <f>landbouw!I8</f>
        <v>0</v>
      </c>
      <c r="J7" s="441">
        <f>landbouw!J8</f>
        <v>1448.3400297776118</v>
      </c>
      <c r="K7" s="441">
        <f>landbouw!K8</f>
        <v>0</v>
      </c>
      <c r="L7" s="441">
        <f>landbouw!L8</f>
        <v>0</v>
      </c>
      <c r="M7" s="441">
        <f>landbouw!M8</f>
        <v>0</v>
      </c>
      <c r="N7" s="441">
        <f>landbouw!N8</f>
        <v>0</v>
      </c>
      <c r="O7" s="441">
        <f>landbouw!O8</f>
        <v>0</v>
      </c>
      <c r="P7" s="442">
        <f>landbouw!P8</f>
        <v>0</v>
      </c>
      <c r="Q7" s="440">
        <f t="shared" si="0"/>
        <v>70651.456677623399</v>
      </c>
    </row>
    <row r="8" spans="1:17">
      <c r="A8" s="440" t="s">
        <v>596</v>
      </c>
      <c r="B8" s="441">
        <f>industrie!B18</f>
        <v>6441.2271299483727</v>
      </c>
      <c r="C8" s="441">
        <f>industrie!C18</f>
        <v>0</v>
      </c>
      <c r="D8" s="441">
        <f>industrie!D18</f>
        <v>8043.3538245362688</v>
      </c>
      <c r="E8" s="441">
        <f>industrie!E18</f>
        <v>118.96861380496377</v>
      </c>
      <c r="F8" s="441">
        <f>industrie!F18</f>
        <v>1970.2417557156477</v>
      </c>
      <c r="G8" s="441">
        <f>industrie!G18</f>
        <v>0</v>
      </c>
      <c r="H8" s="441">
        <f>industrie!H18</f>
        <v>0</v>
      </c>
      <c r="I8" s="441">
        <f>industrie!I18</f>
        <v>0</v>
      </c>
      <c r="J8" s="441">
        <f>industrie!J18</f>
        <v>6.4748232820894778</v>
      </c>
      <c r="K8" s="441">
        <f>industrie!K18</f>
        <v>0</v>
      </c>
      <c r="L8" s="441">
        <f>industrie!L18</f>
        <v>0</v>
      </c>
      <c r="M8" s="441">
        <f>industrie!M18</f>
        <v>0</v>
      </c>
      <c r="N8" s="441">
        <f>industrie!N18</f>
        <v>216.88769879690713</v>
      </c>
      <c r="O8" s="441">
        <f>industrie!O18</f>
        <v>0</v>
      </c>
      <c r="P8" s="442">
        <f>industrie!P18</f>
        <v>0</v>
      </c>
      <c r="Q8" s="440">
        <f t="shared" si="0"/>
        <v>16797.153846084249</v>
      </c>
    </row>
    <row r="9" spans="1:17" s="446" customFormat="1">
      <c r="A9" s="444" t="s">
        <v>545</v>
      </c>
      <c r="B9" s="445">
        <f>transport!B14</f>
        <v>106.24508294694057</v>
      </c>
      <c r="C9" s="445">
        <f>transport!C14</f>
        <v>0</v>
      </c>
      <c r="D9" s="445">
        <f>transport!D14</f>
        <v>175.6965869134801</v>
      </c>
      <c r="E9" s="445">
        <f>transport!E14</f>
        <v>328.40353788609281</v>
      </c>
      <c r="F9" s="445">
        <f>transport!F14</f>
        <v>0</v>
      </c>
      <c r="G9" s="445">
        <f>transport!G14</f>
        <v>169230.15184799748</v>
      </c>
      <c r="H9" s="445">
        <f>transport!H14</f>
        <v>30754.059479772466</v>
      </c>
      <c r="I9" s="445">
        <f>transport!I14</f>
        <v>0</v>
      </c>
      <c r="J9" s="445">
        <f>transport!J14</f>
        <v>0</v>
      </c>
      <c r="K9" s="445">
        <f>transport!K14</f>
        <v>0</v>
      </c>
      <c r="L9" s="445">
        <f>transport!L14</f>
        <v>0</v>
      </c>
      <c r="M9" s="445">
        <f>transport!M14</f>
        <v>10792.744692341064</v>
      </c>
      <c r="N9" s="445">
        <f>transport!N14</f>
        <v>0</v>
      </c>
      <c r="O9" s="445">
        <f>transport!O14</f>
        <v>0</v>
      </c>
      <c r="P9" s="445">
        <f>transport!P14</f>
        <v>0</v>
      </c>
      <c r="Q9" s="444">
        <f>SUM(B9:P9)</f>
        <v>211387.30122785753</v>
      </c>
    </row>
    <row r="10" spans="1:17">
      <c r="A10" s="440" t="s">
        <v>535</v>
      </c>
      <c r="B10" s="441">
        <f>transport!B54</f>
        <v>19.169749765482177</v>
      </c>
      <c r="C10" s="441">
        <f>transport!C54</f>
        <v>0</v>
      </c>
      <c r="D10" s="441">
        <f>transport!D54</f>
        <v>0</v>
      </c>
      <c r="E10" s="441">
        <f>transport!E54</f>
        <v>0</v>
      </c>
      <c r="F10" s="441">
        <f>transport!F54</f>
        <v>0</v>
      </c>
      <c r="G10" s="441">
        <f>transport!G54</f>
        <v>1800.8077468155388</v>
      </c>
      <c r="H10" s="441">
        <f>transport!H54</f>
        <v>0</v>
      </c>
      <c r="I10" s="441">
        <f>transport!I54</f>
        <v>0</v>
      </c>
      <c r="J10" s="441">
        <f>transport!J54</f>
        <v>0</v>
      </c>
      <c r="K10" s="441">
        <f>transport!K54</f>
        <v>0</v>
      </c>
      <c r="L10" s="441">
        <f>transport!L54</f>
        <v>0</v>
      </c>
      <c r="M10" s="441">
        <f>transport!M54</f>
        <v>103.70311124168219</v>
      </c>
      <c r="N10" s="441">
        <f>transport!N54</f>
        <v>0</v>
      </c>
      <c r="O10" s="441">
        <f>transport!O54</f>
        <v>0</v>
      </c>
      <c r="P10" s="442">
        <f>transport!P54</f>
        <v>0</v>
      </c>
      <c r="Q10" s="440">
        <f t="shared" si="0"/>
        <v>1923.6806078227032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1661.6602540127801</v>
      </c>
      <c r="C14" s="448"/>
      <c r="D14" s="448">
        <f>'SEAP template'!E25</f>
        <v>1972.35157115842</v>
      </c>
      <c r="E14" s="448"/>
      <c r="F14" s="448"/>
      <c r="G14" s="448"/>
      <c r="H14" s="448"/>
      <c r="I14" s="448"/>
      <c r="J14" s="448"/>
      <c r="K14" s="448"/>
      <c r="L14" s="448"/>
      <c r="M14" s="448"/>
      <c r="N14" s="448"/>
      <c r="O14" s="448"/>
      <c r="P14" s="449"/>
      <c r="Q14" s="440">
        <f t="shared" si="0"/>
        <v>3634.0118251712001</v>
      </c>
    </row>
    <row r="15" spans="1:17" s="450" customFormat="1">
      <c r="A15" s="957" t="s">
        <v>539</v>
      </c>
      <c r="B15" s="905">
        <f ca="1">SUM(B4:B14)</f>
        <v>60398.994754516832</v>
      </c>
      <c r="C15" s="905">
        <f t="shared" ref="C15:Q15" ca="1" si="1">SUM(C4:C14)</f>
        <v>43357.5</v>
      </c>
      <c r="D15" s="905">
        <f t="shared" ca="1" si="1"/>
        <v>112337.22505554801</v>
      </c>
      <c r="E15" s="905">
        <f t="shared" si="1"/>
        <v>2141.2460830625837</v>
      </c>
      <c r="F15" s="905">
        <f t="shared" ca="1" si="1"/>
        <v>55164.143215318822</v>
      </c>
      <c r="G15" s="905">
        <f t="shared" si="1"/>
        <v>171030.959594813</v>
      </c>
      <c r="H15" s="905">
        <f t="shared" si="1"/>
        <v>30754.059479772466</v>
      </c>
      <c r="I15" s="905">
        <f t="shared" si="1"/>
        <v>0</v>
      </c>
      <c r="J15" s="905">
        <f t="shared" si="1"/>
        <v>1614.1637575344719</v>
      </c>
      <c r="K15" s="905">
        <f t="shared" si="1"/>
        <v>0</v>
      </c>
      <c r="L15" s="905">
        <f t="shared" ca="1" si="1"/>
        <v>0</v>
      </c>
      <c r="M15" s="905">
        <f t="shared" si="1"/>
        <v>10896.447803582747</v>
      </c>
      <c r="N15" s="905">
        <f t="shared" ca="1" si="1"/>
        <v>10939.525137206814</v>
      </c>
      <c r="O15" s="905">
        <f t="shared" si="1"/>
        <v>268.89333333333337</v>
      </c>
      <c r="P15" s="905">
        <f t="shared" si="1"/>
        <v>1449.0666666666666</v>
      </c>
      <c r="Q15" s="905">
        <f t="shared" ca="1" si="1"/>
        <v>500352.22488135577</v>
      </c>
    </row>
    <row r="17" spans="1:17">
      <c r="A17" s="451" t="s">
        <v>540</v>
      </c>
      <c r="B17" s="714">
        <f ca="1">huishoudens!B10</f>
        <v>0.14835356162386037</v>
      </c>
      <c r="C17" s="714">
        <f ca="1">huishoudens!C10</f>
        <v>0.23764705882352954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4969.2815234009904</v>
      </c>
      <c r="C22" s="441">
        <f t="shared" ref="C22:C32" ca="1" si="3">C4*$C$17</f>
        <v>0</v>
      </c>
      <c r="D22" s="441">
        <f t="shared" ref="D22:D32" si="4">D4*$D$17</f>
        <v>16682.014230569468</v>
      </c>
      <c r="E22" s="441">
        <f t="shared" ref="E22:E32" si="5">E4*$E$17</f>
        <v>303.63792335403207</v>
      </c>
      <c r="F22" s="441">
        <f t="shared" ref="F22:F32" si="6">F4*$F$17</f>
        <v>8278.2830445322652</v>
      </c>
      <c r="G22" s="441">
        <f t="shared" ref="G22:G32" si="7">G4*$G$17</f>
        <v>0</v>
      </c>
      <c r="H22" s="441">
        <f t="shared" ref="H22:H32" si="8">H4*$H$17</f>
        <v>0</v>
      </c>
      <c r="I22" s="441">
        <f t="shared" ref="I22:I32" si="9">I4*$I$17</f>
        <v>0</v>
      </c>
      <c r="J22" s="441">
        <f t="shared" ref="J22:J32" si="10">J4*$J$17</f>
        <v>56.405435684272945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30289.622157541027</v>
      </c>
    </row>
    <row r="23" spans="1:17">
      <c r="A23" s="440" t="s">
        <v>149</v>
      </c>
      <c r="B23" s="441">
        <f t="shared" ca="1" si="2"/>
        <v>1787.8502084491224</v>
      </c>
      <c r="C23" s="441">
        <f t="shared" ca="1" si="3"/>
        <v>37.429411764705904</v>
      </c>
      <c r="D23" s="441">
        <f t="shared" ca="1" si="4"/>
        <v>3951.4420301643831</v>
      </c>
      <c r="E23" s="441">
        <f t="shared" si="5"/>
        <v>40.300393950265686</v>
      </c>
      <c r="F23" s="441">
        <f t="shared" ca="1" si="6"/>
        <v>499.80246995579716</v>
      </c>
      <c r="G23" s="441">
        <f t="shared" si="7"/>
        <v>0</v>
      </c>
      <c r="H23" s="441">
        <f t="shared" si="8"/>
        <v>0</v>
      </c>
      <c r="I23" s="441">
        <f t="shared" si="9"/>
        <v>0</v>
      </c>
      <c r="J23" s="441">
        <f t="shared" si="10"/>
        <v>4.0764997958301291E-3</v>
      </c>
      <c r="K23" s="441">
        <f t="shared" si="11"/>
        <v>0</v>
      </c>
      <c r="L23" s="441">
        <f t="shared" ca="1" si="12"/>
        <v>0</v>
      </c>
      <c r="M23" s="441">
        <f t="shared" si="13"/>
        <v>0</v>
      </c>
      <c r="N23" s="441">
        <f t="shared" ca="1" si="14"/>
        <v>0</v>
      </c>
      <c r="O23" s="441">
        <f t="shared" si="15"/>
        <v>0</v>
      </c>
      <c r="P23" s="442">
        <f t="shared" si="16"/>
        <v>0</v>
      </c>
      <c r="Q23" s="440">
        <f t="shared" ref="Q23:Q32" ca="1" si="17">SUM(B23:P23)</f>
        <v>6316.82859078407</v>
      </c>
    </row>
    <row r="24" spans="1:17">
      <c r="A24" s="440" t="s">
        <v>187</v>
      </c>
      <c r="B24" s="441">
        <f t="shared" ca="1" si="2"/>
        <v>165.56168465085841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165.56168465085841</v>
      </c>
    </row>
    <row r="25" spans="1:17">
      <c r="A25" s="440" t="s">
        <v>105</v>
      </c>
      <c r="B25" s="441">
        <f t="shared" ca="1" si="2"/>
        <v>817.0146338714311</v>
      </c>
      <c r="C25" s="441">
        <f t="shared" ca="1" si="3"/>
        <v>10266.352941176476</v>
      </c>
      <c r="D25" s="441">
        <f t="shared" si="4"/>
        <v>0</v>
      </c>
      <c r="E25" s="441">
        <f t="shared" si="5"/>
        <v>40.571065117038962</v>
      </c>
      <c r="F25" s="441">
        <f t="shared" si="6"/>
        <v>5424.6861752259892</v>
      </c>
      <c r="G25" s="441">
        <f t="shared" si="7"/>
        <v>0</v>
      </c>
      <c r="H25" s="441">
        <f t="shared" si="8"/>
        <v>0</v>
      </c>
      <c r="I25" s="441">
        <f t="shared" si="9"/>
        <v>0</v>
      </c>
      <c r="J25" s="441">
        <f t="shared" si="10"/>
        <v>512.71237054127459</v>
      </c>
      <c r="K25" s="441">
        <f t="shared" si="11"/>
        <v>0</v>
      </c>
      <c r="L25" s="441">
        <f t="shared" si="12"/>
        <v>0</v>
      </c>
      <c r="M25" s="441">
        <f t="shared" si="13"/>
        <v>0</v>
      </c>
      <c r="N25" s="441">
        <f t="shared" si="14"/>
        <v>0</v>
      </c>
      <c r="O25" s="441">
        <f t="shared" si="15"/>
        <v>0</v>
      </c>
      <c r="P25" s="442">
        <f t="shared" si="16"/>
        <v>0</v>
      </c>
      <c r="Q25" s="440">
        <f t="shared" ca="1" si="17"/>
        <v>17061.337185932211</v>
      </c>
    </row>
    <row r="26" spans="1:17">
      <c r="A26" s="440" t="s">
        <v>596</v>
      </c>
      <c r="B26" s="441">
        <f t="shared" ca="1" si="2"/>
        <v>955.57898595607719</v>
      </c>
      <c r="C26" s="441">
        <f t="shared" ca="1" si="3"/>
        <v>0</v>
      </c>
      <c r="D26" s="441">
        <f t="shared" si="4"/>
        <v>1624.7574725563263</v>
      </c>
      <c r="E26" s="441">
        <f t="shared" si="5"/>
        <v>27.005875333726777</v>
      </c>
      <c r="F26" s="441">
        <f t="shared" si="6"/>
        <v>526.05454877607792</v>
      </c>
      <c r="G26" s="441">
        <f t="shared" si="7"/>
        <v>0</v>
      </c>
      <c r="H26" s="441">
        <f t="shared" si="8"/>
        <v>0</v>
      </c>
      <c r="I26" s="441">
        <f t="shared" si="9"/>
        <v>0</v>
      </c>
      <c r="J26" s="441">
        <f t="shared" si="10"/>
        <v>2.2920874418596751</v>
      </c>
      <c r="K26" s="441">
        <f t="shared" si="11"/>
        <v>0</v>
      </c>
      <c r="L26" s="441">
        <f t="shared" si="12"/>
        <v>0</v>
      </c>
      <c r="M26" s="441">
        <f t="shared" si="13"/>
        <v>0</v>
      </c>
      <c r="N26" s="441">
        <f t="shared" si="14"/>
        <v>0</v>
      </c>
      <c r="O26" s="441">
        <f t="shared" si="15"/>
        <v>0</v>
      </c>
      <c r="P26" s="442">
        <f t="shared" si="16"/>
        <v>0</v>
      </c>
      <c r="Q26" s="440">
        <f t="shared" ca="1" si="17"/>
        <v>3135.6889700640677</v>
      </c>
    </row>
    <row r="27" spans="1:17" s="446" customFormat="1">
      <c r="A27" s="444" t="s">
        <v>545</v>
      </c>
      <c r="B27" s="708">
        <f t="shared" ca="1" si="2"/>
        <v>15.761836460201105</v>
      </c>
      <c r="C27" s="445">
        <f t="shared" ca="1" si="3"/>
        <v>0</v>
      </c>
      <c r="D27" s="445">
        <f t="shared" si="4"/>
        <v>35.490710556522984</v>
      </c>
      <c r="E27" s="445">
        <f t="shared" si="5"/>
        <v>74.547603100143064</v>
      </c>
      <c r="F27" s="445">
        <f t="shared" si="6"/>
        <v>0</v>
      </c>
      <c r="G27" s="445">
        <f t="shared" si="7"/>
        <v>45184.450543415325</v>
      </c>
      <c r="H27" s="445">
        <f t="shared" si="8"/>
        <v>7657.7608104633437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52968.011503995542</v>
      </c>
    </row>
    <row r="28" spans="1:17">
      <c r="A28" s="440" t="s">
        <v>535</v>
      </c>
      <c r="B28" s="441">
        <f t="shared" ca="1" si="2"/>
        <v>2.8439006531474429</v>
      </c>
      <c r="C28" s="441">
        <f t="shared" ca="1" si="3"/>
        <v>0</v>
      </c>
      <c r="D28" s="441">
        <f t="shared" si="4"/>
        <v>0</v>
      </c>
      <c r="E28" s="441">
        <f t="shared" si="5"/>
        <v>0</v>
      </c>
      <c r="F28" s="441">
        <f t="shared" si="6"/>
        <v>0</v>
      </c>
      <c r="G28" s="441">
        <f t="shared" si="7"/>
        <v>480.81566839974892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483.65956905289636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246.51321689160446</v>
      </c>
      <c r="C32" s="441">
        <f t="shared" ca="1" si="3"/>
        <v>0</v>
      </c>
      <c r="D32" s="441">
        <f t="shared" si="4"/>
        <v>398.41501737400085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644.92823426560528</v>
      </c>
    </row>
    <row r="33" spans="1:17" s="450" customFormat="1">
      <c r="A33" s="957" t="s">
        <v>539</v>
      </c>
      <c r="B33" s="905">
        <f ca="1">SUM(B22:B32)</f>
        <v>8960.4059903334328</v>
      </c>
      <c r="C33" s="905">
        <f t="shared" ref="C33:Q33" ca="1" si="18">SUM(C22:C32)</f>
        <v>10303.782352941182</v>
      </c>
      <c r="D33" s="905">
        <f t="shared" ca="1" si="18"/>
        <v>22692.1194612207</v>
      </c>
      <c r="E33" s="905">
        <f t="shared" si="18"/>
        <v>486.06286085520662</v>
      </c>
      <c r="F33" s="905">
        <f t="shared" ca="1" si="18"/>
        <v>14728.82623849013</v>
      </c>
      <c r="G33" s="905">
        <f t="shared" si="18"/>
        <v>45665.266211815077</v>
      </c>
      <c r="H33" s="905">
        <f t="shared" si="18"/>
        <v>7657.7608104633437</v>
      </c>
      <c r="I33" s="905">
        <f t="shared" si="18"/>
        <v>0</v>
      </c>
      <c r="J33" s="905">
        <f t="shared" si="18"/>
        <v>571.41397016720293</v>
      </c>
      <c r="K33" s="905">
        <f t="shared" si="18"/>
        <v>0</v>
      </c>
      <c r="L33" s="905">
        <f t="shared" ca="1" si="18"/>
        <v>0</v>
      </c>
      <c r="M33" s="905">
        <f t="shared" si="18"/>
        <v>0</v>
      </c>
      <c r="N33" s="905">
        <f t="shared" ca="1" si="18"/>
        <v>0</v>
      </c>
      <c r="O33" s="905">
        <f t="shared" si="18"/>
        <v>0</v>
      </c>
      <c r="P33" s="905">
        <f t="shared" si="18"/>
        <v>0</v>
      </c>
      <c r="Q33" s="905">
        <f t="shared" ca="1" si="18"/>
        <v>111065.63789628628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14124.074627087984</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8016.2613343310777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30350.25</v>
      </c>
      <c r="D8" s="974">
        <f>'SEAP template'!D76</f>
        <v>35706.176470588238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7212.6476470588241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22140.335961419063</v>
      </c>
      <c r="C10" s="978">
        <f>SUM(C4:C9)</f>
        <v>30350.25</v>
      </c>
      <c r="D10" s="978">
        <f t="shared" ref="D10:H10" si="0">SUM(D8:D9)</f>
        <v>35706.176470588238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7212.6476470588241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0.14835356162386037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43357.500000000007</v>
      </c>
      <c r="D17" s="975">
        <f>'SEAP template'!D87</f>
        <v>51008.823529411784</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10303.782352941182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43357.500000000007</v>
      </c>
      <c r="D20" s="978">
        <f t="shared" ref="D20:H20" si="2">SUM(D17:D19)</f>
        <v>51008.823529411784</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10303.782352941182</v>
      </c>
    </row>
    <row r="22" spans="1:16">
      <c r="A22" s="451" t="s">
        <v>800</v>
      </c>
      <c r="B22" s="714" t="s">
        <v>794</v>
      </c>
      <c r="C22" s="714">
        <f ca="1">'EF ele_warmte'!B22</f>
        <v>0.23764705882352954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0.14835356162386037</v>
      </c>
      <c r="C17" s="488">
        <f ca="1">'EF ele_warmte'!B22</f>
        <v>0.23764705882352954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2022-07-26T10:50:32Z</dcterms:modified>
</cp:coreProperties>
</file>