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AC373DD-2F29-4CB3-9A3B-ED5DBB160CB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Q39" i="18"/>
  <c r="R39" i="18"/>
  <c r="J9" i="18"/>
  <c r="J77" i="14"/>
  <c r="J9" i="61"/>
  <c r="U39" i="18"/>
  <c r="T39" i="18"/>
  <c r="I9" i="18"/>
  <c r="S39" i="18"/>
  <c r="E9" i="18"/>
  <c r="P39" i="18"/>
  <c r="C9" i="18"/>
  <c r="O39" i="18"/>
  <c r="N39" i="18"/>
  <c r="B9" i="18"/>
  <c r="M39" i="18"/>
  <c r="W35" i="18"/>
  <c r="V35" i="18"/>
  <c r="U35" i="18"/>
  <c r="T35" i="18"/>
  <c r="S35" i="18"/>
  <c r="R35" i="18"/>
  <c r="Q35" i="18"/>
  <c r="P35" i="18"/>
  <c r="O35" i="18"/>
  <c r="N35" i="18"/>
  <c r="M35" i="18"/>
  <c r="W34" i="18"/>
  <c r="V34" i="18"/>
  <c r="U34" i="18"/>
  <c r="T34" i="18"/>
  <c r="S34" i="18"/>
  <c r="F13" i="15"/>
  <c r="R34" i="18"/>
  <c r="Q34" i="18"/>
  <c r="P34" i="18"/>
  <c r="D13" i="15"/>
  <c r="O34" i="18"/>
  <c r="C13" i="15"/>
  <c r="N34" i="18"/>
  <c r="M34" i="18"/>
  <c r="W33" i="18"/>
  <c r="V33" i="18"/>
  <c r="U33" i="18"/>
  <c r="T33" i="18"/>
  <c r="S33" i="18"/>
  <c r="R33" i="18"/>
  <c r="Q33" i="18"/>
  <c r="P33" i="18"/>
  <c r="O33" i="18"/>
  <c r="N33" i="18"/>
  <c r="M33" i="18"/>
  <c r="W32" i="18"/>
  <c r="V32" i="18"/>
  <c r="U32" i="18"/>
  <c r="T32" i="18"/>
  <c r="S32" i="18"/>
  <c r="R32" i="18"/>
  <c r="Q32" i="18"/>
  <c r="P32" i="18"/>
  <c r="O32" i="18"/>
  <c r="N32" i="18"/>
  <c r="B48" i="18"/>
  <c r="M32"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8"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1" i="18"/>
  <c r="H8" i="18"/>
  <c r="E51" i="18"/>
  <c r="E8" i="18"/>
  <c r="G51" i="18"/>
  <c r="F51" i="18"/>
  <c r="H51" i="18"/>
  <c r="D51" i="18"/>
  <c r="C51" i="18"/>
  <c r="B51" i="18"/>
  <c r="C8" i="18"/>
  <c r="I52" i="18"/>
  <c r="H17" i="18"/>
  <c r="E52" i="18"/>
  <c r="E17" i="18"/>
  <c r="C52" i="18"/>
  <c r="B52" i="18"/>
  <c r="C17" i="18"/>
  <c r="H52" i="18"/>
  <c r="D52" i="18"/>
  <c r="G52" i="18"/>
  <c r="F52"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<sst xmlns="http://schemas.openxmlformats.org/spreadsheetml/2006/main" count="2417" uniqueCount="883">
  <si>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</si>
  <si>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</si>
  <si>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</si>
  <si>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</si>
  <si>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</si>
  <si>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</si>
  <si>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</si>
  <si>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</si>
  <si>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</si>
  <si>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</si>
  <si>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</si>
  <si>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</si>
  <si>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</si>
  <si>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</si>
  <si>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</si>
  <si>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</si>
  <si>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</si>
  <si>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</si>
  <si>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</si>
  <si>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</si>
  <si>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</si>
  <si>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</si>
  <si>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</si>
  <si>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</si>
  <si>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</si>
  <si>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</si>
  <si>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</si>
  <si>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</si>
  <si>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</si>
  <si>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</si>
  <si>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</si>
  <si>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</si>
  <si>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</si>
  <si>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</si>
  <si>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</si>
  <si>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</si>
  <si>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</si>
  <si>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</si>
  <si>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</si>
  <si>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</si>
  <si>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</si>
  <si>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</si>
  <si>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</si>
  <si>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</si>
  <si>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</si>
  <si>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</si>
  <si>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</si>
  <si>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</si>
  <si>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</si>
  <si>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</si>
  <si>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</si>
  <si>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</si>
  <si>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</si>
  <si>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</si>
  <si>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</si>
  <si>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</si>
  <si>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</si>
  <si>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</si>
  <si>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</si>
  <si>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</si>
  <si>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</si>
  <si>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</si>
  <si>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</si>
  <si>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</si>
  <si>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</si>
  <si>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</si>
  <si>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</si>
  <si>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</si>
  <si>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</si>
  <si>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</si>
  <si>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</si>
  <si>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</si>
  <si>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</si>
  <si>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</si>
  <si>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</si>
  <si>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</si>
  <si>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</si>
  <si>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</si>
  <si>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</si>
  <si>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</si>
  <si>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</si>
  <si>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</si>
  <si>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</si>
  <si>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</si>
  <si>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</si>
  <si>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</si>
  <si>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</si>
  <si>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</si>
  <si>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</si>
  <si>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</si>
  <si>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</si>
  <si>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</si>
  <si>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</si>
  <si>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</si>
  <si>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</si>
  <si>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</si>
  <si>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</si>
  <si>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</si>
  <si>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</si>
  <si>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</si>
  <si>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</si>
  <si>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</si>
  <si>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</si>
  <si>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</si>
  <si>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</si>
  <si>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</si>
  <si>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</si>
  <si>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</si>
  <si>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</si>
  <si>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</si>
  <si>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</si>
  <si>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</si>
  <si>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</si>
  <si>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</si>
  <si>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</si>
  <si>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</si>
  <si>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</si>
  <si>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</si>
  <si>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</si>
  <si>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</si>
  <si>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</si>
  <si>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</si>
  <si>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</si>
  <si>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</si>
  <si>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</si>
  <si>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</si>
  <si>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</si>
  <si>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</si>
  <si>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</si>
  <si>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</si>
  <si>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</si>
  <si>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</si>
  <si>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</si>
  <si>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</si>
  <si>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</si>
  <si>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</si>
  <si>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</si>
  <si>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</si>
  <si>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</si>
  <si>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</si>
  <si>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</si>
  <si>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</si>
  <si>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</si>
  <si>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</si>
  <si>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</si>
  <si>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</si>
  <si>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</si>
  <si>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</si>
  <si>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</si>
  <si>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</si>
  <si>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</si>
  <si>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</si>
  <si>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</si>
  <si>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</si>
  <si>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</si>
  <si>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</si>
  <si>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</si>
  <si>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</si>
  <si>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</si>
  <si>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</si>
  <si>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</si>
  <si>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</si>
  <si>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</si>
  <si>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</si>
  <si>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</si>
  <si>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</si>
  <si>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</si>
  <si>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</si>
  <si>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</si>
  <si>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</si>
  <si>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</si>
  <si>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</si>
  <si>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</si>
  <si>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</si>
  <si>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</si>
  <si>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</si>
  <si>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</si>
  <si>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</si>
  <si>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</si>
  <si>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</si>
  <si>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</si>
  <si>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</si>
  <si>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</si>
  <si>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</si>
  <si>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</si>
  <si>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</si>
  <si>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</si>
  <si>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</si>
  <si>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</si>
  <si>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</si>
  <si>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</si>
  <si>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</si>
  <si>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</si>
  <si>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</si>
  <si>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</si>
  <si>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</si>
  <si>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</si>
  <si>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</si>
  <si>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</si>
  <si>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</si>
  <si>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</si>
  <si>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</si>
  <si>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</si>
  <si>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</si>
  <si>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</si>
  <si>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</si>
  <si>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</si>
  <si>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</si>
  <si>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</si>
  <si>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</si>
  <si>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</si>
  <si>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</si>
  <si>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</si>
  <si>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</si>
  <si>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</si>
  <si>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</si>
  <si>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</si>
  <si>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</si>
  <si>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</si>
  <si>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</si>
  <si>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</si>
  <si>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</si>
  <si>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</si>
  <si>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</si>
  <si>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</si>
  <si>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</si>
  <si>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</si>
  <si>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</si>
  <si>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</si>
  <si>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</si>
  <si>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</si>
  <si>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</si>
  <si>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</si>
  <si>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</si>
  <si>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</si>
  <si>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</si>
  <si>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</si>
  <si>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</si>
  <si>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</si>
  <si>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</si>
  <si>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</si>
  <si>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</si>
  <si>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</si>
  <si>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</si>
  <si>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</si>
  <si>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</si>
  <si>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</si>
  <si>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</si>
  <si>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</si>
  <si>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</si>
  <si>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</si>
  <si>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</si>
  <si>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</si>
  <si>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</si>
  <si>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</si>
  <si>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</si>
  <si>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</si>
  <si>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</si>
  <si>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</si>
  <si>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</si>
  <si>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</si>
  <si>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</si>
  <si>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</si>
  <si>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</si>
  <si>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</si>
  <si>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</si>
  <si>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</si>
  <si>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</si>
  <si>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</si>
  <si>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</si>
  <si>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</si>
  <si>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</si>
  <si>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</si>
  <si>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</si>
  <si>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</si>
  <si>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</si>
  <si>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</si>
  <si>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</si>
  <si>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</si>
  <si>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</si>
  <si>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</si>
  <si>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</si>
  <si>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</si>
  <si>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</si>
  <si>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</si>
  <si>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</si>
  <si>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</si>
  <si>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</si>
  <si>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</si>
  <si>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</si>
  <si>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</si>
  <si>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</si>
  <si>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</si>
  <si>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</si>
  <si>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</si>
  <si>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</si>
  <si>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</si>
  <si>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</si>
  <si>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</si>
  <si>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</si>
  <si>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</si>
  <si>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</si>
  <si>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</si>
  <si>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</si>
  <si>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</si>
  <si>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</si>
  <si>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</si>
  <si>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</si>
  <si>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</si>
  <si>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</si>
  <si>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</si>
  <si>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</si>
  <si>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</si>
  <si>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</si>
  <si>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</si>
  <si>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</si>
  <si>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</si>
  <si>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</si>
  <si>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</si>
  <si>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</si>
  <si>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</si>
  <si>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</si>
  <si>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</si>
  <si>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</si>
  <si>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</si>
  <si>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</si>
  <si>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</si>
  <si>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</si>
  <si>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</si>
  <si>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</si>
  <si>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</si>
  <si>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</si>
  <si>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</si>
  <si>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</si>
  <si>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</si>
  <si>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</si>
  <si>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</si>
  <si>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</si>
  <si>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</si>
  <si>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</si>
  <si>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</si>
  <si>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</si>
  <si>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</si>
  <si>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</si>
  <si>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</si>
  <si>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</si>
  <si>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</si>
  <si>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</si>
  <si>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</si>
  <si>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</si>
  <si>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</si>
  <si>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</si>
  <si>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</si>
  <si>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</si>
  <si>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</si>
  <si>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</si>
  <si>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</si>
  <si>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</si>
  <si>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</si>
  <si>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</si>
  <si>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</si>
  <si>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</si>
  <si>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</si>
  <si>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</si>
  <si>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</si>
  <si>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</si>
  <si>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</si>
  <si>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</si>
  <si>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</si>
  <si>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</si>
  <si>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</si>
  <si>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</si>
  <si>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</si>
  <si>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</si>
  <si>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</si>
  <si>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</si>
  <si>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</si>
  <si>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</si>
  <si>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</si>
  <si>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</si>
  <si>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</si>
  <si>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</si>
  <si>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</si>
  <si>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</si>
  <si>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</si>
  <si>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</si>
  <si>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</si>
  <si>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</si>
  <si>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</si>
  <si>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</si>
  <si>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</si>
  <si>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</si>
  <si>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</si>
  <si>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</si>
  <si>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</si>
  <si>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</si>
  <si>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</si>
  <si>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</si>
  <si>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</si>
  <si>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</si>
  <si>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</si>
  <si>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</si>
  <si>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</si>
  <si>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</si>
  <si>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</si>
  <si>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</si>
  <si>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</si>
  <si>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</si>
  <si>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</si>
  <si>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</si>
  <si>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</si>
  <si>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</si>
  <si>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</si>
  <si>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</si>
  <si>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</si>
  <si>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</si>
  <si>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</si>
  <si>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</si>
  <si>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</si>
  <si>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</si>
  <si>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</si>
  <si>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</si>
  <si>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</si>
  <si>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</si>
  <si>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</si>
  <si>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</si>
  <si>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</si>
  <si>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</si>
  <si>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</si>
  <si>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</si>
  <si>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</si>
  <si>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</si>
  <si>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</si>
  <si>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</si>
  <si>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</si>
  <si>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</si>
  <si>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</si>
  <si>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</si>
  <si>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</si>
  <si>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</si>
  <si>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</si>
  <si>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</si>
  <si>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</si>
  <si>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</si>
  <si>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</si>
  <si>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</si>
  <si>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</si>
  <si>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</si>
  <si>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</si>
  <si>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</si>
  <si>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</si>
  <si>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</si>
  <si>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</si>
  <si>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</si>
  <si>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</si>
  <si>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</si>
  <si>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</si>
  <si>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</si>
  <si>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</si>
  <si>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</si>
  <si>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</si>
  <si>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</si>
  <si>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</si>
  <si>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</si>
  <si>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</si>
  <si>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</si>
  <si>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</si>
  <si>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</si>
  <si>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</si>
  <si>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</si>
  <si>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</si>
  <si>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</si>
  <si>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</si>
  <si>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</si>
  <si>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</si>
  <si>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</si>
  <si>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</si>
  <si>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</si>
  <si>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</si>
  <si>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</si>
  <si>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</si>
  <si>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</si>
  <si>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</si>
  <si>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</si>
  <si>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</si>
  <si>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</si>
  <si>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</si>
  <si>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</si>
  <si>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</si>
  <si>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</si>
  <si>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</si>
  <si>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</si>
  <si>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</si>
  <si>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</si>
  <si>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</si>
  <si>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</si>
  <si>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</si>
  <si>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</si>
  <si>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</si>
  <si>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</si>
  <si>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</si>
  <si>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</si>
  <si>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</si>
  <si>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</si>
  <si>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</si>
  <si>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</si>
  <si>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</si>
  <si>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</si>
  <si>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</si>
  <si>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</si>
  <si>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</si>
  <si>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</si>
  <si>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</si>
  <si>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</si>
  <si>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</si>
  <si>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</si>
  <si>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</si>
  <si>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</si>
  <si>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</si>
  <si>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</si>
  <si>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</si>
  <si>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</si>
  <si>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</si>
  <si>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</si>
  <si>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</si>
  <si>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</si>
  <si>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</si>
  <si>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</si>
  <si>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</si>
  <si>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</si>
  <si>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</si>
  <si>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</si>
  <si>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</si>
  <si>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</si>
  <si>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</si>
  <si>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</si>
  <si>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</si>
  <si>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</si>
  <si>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</si>
  <si>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</si>
  <si>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</si>
  <si>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</si>
  <si>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</si>
  <si>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</si>
  <si>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</si>
  <si>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</si>
  <si>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</si>
  <si>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</si>
  <si>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</si>
  <si>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</si>
  <si>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</si>
  <si>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</si>
  <si>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</si>
  <si>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</si>
  <si>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</si>
  <si>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</si>
  <si>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</si>
  <si>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</si>
  <si>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</si>
  <si>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</si>
  <si>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</si>
  <si>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</si>
  <si>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</si>
  <si>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</si>
  <si>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</si>
  <si>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</si>
  <si>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</si>
  <si>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</si>
  <si>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</si>
  <si>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</si>
  <si>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</si>
  <si>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</si>
  <si>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</si>
  <si>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</si>
  <si>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</si>
  <si>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</si>
  <si>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</si>
  <si>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</si>
  <si>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</si>
  <si>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</si>
  <si>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</si>
  <si>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</si>
  <si>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</si>
  <si>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</si>
  <si>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</si>
  <si>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</si>
  <si>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</si>
  <si>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</si>
  <si>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</si>
  <si>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</si>
  <si>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</si>
  <si>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</si>
  <si>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</si>
  <si>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</si>
  <si>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</si>
  <si>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</si>
  <si>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</si>
  <si>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</si>
  <si>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</si>
  <si>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</si>
  <si>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</si>
  <si>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</si>
  <si>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</si>
  <si>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</si>
  <si>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</si>
  <si>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</si>
  <si>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</si>
  <si>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</si>
  <si>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</si>
  <si>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</si>
  <si>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</si>
  <si>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</si>
  <si>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</si>
  <si>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</si>
  <si>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</si>
  <si>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</si>
  <si>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</si>
  <si>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</si>
  <si>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</si>
  <si>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</si>
  <si>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</si>
  <si>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</si>
  <si>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</si>
  <si>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</si>
  <si>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</si>
  <si>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</si>
  <si>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</si>
  <si>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</si>
  <si>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</si>
  <si>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</si>
  <si>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</si>
  <si>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</si>
  <si>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</si>
  <si>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</si>
  <si>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</si>
  <si>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</si>
  <si>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</si>
  <si>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</si>
  <si>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</si>
  <si>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</si>
  <si>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</si>
  <si>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</si>
  <si>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</si>
  <si>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</si>
  <si>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</si>
  <si>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</si>
  <si>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</si>
  <si>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</si>
  <si>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</si>
  <si>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</si>
  <si>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</si>
  <si>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</si>
  <si>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</si>
  <si>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</si>
  <si>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</si>
  <si>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</si>
  <si>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</si>
  <si>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</si>
  <si>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</si>
  <si>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</si>
  <si>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</si>
  <si>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</si>
  <si>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</si>
  <si>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</si>
  <si>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</si>
  <si>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</si>
  <si>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</si>
  <si>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</si>
  <si>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</si>
  <si>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</si>
  <si>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</si>
  <si>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</si>
  <si>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</si>
  <si>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</si>
  <si>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</si>
  <si>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</si>
  <si>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</si>
  <si>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</si>
  <si>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</si>
  <si>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</si>
  <si>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</si>
  <si>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</si>
  <si>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</si>
  <si>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</si>
  <si>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</si>
  <si>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</si>
  <si>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</si>
  <si>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</si>
  <si>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</si>
  <si>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</si>
  <si>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</si>
  <si>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</si>
  <si>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</si>
  <si>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</si>
  <si>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</si>
  <si>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</si>
  <si>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</si>
  <si>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</si>
  <si>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</si>
  <si>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</si>
  <si>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</si>
  <si>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</si>
  <si>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</si>
  <si>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</si>
  <si>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</si>
  <si>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</si>
  <si>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</si>
  <si>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</si>
  <si>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</si>
  <si>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</si>
  <si>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</si>
  <si>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</si>
  <si>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</si>
  <si>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</si>
  <si>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</si>
  <si>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</si>
  <si>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</si>
  <si>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</si>
  <si>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</si>
  <si>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</si>
  <si>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</si>
  <si>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</si>
  <si>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</si>
  <si>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</si>
  <si>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</si>
  <si>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</si>
  <si>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</si>
  <si>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</si>
  <si>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</si>
  <si>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</si>
  <si>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</si>
  <si>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</si>
  <si>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</si>
  <si>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</si>
  <si>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</si>
  <si>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</si>
  <si>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</si>
  <si>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</si>
  <si>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</si>
  <si>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</si>
  <si>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</si>
  <si>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</si>
  <si>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</si>
  <si>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</si>
  <si>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</si>
  <si>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</si>
  <si>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</si>
  <si>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</si>
  <si>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</si>
  <si>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</si>
  <si>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</si>
  <si>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</si>
  <si>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</si>
  <si>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</si>
  <si>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</si>
  <si>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</si>
  <si>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</si>
  <si>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</si>
  <si>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</si>
  <si>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</si>
  <si>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</si>
  <si>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</si>
  <si>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</si>
  <si>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</si>
  <si>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</si>
  <si>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</si>
  <si>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</si>
  <si>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</si>
  <si>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</si>
  <si>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</si>
  <si>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</si>
  <si>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</si>
  <si>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</si>
  <si>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</si>
  <si>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</si>
  <si>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</si>
  <si>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</si>
  <si>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</si>
  <si>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</si>
  <si>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</si>
  <si>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</si>
  <si>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</si>
  <si>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</si>
  <si>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</si>
  <si>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</si>
  <si>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</si>
  <si>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</si>
  <si>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</si>
  <si>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</si>
  <si>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</si>
  <si>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</si>
  <si>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</si>
  <si>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</si>
  <si>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</si>
  <si>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</si>
  <si>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</si>
  <si>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</si>
  <si>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</si>
  <si>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</si>
  <si>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</si>
  <si>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</si>
  <si>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</si>
  <si>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</si>
  <si>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</si>
  <si>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</si>
  <si>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</si>
  <si>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</si>
  <si>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</si>
  <si>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</si>
  <si>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</si>
  <si>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</si>
  <si>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</si>
  <si>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</si>
  <si>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</si>
  <si>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</si>
  <si>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</si>
  <si>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</si>
  <si>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</si>
  <si>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</si>
  <si>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</si>
  <si>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</si>
  <si>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</si>
  <si>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</si>
  <si>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</si>
  <si>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</si>
  <si>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</si>
  <si>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</si>
  <si>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</si>
  <si>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</si>
  <si>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</si>
  <si>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</si>
  <si>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</si>
  <si>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</si>
  <si>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</si>
  <si>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</si>
  <si>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</si>
  <si>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</si>
  <si>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</si>
  <si>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</si>
  <si>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</si>
  <si>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</si>
  <si>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</si>
  <si>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</si>
  <si>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</si>
  <si>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</si>
  <si>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</si>
  <si>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</si>
  <si>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</si>
  <si>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</si>
  <si>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</si>
  <si>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</si>
  <si>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</si>
  <si>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</si>
  <si>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</si>
  <si>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</si>
  <si>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</si>
  <si>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</si>
  <si>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</si>
  <si>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</si>
  <si>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</si>
  <si>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</si>
  <si>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</si>
  <si>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</si>
  <si>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</si>
  <si>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</si>
  <si>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</si>
  <si>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</si>
  <si>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</si>
  <si>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</si>
  <si>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</si>
  <si>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</si>
  <si>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</si>
  <si>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</si>
  <si>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</si>
  <si>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</si>
  <si>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45035</t>
  </si>
  <si>
    <t>OUDENAARDE</t>
  </si>
  <si>
    <t>vloeibaar gas (MWh)</t>
  </si>
  <si>
    <t>interne verbrandingsmotor</t>
  </si>
  <si>
    <t>WKK interne verbrandinsgmotor (gas)</t>
  </si>
  <si>
    <t>GASELWEST</t>
  </si>
  <si>
    <t>chemie</t>
  </si>
  <si>
    <t>stirlingmotor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</si>
</sst>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10F3DA0-F81B-4688-B160-4FD005704CC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266064.06639606174</c:v>
                </c:pt>
                <c:pt idx="1">
                  <c:v>173231.731960923</c:v>
                </c:pt>
                <c:pt idx="2">
                  <c:v>2410.7809999999999</c:v>
                </c:pt>
                <c:pt idx="3">
                  <c:v>9475.1928487352179</c:v>
                </c:pt>
                <c:pt idx="4">
                  <c:v>404314.33285432623</c:v>
                </c:pt>
                <c:pt idx="5">
                  <c:v>181059.75233101356</c:v>
                </c:pt>
                <c:pt idx="6">
                  <c:v>2588.3976205434737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266064.06639606174</c:v>
                </c:pt>
                <c:pt idx="1">
                  <c:v>173231.731960923</c:v>
                </c:pt>
                <c:pt idx="2">
                  <c:v>2410.7809999999999</c:v>
                </c:pt>
                <c:pt idx="3">
                  <c:v>9475.1928487352179</c:v>
                </c:pt>
                <c:pt idx="4">
                  <c:v>404314.33285432623</c:v>
                </c:pt>
                <c:pt idx="5">
                  <c:v>181059.75233101356</c:v>
                </c:pt>
                <c:pt idx="6">
                  <c:v>2588.3976205434737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54743.313327730109</c:v>
                </c:pt>
                <c:pt idx="2">
                  <c:v>35332.136807281822</c:v>
                </c:pt>
                <c:pt idx="3">
                  <c:v>502.75757454566229</c:v>
                </c:pt>
                <c:pt idx="4">
                  <c:v>2442.8918589864761</c:v>
                </c:pt>
                <c:pt idx="5">
                  <c:v>84550.884960391806</c:v>
                </c:pt>
                <c:pt idx="6">
                  <c:v>45321.573181872562</c:v>
                </c:pt>
                <c:pt idx="7">
                  <c:v>652.3379886358257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54743.313327730109</c:v>
                </c:pt>
                <c:pt idx="2">
                  <c:v>35332.136807281822</c:v>
                </c:pt>
                <c:pt idx="3">
                  <c:v>502.75757454566229</c:v>
                </c:pt>
                <c:pt idx="4">
                  <c:v>2442.8918589864761</c:v>
                </c:pt>
                <c:pt idx="5">
                  <c:v>84550.884960391806</c:v>
                </c:pt>
                <c:pt idx="6">
                  <c:v>45321.573181872562</c:v>
                </c:pt>
                <c:pt idx="7">
                  <c:v>652.3379886358257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45035</v>
      </c>
      <c r="B6" s="380"/>
      <c r="C6" s="381"/>
    </row>
    <row r="7" spans="1:7" s="378" customFormat="1" ht="15.75" customHeight="1">
      <c r="A7" s="382" t="str">
        <f>txtMunicipality</f>
        <v>OUDENAARDE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0.20854551887776712</v>
      </c>
      <c r="C17" s="488">
        <f ca="1">'EF ele_warmte'!B22</f>
        <v>0.2375733654061262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0.20854551887776712</v>
      </c>
      <c r="C29" s="489">
        <f ca="1">'EF ele_warmte'!B22</f>
        <v>0.2375733654061262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13403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3789.57</v>
      </c>
      <c r="C14" s="322"/>
      <c r="D14" s="322"/>
      <c r="E14" s="322"/>
      <c r="F14" s="322"/>
    </row>
    <row r="15" spans="1:6">
      <c r="A15" s="1248" t="s">
        <v>177</v>
      </c>
      <c r="B15" s="1249">
        <v>35</v>
      </c>
      <c r="C15" s="322"/>
      <c r="D15" s="322"/>
      <c r="E15" s="322"/>
      <c r="F15" s="322"/>
    </row>
    <row r="16" spans="1:6">
      <c r="A16" s="1248" t="s">
        <v>6</v>
      </c>
      <c r="B16" s="1249">
        <v>1166</v>
      </c>
      <c r="C16" s="322"/>
      <c r="D16" s="322"/>
      <c r="E16" s="322"/>
      <c r="F16" s="322"/>
    </row>
    <row r="17" spans="1:6">
      <c r="A17" s="1248" t="s">
        <v>7</v>
      </c>
      <c r="B17" s="1249">
        <v>789</v>
      </c>
      <c r="C17" s="322"/>
      <c r="D17" s="322"/>
      <c r="E17" s="322"/>
      <c r="F17" s="322"/>
    </row>
    <row r="18" spans="1:6">
      <c r="A18" s="1248" t="s">
        <v>8</v>
      </c>
      <c r="B18" s="1249">
        <v>1272</v>
      </c>
      <c r="C18" s="322"/>
      <c r="D18" s="322"/>
      <c r="E18" s="322"/>
      <c r="F18" s="322"/>
    </row>
    <row r="19" spans="1:6">
      <c r="A19" s="1248" t="s">
        <v>9</v>
      </c>
      <c r="B19" s="1249">
        <v>1156</v>
      </c>
      <c r="C19" s="322"/>
      <c r="D19" s="322"/>
      <c r="E19" s="322"/>
      <c r="F19" s="322"/>
    </row>
    <row r="20" spans="1:6">
      <c r="A20" s="1248" t="s">
        <v>10</v>
      </c>
      <c r="B20" s="1249">
        <v>705</v>
      </c>
      <c r="C20" s="322"/>
      <c r="D20" s="322"/>
      <c r="E20" s="322"/>
      <c r="F20" s="322"/>
    </row>
    <row r="21" spans="1:6">
      <c r="A21" s="1248" t="s">
        <v>11</v>
      </c>
      <c r="B21" s="1249">
        <v>1474</v>
      </c>
      <c r="C21" s="322"/>
      <c r="D21" s="322"/>
      <c r="E21" s="322"/>
      <c r="F21" s="322"/>
    </row>
    <row r="22" spans="1:6">
      <c r="A22" s="1248" t="s">
        <v>12</v>
      </c>
      <c r="B22" s="1249">
        <v>5536</v>
      </c>
      <c r="C22" s="322"/>
      <c r="D22" s="322"/>
      <c r="E22" s="322"/>
      <c r="F22" s="322"/>
    </row>
    <row r="23" spans="1:6">
      <c r="A23" s="1248" t="s">
        <v>13</v>
      </c>
      <c r="B23" s="1249">
        <v>134</v>
      </c>
      <c r="C23" s="322"/>
      <c r="D23" s="322"/>
      <c r="E23" s="322"/>
      <c r="F23" s="322"/>
    </row>
    <row r="24" spans="1:6">
      <c r="A24" s="1248" t="s">
        <v>14</v>
      </c>
      <c r="B24" s="1249">
        <v>17</v>
      </c>
      <c r="C24" s="322"/>
      <c r="D24" s="322"/>
      <c r="E24" s="322"/>
      <c r="F24" s="322"/>
    </row>
    <row r="25" spans="1:6">
      <c r="A25" s="1248" t="s">
        <v>15</v>
      </c>
      <c r="B25" s="1249">
        <v>339</v>
      </c>
      <c r="C25" s="322"/>
      <c r="D25" s="322"/>
      <c r="E25" s="322"/>
      <c r="F25" s="322"/>
    </row>
    <row r="26" spans="1:6">
      <c r="A26" s="1248" t="s">
        <v>16</v>
      </c>
      <c r="B26" s="1249">
        <v>82</v>
      </c>
      <c r="C26" s="322"/>
      <c r="D26" s="322"/>
      <c r="E26" s="322"/>
      <c r="F26" s="322"/>
    </row>
    <row r="27" spans="1:6">
      <c r="A27" s="1248" t="s">
        <v>17</v>
      </c>
      <c r="B27" s="1249">
        <v>2</v>
      </c>
      <c r="C27" s="322"/>
      <c r="D27" s="322"/>
      <c r="E27" s="322"/>
      <c r="F27" s="322"/>
    </row>
    <row r="28" spans="1:6">
      <c r="A28" s="1248" t="s">
        <v>18</v>
      </c>
      <c r="B28" s="1250">
        <v>220487</v>
      </c>
      <c r="C28" s="322"/>
      <c r="D28" s="322"/>
      <c r="E28" s="322"/>
      <c r="F28" s="322"/>
    </row>
    <row r="29" spans="1:6">
      <c r="A29" s="1248" t="s">
        <v>691</v>
      </c>
      <c r="B29" s="1250">
        <v>77</v>
      </c>
      <c r="C29" s="322"/>
      <c r="D29" s="322"/>
      <c r="E29" s="322"/>
      <c r="F29" s="322"/>
    </row>
    <row r="30" spans="1:6">
      <c r="A30" s="1243" t="s">
        <v>692</v>
      </c>
      <c r="B30" s="1251">
        <v>30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4</v>
      </c>
      <c r="F35" s="1249">
        <v>17782.474540104002</v>
      </c>
    </row>
    <row r="36" spans="1:6">
      <c r="A36" s="1248" t="s">
        <v>24</v>
      </c>
      <c r="B36" s="1248" t="s">
        <v>26</v>
      </c>
      <c r="C36" s="1249">
        <v>0</v>
      </c>
      <c r="D36" s="1249">
        <v>0</v>
      </c>
      <c r="E36" s="1249">
        <v>8</v>
      </c>
      <c r="F36" s="1249">
        <v>55635.767377329597</v>
      </c>
    </row>
    <row r="37" spans="1:6">
      <c r="A37" s="1248" t="s">
        <v>24</v>
      </c>
      <c r="B37" s="1248" t="s">
        <v>27</v>
      </c>
      <c r="C37" s="1249">
        <v>0</v>
      </c>
      <c r="D37" s="1249">
        <v>0</v>
      </c>
      <c r="E37" s="1249">
        <v>0</v>
      </c>
      <c r="F37" s="1249">
        <v>0</v>
      </c>
    </row>
    <row r="38" spans="1:6">
      <c r="A38" s="1248" t="s">
        <v>24</v>
      </c>
      <c r="B38" s="1248" t="s">
        <v>28</v>
      </c>
      <c r="C38" s="1249">
        <v>4</v>
      </c>
      <c r="D38" s="1249">
        <v>134165.26896921999</v>
      </c>
      <c r="E38" s="1249">
        <v>2</v>
      </c>
      <c r="F38" s="1249">
        <v>332550.16455481999</v>
      </c>
    </row>
    <row r="39" spans="1:6">
      <c r="A39" s="1248" t="s">
        <v>29</v>
      </c>
      <c r="B39" s="1248" t="s">
        <v>30</v>
      </c>
      <c r="C39" s="1249">
        <v>8351</v>
      </c>
      <c r="D39" s="1249">
        <v>126049363.66423801</v>
      </c>
      <c r="E39" s="1249">
        <v>13203</v>
      </c>
      <c r="F39" s="1249">
        <v>47768070.815331697</v>
      </c>
    </row>
    <row r="40" spans="1:6">
      <c r="A40" s="1248" t="s">
        <v>29</v>
      </c>
      <c r="B40" s="1248" t="s">
        <v>28</v>
      </c>
      <c r="C40" s="1249">
        <v>0</v>
      </c>
      <c r="D40" s="1249">
        <v>0</v>
      </c>
      <c r="E40" s="1249">
        <v>0</v>
      </c>
      <c r="F40" s="1249">
        <v>0</v>
      </c>
    </row>
    <row r="41" spans="1:6">
      <c r="A41" s="1248" t="s">
        <v>31</v>
      </c>
      <c r="B41" s="1248" t="s">
        <v>32</v>
      </c>
      <c r="C41" s="1249">
        <v>168</v>
      </c>
      <c r="D41" s="1249">
        <v>48801952.5119344</v>
      </c>
      <c r="E41" s="1249">
        <v>313</v>
      </c>
      <c r="F41" s="1249">
        <v>12703407.819876499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12</v>
      </c>
      <c r="D44" s="1249">
        <v>905146.51164728799</v>
      </c>
      <c r="E44" s="1249">
        <v>37</v>
      </c>
      <c r="F44" s="1249">
        <v>3138780.38052565</v>
      </c>
    </row>
    <row r="45" spans="1:6">
      <c r="A45" s="1248" t="s">
        <v>31</v>
      </c>
      <c r="B45" s="1248" t="s">
        <v>36</v>
      </c>
      <c r="C45" s="1249">
        <v>0</v>
      </c>
      <c r="D45" s="1249">
        <v>0</v>
      </c>
      <c r="E45" s="1249">
        <v>6</v>
      </c>
      <c r="F45" s="1249">
        <v>1305818.58967224</v>
      </c>
    </row>
    <row r="46" spans="1:6">
      <c r="A46" s="1248" t="s">
        <v>31</v>
      </c>
      <c r="B46" s="1248" t="s">
        <v>37</v>
      </c>
      <c r="C46" s="1249">
        <v>0</v>
      </c>
      <c r="D46" s="1249">
        <v>0</v>
      </c>
      <c r="E46" s="1249">
        <v>0</v>
      </c>
      <c r="F46" s="1249">
        <v>0</v>
      </c>
    </row>
    <row r="47" spans="1:6">
      <c r="A47" s="1248" t="s">
        <v>31</v>
      </c>
      <c r="B47" s="1248" t="s">
        <v>38</v>
      </c>
      <c r="C47" s="1249">
        <v>10</v>
      </c>
      <c r="D47" s="1249">
        <v>639274.69779710204</v>
      </c>
      <c r="E47" s="1249">
        <v>15</v>
      </c>
      <c r="F47" s="1249">
        <v>1835488.37887999</v>
      </c>
    </row>
    <row r="48" spans="1:6">
      <c r="A48" s="1248" t="s">
        <v>31</v>
      </c>
      <c r="B48" s="1248" t="s">
        <v>28</v>
      </c>
      <c r="C48" s="1249">
        <v>56</v>
      </c>
      <c r="D48" s="1249">
        <v>140624986.17404801</v>
      </c>
      <c r="E48" s="1249">
        <v>63</v>
      </c>
      <c r="F48" s="1249">
        <v>140472588.85673401</v>
      </c>
    </row>
    <row r="49" spans="1:6">
      <c r="A49" s="1248" t="s">
        <v>31</v>
      </c>
      <c r="B49" s="1248" t="s">
        <v>39</v>
      </c>
      <c r="C49" s="1249">
        <v>0</v>
      </c>
      <c r="D49" s="1249">
        <v>0</v>
      </c>
      <c r="E49" s="1249">
        <v>7</v>
      </c>
      <c r="F49" s="1249">
        <v>233210.475861721</v>
      </c>
    </row>
    <row r="50" spans="1:6">
      <c r="A50" s="1248" t="s">
        <v>31</v>
      </c>
      <c r="B50" s="1248" t="s">
        <v>40</v>
      </c>
      <c r="C50" s="1249">
        <v>26</v>
      </c>
      <c r="D50" s="1249">
        <v>20177205.552635498</v>
      </c>
      <c r="E50" s="1249">
        <v>43</v>
      </c>
      <c r="F50" s="1249">
        <v>8563449.3978531398</v>
      </c>
    </row>
    <row r="51" spans="1:6">
      <c r="A51" s="1248" t="s">
        <v>41</v>
      </c>
      <c r="B51" s="1248" t="s">
        <v>42</v>
      </c>
      <c r="C51" s="1249">
        <v>17</v>
      </c>
      <c r="D51" s="1249">
        <v>298456.114658812</v>
      </c>
      <c r="E51" s="1249">
        <v>117</v>
      </c>
      <c r="F51" s="1249">
        <v>1737621.4823062201</v>
      </c>
    </row>
    <row r="52" spans="1:6">
      <c r="A52" s="1248" t="s">
        <v>41</v>
      </c>
      <c r="B52" s="1248" t="s">
        <v>28</v>
      </c>
      <c r="C52" s="1249">
        <v>6</v>
      </c>
      <c r="D52" s="1249">
        <v>135241.44996264399</v>
      </c>
      <c r="E52" s="1249">
        <v>11</v>
      </c>
      <c r="F52" s="1249">
        <v>94622.085720928197</v>
      </c>
    </row>
    <row r="53" spans="1:6">
      <c r="A53" s="1248" t="s">
        <v>43</v>
      </c>
      <c r="B53" s="1248" t="s">
        <v>44</v>
      </c>
      <c r="C53" s="1249">
        <v>280</v>
      </c>
      <c r="D53" s="1249">
        <v>7698372.2670969795</v>
      </c>
      <c r="E53" s="1249">
        <v>593</v>
      </c>
      <c r="F53" s="1249">
        <v>2554550.6233790899</v>
      </c>
    </row>
    <row r="54" spans="1:6">
      <c r="A54" s="1248" t="s">
        <v>45</v>
      </c>
      <c r="B54" s="1248" t="s">
        <v>46</v>
      </c>
      <c r="C54" s="1249">
        <v>0</v>
      </c>
      <c r="D54" s="1249">
        <v>0</v>
      </c>
      <c r="E54" s="1249">
        <v>1</v>
      </c>
      <c r="F54" s="1249">
        <v>2410781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132</v>
      </c>
      <c r="D57" s="1249">
        <v>9100783.3103417009</v>
      </c>
      <c r="E57" s="1249">
        <v>283</v>
      </c>
      <c r="F57" s="1249">
        <v>5859823.0012204302</v>
      </c>
    </row>
    <row r="58" spans="1:6">
      <c r="A58" s="1248" t="s">
        <v>48</v>
      </c>
      <c r="B58" s="1248" t="s">
        <v>50</v>
      </c>
      <c r="C58" s="1249">
        <v>83</v>
      </c>
      <c r="D58" s="1249">
        <v>8150390.5974735804</v>
      </c>
      <c r="E58" s="1249">
        <v>125</v>
      </c>
      <c r="F58" s="1249">
        <v>5226522.71134526</v>
      </c>
    </row>
    <row r="59" spans="1:6">
      <c r="A59" s="1248" t="s">
        <v>48</v>
      </c>
      <c r="B59" s="1248" t="s">
        <v>51</v>
      </c>
      <c r="C59" s="1249">
        <v>304</v>
      </c>
      <c r="D59" s="1249">
        <v>12121151.6179849</v>
      </c>
      <c r="E59" s="1249">
        <v>577</v>
      </c>
      <c r="F59" s="1249">
        <v>20514211.3625107</v>
      </c>
    </row>
    <row r="60" spans="1:6">
      <c r="A60" s="1248" t="s">
        <v>48</v>
      </c>
      <c r="B60" s="1248" t="s">
        <v>52</v>
      </c>
      <c r="C60" s="1249">
        <v>133</v>
      </c>
      <c r="D60" s="1249">
        <v>6269048.7311712299</v>
      </c>
      <c r="E60" s="1249">
        <v>191</v>
      </c>
      <c r="F60" s="1249">
        <v>4765350.6945557101</v>
      </c>
    </row>
    <row r="61" spans="1:6">
      <c r="A61" s="1248" t="s">
        <v>48</v>
      </c>
      <c r="B61" s="1248" t="s">
        <v>53</v>
      </c>
      <c r="C61" s="1249">
        <v>382</v>
      </c>
      <c r="D61" s="1249">
        <v>76597478.362729803</v>
      </c>
      <c r="E61" s="1249">
        <v>762</v>
      </c>
      <c r="F61" s="1249">
        <v>10268963.0021539</v>
      </c>
    </row>
    <row r="62" spans="1:6">
      <c r="A62" s="1248" t="s">
        <v>48</v>
      </c>
      <c r="B62" s="1248" t="s">
        <v>54</v>
      </c>
      <c r="C62" s="1249">
        <v>40</v>
      </c>
      <c r="D62" s="1249">
        <v>6623819.4125874797</v>
      </c>
      <c r="E62" s="1249">
        <v>54</v>
      </c>
      <c r="F62" s="1249">
        <v>2499527.4685148201</v>
      </c>
    </row>
    <row r="63" spans="1:6">
      <c r="A63" s="1248" t="s">
        <v>48</v>
      </c>
      <c r="B63" s="1248" t="s">
        <v>28</v>
      </c>
      <c r="C63" s="1249">
        <v>85</v>
      </c>
      <c r="D63" s="1249">
        <v>2432992.3837542301</v>
      </c>
      <c r="E63" s="1249">
        <v>93</v>
      </c>
      <c r="F63" s="1249">
        <v>2212648.76209711</v>
      </c>
    </row>
    <row r="64" spans="1:6">
      <c r="A64" s="1248" t="s">
        <v>55</v>
      </c>
      <c r="B64" s="1248" t="s">
        <v>56</v>
      </c>
      <c r="C64" s="1249">
        <v>0</v>
      </c>
      <c r="D64" s="1249">
        <v>0</v>
      </c>
      <c r="E64" s="1249">
        <v>0</v>
      </c>
      <c r="F64" s="1249">
        <v>0</v>
      </c>
    </row>
    <row r="65" spans="1:6">
      <c r="A65" s="1248" t="s">
        <v>55</v>
      </c>
      <c r="B65" s="1248" t="s">
        <v>28</v>
      </c>
      <c r="C65" s="1249">
        <v>2</v>
      </c>
      <c r="D65" s="1249">
        <v>123713.50016778</v>
      </c>
      <c r="E65" s="1249">
        <v>1</v>
      </c>
      <c r="F65" s="1249">
        <v>3718.4671120599</v>
      </c>
    </row>
    <row r="66" spans="1:6">
      <c r="A66" s="1248" t="s">
        <v>55</v>
      </c>
      <c r="B66" s="1248" t="s">
        <v>57</v>
      </c>
      <c r="C66" s="1249">
        <v>4</v>
      </c>
      <c r="D66" s="1249">
        <v>559823.086369692</v>
      </c>
      <c r="E66" s="1249">
        <v>20</v>
      </c>
      <c r="F66" s="1249">
        <v>482637.977707165</v>
      </c>
    </row>
    <row r="67" spans="1:6">
      <c r="A67" s="1248" t="s">
        <v>55</v>
      </c>
      <c r="B67" s="1248" t="s">
        <v>58</v>
      </c>
      <c r="C67" s="1249">
        <v>0</v>
      </c>
      <c r="D67" s="1249">
        <v>0</v>
      </c>
      <c r="E67" s="1249">
        <v>0</v>
      </c>
      <c r="F67" s="1249">
        <v>0</v>
      </c>
    </row>
    <row r="68" spans="1:6">
      <c r="A68" s="1243" t="s">
        <v>55</v>
      </c>
      <c r="B68" s="1243" t="s">
        <v>59</v>
      </c>
      <c r="C68" s="1251">
        <v>5</v>
      </c>
      <c r="D68" s="1251">
        <v>783322.71849920403</v>
      </c>
      <c r="E68" s="1251">
        <v>23</v>
      </c>
      <c r="F68" s="1251">
        <v>638373.76489035401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160758982</v>
      </c>
      <c r="E73" s="439"/>
      <c r="F73" s="322"/>
    </row>
    <row r="74" spans="1:6">
      <c r="A74" s="1248" t="s">
        <v>63</v>
      </c>
      <c r="B74" s="1248" t="s">
        <v>617</v>
      </c>
      <c r="C74" s="1261" t="s">
        <v>619</v>
      </c>
      <c r="D74" s="1249">
        <v>17650750.5</v>
      </c>
      <c r="E74" s="439"/>
      <c r="F74" s="322"/>
    </row>
    <row r="75" spans="1:6">
      <c r="A75" s="1248" t="s">
        <v>64</v>
      </c>
      <c r="B75" s="1248" t="s">
        <v>616</v>
      </c>
      <c r="C75" s="1261" t="s">
        <v>620</v>
      </c>
      <c r="D75" s="1249">
        <v>34183762</v>
      </c>
      <c r="E75" s="439"/>
      <c r="F75" s="322"/>
    </row>
    <row r="76" spans="1:6">
      <c r="A76" s="1248" t="s">
        <v>64</v>
      </c>
      <c r="B76" s="1248" t="s">
        <v>617</v>
      </c>
      <c r="C76" s="1261" t="s">
        <v>621</v>
      </c>
      <c r="D76" s="1249">
        <v>666504.5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704009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4954.7033387751508</v>
      </c>
      <c r="C91" s="322"/>
      <c r="D91" s="322"/>
      <c r="E91" s="322"/>
      <c r="F91" s="322"/>
    </row>
    <row r="92" spans="1:6">
      <c r="A92" s="1243" t="s">
        <v>68</v>
      </c>
      <c r="B92" s="1244">
        <v>11301.983202533509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3773</v>
      </c>
      <c r="C97" s="322"/>
      <c r="D97" s="322"/>
      <c r="E97" s="322"/>
      <c r="F97" s="322"/>
    </row>
    <row r="98" spans="1:6">
      <c r="A98" s="1248" t="s">
        <v>71</v>
      </c>
      <c r="B98" s="1249">
        <v>0</v>
      </c>
      <c r="C98" s="322"/>
      <c r="D98" s="322"/>
      <c r="E98" s="322"/>
      <c r="F98" s="322"/>
    </row>
    <row r="99" spans="1:6">
      <c r="A99" s="1248" t="s">
        <v>72</v>
      </c>
      <c r="B99" s="1249">
        <v>254</v>
      </c>
      <c r="C99" s="322"/>
      <c r="D99" s="322"/>
      <c r="E99" s="322"/>
      <c r="F99" s="322"/>
    </row>
    <row r="100" spans="1:6">
      <c r="A100" s="1248" t="s">
        <v>73</v>
      </c>
      <c r="B100" s="1249">
        <v>1056</v>
      </c>
      <c r="C100" s="322"/>
      <c r="D100" s="322"/>
      <c r="E100" s="322"/>
      <c r="F100" s="322"/>
    </row>
    <row r="101" spans="1:6">
      <c r="A101" s="1248" t="s">
        <v>74</v>
      </c>
      <c r="B101" s="1249">
        <v>140</v>
      </c>
      <c r="C101" s="322"/>
      <c r="D101" s="322"/>
      <c r="E101" s="322"/>
      <c r="F101" s="322"/>
    </row>
    <row r="102" spans="1:6">
      <c r="A102" s="1248" t="s">
        <v>75</v>
      </c>
      <c r="B102" s="1249">
        <v>192</v>
      </c>
      <c r="C102" s="322"/>
      <c r="D102" s="322"/>
      <c r="E102" s="322"/>
      <c r="F102" s="322"/>
    </row>
    <row r="103" spans="1:6">
      <c r="A103" s="1248" t="s">
        <v>76</v>
      </c>
      <c r="B103" s="1249">
        <v>423</v>
      </c>
      <c r="C103" s="322"/>
      <c r="D103" s="322"/>
      <c r="E103" s="322"/>
      <c r="F103" s="322"/>
    </row>
    <row r="104" spans="1:6">
      <c r="A104" s="1248" t="s">
        <v>77</v>
      </c>
      <c r="B104" s="1249">
        <v>5315</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2</v>
      </c>
      <c r="C110" s="322"/>
      <c r="D110" s="322"/>
      <c r="E110" s="322"/>
      <c r="F110" s="322"/>
    </row>
    <row r="111" spans="1:6">
      <c r="A111" s="1266" t="s">
        <v>608</v>
      </c>
      <c r="B111" s="1267">
        <v>2</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35</v>
      </c>
      <c r="C123" s="1249">
        <v>81</v>
      </c>
      <c r="D123" s="322"/>
      <c r="E123" s="322"/>
      <c r="F123" s="322"/>
    </row>
    <row r="124" spans="1:6">
      <c r="A124" s="1248" t="s">
        <v>88</v>
      </c>
      <c r="B124" s="1249">
        <v>1</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438</v>
      </c>
      <c r="C129" s="322"/>
      <c r="D129" s="322"/>
      <c r="E129" s="322"/>
      <c r="F129" s="322"/>
    </row>
    <row r="130" spans="1:6">
      <c r="A130" s="1248" t="s">
        <v>283</v>
      </c>
      <c r="B130" s="1249">
        <v>5</v>
      </c>
      <c r="C130" s="322"/>
      <c r="D130" s="322"/>
      <c r="E130" s="322"/>
      <c r="F130" s="322"/>
    </row>
    <row r="131" spans="1:6">
      <c r="A131" s="1248" t="s">
        <v>284</v>
      </c>
      <c r="B131" s="1249">
        <v>2</v>
      </c>
      <c r="C131" s="322"/>
      <c r="D131" s="322"/>
      <c r="E131" s="322"/>
      <c r="F131" s="322"/>
    </row>
    <row r="132" spans="1:6">
      <c r="A132" s="1243" t="s">
        <v>285</v>
      </c>
      <c r="B132" s="1244">
        <v>34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283185.27521736559</v>
      </c>
      <c r="C3" s="43" t="s">
        <v>163</v>
      </c>
      <c r="D3" s="43"/>
      <c r="E3" s="153"/>
      <c r="F3" s="43"/>
      <c r="G3" s="43"/>
      <c r="H3" s="43"/>
      <c r="I3" s="43"/>
      <c r="J3" s="43"/>
      <c r="K3" s="96"/>
    </row>
    <row r="4" spans="1:11">
      <c r="A4" s="348" t="s">
        <v>164</v>
      </c>
      <c r="B4" s="49">
        <f>IF(ISERROR('SEAP template'!B78+'SEAP template'!C78),0,'SEAP template'!B78+'SEAP template'!C78)</f>
        <v>20227.036541308658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943.2494113402131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0.20854551887776712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1355.1354458026442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5704.0714285714284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0.2375733654061262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2410.7809999999999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2410.7809999999999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0.20854551887776712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502.75757454566229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47768.070815331695</v>
      </c>
      <c r="C5" s="17">
        <f>IF(ISERROR('Eigen informatie GS &amp; warmtenet'!B57),0,'Eigen informatie GS &amp; warmtenet'!B57)</f>
        <v>0</v>
      </c>
      <c r="D5" s="30">
        <f>(SUM(HH_hh_gas_kWh,HH_rest_gas_kWh)/1000)*0.902</f>
        <v>113696.52602514268</v>
      </c>
      <c r="E5" s="17">
        <f>B32*B41</f>
        <v>3217.9388532756993</v>
      </c>
      <c r="F5" s="17">
        <f>B36*B45</f>
        <v>74589.319010369887</v>
      </c>
      <c r="G5" s="18"/>
      <c r="H5" s="17"/>
      <c r="I5" s="17"/>
      <c r="J5" s="17">
        <f>B35*B44+C35*C44</f>
        <v>383.32339702089519</v>
      </c>
      <c r="K5" s="17"/>
      <c r="L5" s="17"/>
      <c r="M5" s="17"/>
      <c r="N5" s="17">
        <f>B34*B43+C34*C43</f>
        <v>19305.021622812423</v>
      </c>
      <c r="O5" s="17">
        <f>B52*B53*B54</f>
        <v>814.49666666666678</v>
      </c>
      <c r="P5" s="17">
        <f>B60*B61*B62/1000-B60*B61*B62/1000/B63</f>
        <v>1334.6666666666667</v>
      </c>
    </row>
    <row r="6" spans="1:16">
      <c r="A6" s="16" t="s">
        <v>582</v>
      </c>
      <c r="B6" s="716">
        <f>kWh_PV_kleiner_dan_10kW</f>
        <v>4954.7033387751508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52722.774154106846</v>
      </c>
      <c r="C8" s="21">
        <f>C5</f>
        <v>0</v>
      </c>
      <c r="D8" s="21">
        <f>D5</f>
        <v>113696.52602514268</v>
      </c>
      <c r="E8" s="21">
        <f>E5</f>
        <v>3217.9388532756993</v>
      </c>
      <c r="F8" s="21">
        <f>F5</f>
        <v>74589.319010369887</v>
      </c>
      <c r="G8" s="21"/>
      <c r="H8" s="21"/>
      <c r="I8" s="21"/>
      <c r="J8" s="21">
        <f>J5</f>
        <v>383.32339702089519</v>
      </c>
      <c r="K8" s="21"/>
      <c r="L8" s="21">
        <f>L5</f>
        <v>0</v>
      </c>
      <c r="M8" s="21">
        <f>M5</f>
        <v>0</v>
      </c>
      <c r="N8" s="21">
        <f>N5</f>
        <v>19305.021622812423</v>
      </c>
      <c r="O8" s="21">
        <f>O5</f>
        <v>814.49666666666678</v>
      </c>
      <c r="P8" s="21">
        <f>P5</f>
        <v>1334.6666666666667</v>
      </c>
    </row>
    <row r="9" spans="1:16">
      <c r="B9" s="19"/>
      <c r="C9" s="19"/>
      <c r="D9" s="253"/>
      <c r="E9" s="19"/>
      <c r="F9" s="19"/>
      <c r="G9" s="19"/>
      <c r="H9" s="19"/>
      <c r="I9" s="19"/>
      <c r="J9" s="19"/>
      <c r="K9" s="19"/>
      <c r="L9" s="19"/>
      <c r="M9" s="19"/>
      <c r="N9" s="19"/>
      <c r="O9" s="19"/>
      <c r="P9" s="19"/>
    </row>
    <row r="10" spans="1:16">
      <c r="A10" s="24" t="s">
        <v>207</v>
      </c>
      <c r="B10" s="25">
        <f ca="1">'EF ele_warmte'!B12</f>
        <v>0.20854551887776712</v>
      </c>
      <c r="C10" s="25">
        <f ca="1">'EF ele_warmte'!B22</f>
        <v>0.2375733654061262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10995.098292643543</v>
      </c>
      <c r="C12" s="23">
        <f ca="1">C10*C8</f>
        <v>0</v>
      </c>
      <c r="D12" s="23">
        <f>D8*D10</f>
        <v>22966.698257078824</v>
      </c>
      <c r="E12" s="23">
        <f>E10*E8</f>
        <v>730.47211969358375</v>
      </c>
      <c r="F12" s="23">
        <f>F10*F8</f>
        <v>19915.348175768762</v>
      </c>
      <c r="G12" s="23"/>
      <c r="H12" s="23"/>
      <c r="I12" s="23"/>
      <c r="J12" s="23">
        <f>J10*J8</f>
        <v>135.69648254539689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13403</v>
      </c>
      <c r="C26" s="36"/>
      <c r="D26" s="224"/>
    </row>
    <row r="27" spans="1:5" s="15" customFormat="1">
      <c r="A27" s="226" t="s">
        <v>736</v>
      </c>
      <c r="B27" s="37">
        <f>SUM(HH_hh_gas_aantal,HH_rest_gas_aantal)</f>
        <v>8351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7933.45</v>
      </c>
      <c r="C31" s="34" t="s">
        <v>104</v>
      </c>
      <c r="D31" s="170"/>
    </row>
    <row r="32" spans="1:5">
      <c r="A32" s="167" t="s">
        <v>72</v>
      </c>
      <c r="B32" s="33">
        <f>IF((B21*($B$26-($B$27-0.05*$B$27)-$B$60))&lt;0,0,B21*($B$26-($B$27-0.05*$B$27)-$B$60))</f>
        <v>59.464342660311999</v>
      </c>
      <c r="C32" s="34" t="s">
        <v>104</v>
      </c>
      <c r="D32" s="170"/>
    </row>
    <row r="33" spans="1:6">
      <c r="A33" s="167" t="s">
        <v>73</v>
      </c>
      <c r="B33" s="33">
        <f>IF((B22*($B$26-($B$27-0.05*$B$27)-$B$60))&lt;0,0,B22*($B$26-($B$27-0.05*$B$27)-$B$60))</f>
        <v>1236.3136202363105</v>
      </c>
      <c r="C33" s="34" t="s">
        <v>104</v>
      </c>
      <c r="D33" s="170"/>
    </row>
    <row r="34" spans="1:6">
      <c r="A34" s="167" t="s">
        <v>74</v>
      </c>
      <c r="B34" s="33">
        <f>IF((B24*($B$26-($B$27-0.05*$B$27)-$B$60))&lt;0,0,B24*($B$26-($B$27-0.05*$B$27)-$B$60))</f>
        <v>482.52896759394469</v>
      </c>
      <c r="C34" s="33">
        <f>B26*C24</f>
        <v>2374.0015332621469</v>
      </c>
      <c r="D34" s="229"/>
    </row>
    <row r="35" spans="1:6">
      <c r="A35" s="167" t="s">
        <v>76</v>
      </c>
      <c r="B35" s="33">
        <f>IF((B19*($B$26-($B$27-0.05*$B$27)-$B$60))&lt;0,0,B19*($B$26-($B$27-0.05*$B$27)-$B$60))</f>
        <v>45.008095313500888</v>
      </c>
      <c r="C35" s="33">
        <f>B35/2</f>
        <v>22.504047656750444</v>
      </c>
      <c r="D35" s="229"/>
    </row>
    <row r="36" spans="1:6">
      <c r="A36" s="167" t="s">
        <v>77</v>
      </c>
      <c r="B36" s="33">
        <f>IF((B18*($B$26-($B$27-0.05*$B$27)-$B$60))&lt;0,0,B18*($B$26-($B$27-0.05*$B$27)-$B$60))</f>
        <v>3576.234974195932</v>
      </c>
      <c r="C36" s="34" t="s">
        <v>104</v>
      </c>
      <c r="D36" s="170"/>
    </row>
    <row r="37" spans="1:6">
      <c r="A37" s="167" t="s">
        <v>78</v>
      </c>
      <c r="B37" s="33">
        <f>B60</f>
        <v>70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521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51347.047002397921</v>
      </c>
      <c r="C5" s="17">
        <f>IF(ISERROR('Eigen informatie GS &amp; warmtenet'!B58),0,'Eigen informatie GS &amp; warmtenet'!B58)</f>
        <v>0</v>
      </c>
      <c r="D5" s="30">
        <f>SUM(D6:D12)</f>
        <v>109408.68930327072</v>
      </c>
      <c r="E5" s="17">
        <f>SUM(E6:E12)</f>
        <v>820.48526140111119</v>
      </c>
      <c r="F5" s="17">
        <f>SUM(F6:F12)</f>
        <v>8753.2227947865849</v>
      </c>
      <c r="G5" s="18"/>
      <c r="H5" s="17"/>
      <c r="I5" s="17"/>
      <c r="J5" s="17">
        <f>SUM(J6:J12)</f>
        <v>6.8834799151796258E-2</v>
      </c>
      <c r="K5" s="17"/>
      <c r="L5" s="17"/>
      <c r="M5" s="17"/>
      <c r="N5" s="17">
        <f>SUM(N6:N12)</f>
        <v>2837.202097600853</v>
      </c>
      <c r="O5" s="17">
        <f>B38*B39*B40</f>
        <v>7.8166666666666664</v>
      </c>
      <c r="P5" s="17">
        <f>B46*B47*B48/1000-B46*B47*B48/1000/B49</f>
        <v>57.2</v>
      </c>
      <c r="R5" s="32"/>
    </row>
    <row r="6" spans="1:18">
      <c r="A6" s="32" t="s">
        <v>53</v>
      </c>
      <c r="B6" s="37">
        <f>B26</f>
        <v>10268.9630021539</v>
      </c>
      <c r="C6" s="33"/>
      <c r="D6" s="37">
        <f>IF(ISERROR(TER_kantoor_gas_kWh/1000),0,TER_kantoor_gas_kWh/1000)*0.902</f>
        <v>69090.925483182276</v>
      </c>
      <c r="E6" s="33">
        <f>$C$26*'E Balans VL '!I12/100/3.6*1000000</f>
        <v>-8.4321552955587834E-4</v>
      </c>
      <c r="F6" s="33">
        <f>$C$26*('E Balans VL '!L12+'E Balans VL '!N12)/100/3.6*1000000</f>
        <v>1301.3998577002365</v>
      </c>
      <c r="G6" s="34"/>
      <c r="H6" s="33"/>
      <c r="I6" s="33"/>
      <c r="J6" s="33">
        <f>$C$26*('E Balans VL '!D12+'E Balans VL '!E12)/100/3.6*1000000</f>
        <v>0</v>
      </c>
      <c r="K6" s="33"/>
      <c r="L6" s="33"/>
      <c r="M6" s="33"/>
      <c r="N6" s="33">
        <f>$C$26*'E Balans VL '!Y12/100/3.6*1000000</f>
        <v>12.595490523513238</v>
      </c>
      <c r="O6" s="33"/>
      <c r="P6" s="33"/>
      <c r="R6" s="32"/>
    </row>
    <row r="7" spans="1:18">
      <c r="A7" s="32" t="s">
        <v>52</v>
      </c>
      <c r="B7" s="37">
        <f t="shared" ref="B7:B12" si="0">B27</f>
        <v>4765.3506945557101</v>
      </c>
      <c r="C7" s="33"/>
      <c r="D7" s="37">
        <f>IF(ISERROR(TER_horeca_gas_kWh/1000),0,TER_horeca_gas_kWh/1000)*0.902</f>
        <v>5654.6819555164493</v>
      </c>
      <c r="E7" s="33">
        <f>$C$27*'E Balans VL '!I9/100/3.6*1000000</f>
        <v>54.851520268157245</v>
      </c>
      <c r="F7" s="33">
        <f>$C$27*('E Balans VL '!L9+'E Balans VL '!N9)/100/3.6*1000000</f>
        <v>614.4149487843423</v>
      </c>
      <c r="G7" s="34"/>
      <c r="H7" s="33"/>
      <c r="I7" s="33"/>
      <c r="J7" s="33">
        <f>$C$27*('E Balans VL '!D9+'E Balans VL '!E9)/100/3.6*1000000</f>
        <v>0</v>
      </c>
      <c r="K7" s="33"/>
      <c r="L7" s="33"/>
      <c r="M7" s="33"/>
      <c r="N7" s="33">
        <f>$C$27*'E Balans VL '!Y9/100/3.6*1000000</f>
        <v>50.297184550809604</v>
      </c>
      <c r="O7" s="33"/>
      <c r="P7" s="33"/>
      <c r="R7" s="32"/>
    </row>
    <row r="8" spans="1:18">
      <c r="A8" s="6" t="s">
        <v>51</v>
      </c>
      <c r="B8" s="37">
        <f t="shared" si="0"/>
        <v>20514.211362510701</v>
      </c>
      <c r="C8" s="33"/>
      <c r="D8" s="37">
        <f>IF(ISERROR(TER_handel_gas_kWh/1000),0,TER_handel_gas_kWh/1000)*0.902</f>
        <v>10933.278759422381</v>
      </c>
      <c r="E8" s="33">
        <f>$C$28*'E Balans VL '!I13/100/3.6*1000000</f>
        <v>578.79626736376542</v>
      </c>
      <c r="F8" s="33">
        <f>$C$28*('E Balans VL '!L13+'E Balans VL '!N13)/100/3.6*1000000</f>
        <v>2063.2898629572442</v>
      </c>
      <c r="G8" s="34"/>
      <c r="H8" s="33"/>
      <c r="I8" s="33"/>
      <c r="J8" s="33">
        <f>$C$28*('E Balans VL '!D13+'E Balans VL '!E13)/100/3.6*1000000</f>
        <v>0</v>
      </c>
      <c r="K8" s="33"/>
      <c r="L8" s="33"/>
      <c r="M8" s="33"/>
      <c r="N8" s="33">
        <f>$C$28*'E Balans VL '!Y13/100/3.6*1000000</f>
        <v>28.317570962524844</v>
      </c>
      <c r="O8" s="33"/>
      <c r="P8" s="33"/>
      <c r="R8" s="32"/>
    </row>
    <row r="9" spans="1:18">
      <c r="A9" s="32" t="s">
        <v>50</v>
      </c>
      <c r="B9" s="37">
        <f t="shared" si="0"/>
        <v>5226.5227113452602</v>
      </c>
      <c r="C9" s="33"/>
      <c r="D9" s="37">
        <f>IF(ISERROR(TER_gezond_gas_kWh/1000),0,TER_gezond_gas_kWh/1000)*0.902</f>
        <v>7351.6523189211703</v>
      </c>
      <c r="E9" s="33">
        <f>$C$29*'E Balans VL '!I10/100/3.6*1000000</f>
        <v>10.440983308091969</v>
      </c>
      <c r="F9" s="33">
        <f>$C$29*('E Balans VL '!L10+'E Balans VL '!N10)/100/3.6*1000000</f>
        <v>457.94822846261184</v>
      </c>
      <c r="G9" s="34"/>
      <c r="H9" s="33"/>
      <c r="I9" s="33"/>
      <c r="J9" s="33">
        <f>$C$29*('E Balans VL '!D10+'E Balans VL '!E10)/100/3.6*1000000</f>
        <v>0</v>
      </c>
      <c r="K9" s="33"/>
      <c r="L9" s="33"/>
      <c r="M9" s="33"/>
      <c r="N9" s="33">
        <f>$C$29*'E Balans VL '!Y10/100/3.6*1000000</f>
        <v>79.058668730571355</v>
      </c>
      <c r="O9" s="33"/>
      <c r="P9" s="33"/>
      <c r="R9" s="32"/>
    </row>
    <row r="10" spans="1:18">
      <c r="A10" s="32" t="s">
        <v>49</v>
      </c>
      <c r="B10" s="37">
        <f t="shared" si="0"/>
        <v>5859.8230012204303</v>
      </c>
      <c r="C10" s="33"/>
      <c r="D10" s="37">
        <f>IF(ISERROR(TER_ander_gas_kWh/1000),0,TER_ander_gas_kWh/1000)*0.902</f>
        <v>8208.9065459282156</v>
      </c>
      <c r="E10" s="33">
        <f>$C$30*'E Balans VL '!I14/100/3.6*1000000</f>
        <v>82.550765719105925</v>
      </c>
      <c r="F10" s="33">
        <f>$C$30*('E Balans VL '!L14+'E Balans VL '!N14)/100/3.6*1000000</f>
        <v>3554.6437605085407</v>
      </c>
      <c r="G10" s="34"/>
      <c r="H10" s="33"/>
      <c r="I10" s="33"/>
      <c r="J10" s="33">
        <f>$C$30*('E Balans VL '!D14+'E Balans VL '!E14)/100/3.6*1000000</f>
        <v>6.4329591775523748E-2</v>
      </c>
      <c r="K10" s="33"/>
      <c r="L10" s="33"/>
      <c r="M10" s="33"/>
      <c r="N10" s="33">
        <f>$C$30*'E Balans VL '!Y14/100/3.6*1000000</f>
        <v>2478.3022441270073</v>
      </c>
      <c r="O10" s="33"/>
      <c r="P10" s="33"/>
      <c r="R10" s="32"/>
    </row>
    <row r="11" spans="1:18">
      <c r="A11" s="32" t="s">
        <v>54</v>
      </c>
      <c r="B11" s="37">
        <f t="shared" si="0"/>
        <v>2499.5274685148202</v>
      </c>
      <c r="C11" s="33"/>
      <c r="D11" s="37">
        <f>IF(ISERROR(TER_onderwijs_gas_kWh/1000),0,TER_onderwijs_gas_kWh/1000)*0.902</f>
        <v>5974.6851101539069</v>
      </c>
      <c r="E11" s="33">
        <f>$C$31*'E Balans VL '!I11/100/3.6*1000000</f>
        <v>65.238895528997887</v>
      </c>
      <c r="F11" s="33">
        <f>$C$31*('E Balans VL '!L11+'E Balans VL '!N11)/100/3.6*1000000</f>
        <v>307.5878586979415</v>
      </c>
      <c r="G11" s="34"/>
      <c r="H11" s="33"/>
      <c r="I11" s="33"/>
      <c r="J11" s="33">
        <f>$C$31*('E Balans VL '!D11+'E Balans VL '!E11)/100/3.6*1000000</f>
        <v>0</v>
      </c>
      <c r="K11" s="33"/>
      <c r="L11" s="33"/>
      <c r="M11" s="33"/>
      <c r="N11" s="33">
        <f>$C$31*'E Balans VL '!Y11/100/3.6*1000000</f>
        <v>7.9152660660134426</v>
      </c>
      <c r="O11" s="33"/>
      <c r="P11" s="33"/>
      <c r="R11" s="32"/>
    </row>
    <row r="12" spans="1:18">
      <c r="A12" s="32" t="s">
        <v>248</v>
      </c>
      <c r="B12" s="37">
        <f t="shared" si="0"/>
        <v>2212.6487620971102</v>
      </c>
      <c r="C12" s="33"/>
      <c r="D12" s="37">
        <f>IF(ISERROR(TER_rest_gas_kWh/1000),0,TER_rest_gas_kWh/1000)*0.902</f>
        <v>2194.5591301463155</v>
      </c>
      <c r="E12" s="33">
        <f>$C$32*'E Balans VL '!I8/100/3.6*1000000</f>
        <v>28.607672428522296</v>
      </c>
      <c r="F12" s="33">
        <f>$C$32*('E Balans VL '!L8+'E Balans VL '!N8)/100/3.6*1000000</f>
        <v>453.93827767566756</v>
      </c>
      <c r="G12" s="34"/>
      <c r="H12" s="33"/>
      <c r="I12" s="33"/>
      <c r="J12" s="33">
        <f>$C$32*('E Balans VL '!D8+'E Balans VL '!E8)/100/3.6*1000000</f>
        <v>4.5052073762725051E-3</v>
      </c>
      <c r="K12" s="33"/>
      <c r="L12" s="33"/>
      <c r="M12" s="33"/>
      <c r="N12" s="33">
        <f>$C$32*'E Balans VL '!Y8/100/3.6*1000000</f>
        <v>180.71567264041306</v>
      </c>
      <c r="O12" s="33"/>
      <c r="P12" s="33"/>
      <c r="R12" s="32"/>
    </row>
    <row r="13" spans="1:18">
      <c r="A13" s="16" t="s">
        <v>473</v>
      </c>
      <c r="B13" s="242">
        <f ca="1">'lokale energieproductie'!N41+'lokale energieproductie'!N34</f>
        <v>0</v>
      </c>
      <c r="C13" s="242">
        <f ca="1">'lokale energieproductie'!O41+'lokale energieproductie'!O34</f>
        <v>0</v>
      </c>
      <c r="D13" s="300">
        <f ca="1">('lokale energieproductie'!P34+'lokale energieproductie'!P41)*(-1)</f>
        <v>0</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51347.047002397921</v>
      </c>
      <c r="C16" s="21">
        <f t="shared" ca="1" si="1"/>
        <v>0</v>
      </c>
      <c r="D16" s="21">
        <f t="shared" ca="1" si="1"/>
        <v>109408.68930327072</v>
      </c>
      <c r="E16" s="21">
        <f t="shared" si="1"/>
        <v>820.48526140111119</v>
      </c>
      <c r="F16" s="21">
        <f t="shared" ca="1" si="1"/>
        <v>8753.2227947865849</v>
      </c>
      <c r="G16" s="21">
        <f t="shared" si="1"/>
        <v>0</v>
      </c>
      <c r="H16" s="21">
        <f t="shared" si="1"/>
        <v>0</v>
      </c>
      <c r="I16" s="21">
        <f t="shared" si="1"/>
        <v>0</v>
      </c>
      <c r="J16" s="21">
        <f t="shared" si="1"/>
        <v>6.8834799151796258E-2</v>
      </c>
      <c r="K16" s="21">
        <f t="shared" si="1"/>
        <v>0</v>
      </c>
      <c r="L16" s="21">
        <f t="shared" ca="1" si="1"/>
        <v>0</v>
      </c>
      <c r="M16" s="21">
        <f t="shared" si="1"/>
        <v>0</v>
      </c>
      <c r="N16" s="21">
        <f t="shared" ca="1" si="1"/>
        <v>2837.202097600853</v>
      </c>
      <c r="O16" s="21">
        <f>O5</f>
        <v>7.8166666666666664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0.20854551887776712</v>
      </c>
      <c r="C18" s="25">
        <f ca="1">'EF ele_warmte'!B22</f>
        <v>0.2375733654061262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10708.196559956172</v>
      </c>
      <c r="C20" s="23">
        <f t="shared" ref="C20:P20" ca="1" si="2">C16*C18</f>
        <v>0</v>
      </c>
      <c r="D20" s="23">
        <f t="shared" ca="1" si="2"/>
        <v>22100.555239260684</v>
      </c>
      <c r="E20" s="23">
        <f t="shared" si="2"/>
        <v>186.25015433805225</v>
      </c>
      <c r="F20" s="23">
        <f t="shared" ca="1" si="2"/>
        <v>2337.1104862080183</v>
      </c>
      <c r="G20" s="23">
        <f t="shared" si="2"/>
        <v>0</v>
      </c>
      <c r="H20" s="23">
        <f t="shared" si="2"/>
        <v>0</v>
      </c>
      <c r="I20" s="23">
        <f t="shared" si="2"/>
        <v>0</v>
      </c>
      <c r="J20" s="23">
        <f t="shared" si="2"/>
        <v>2.4367518899735874E-2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10268.9630021539</v>
      </c>
      <c r="C26" s="39">
        <f>IF(ISERROR(B26*3.6/1000000/'E Balans VL '!Z12*100),0,B26*3.6/1000000/'E Balans VL '!Z12*100)</f>
        <v>0.27840041211650324</v>
      </c>
      <c r="D26" s="232" t="s">
        <v>700</v>
      </c>
      <c r="F26" s="6"/>
    </row>
    <row r="27" spans="1:18">
      <c r="A27" s="227" t="s">
        <v>52</v>
      </c>
      <c r="B27" s="33">
        <f>IF(ISERROR(TER_horeca_ele_kWh/1000),0,TER_horeca_ele_kWh/1000)</f>
        <v>4765.3506945557101</v>
      </c>
      <c r="C27" s="39">
        <f>IF(ISERROR(B27*3.6/1000000/'E Balans VL '!Z9*100),0,B27*3.6/1000000/'E Balans VL '!Z9*100)</f>
        <v>0.36860487498353872</v>
      </c>
      <c r="D27" s="232" t="s">
        <v>700</v>
      </c>
      <c r="F27" s="6"/>
    </row>
    <row r="28" spans="1:18">
      <c r="A28" s="167" t="s">
        <v>51</v>
      </c>
      <c r="B28" s="33">
        <f>IF(ISERROR(TER_handel_ele_kWh/1000),0,TER_handel_ele_kWh/1000)</f>
        <v>20514.211362510701</v>
      </c>
      <c r="C28" s="39">
        <f>IF(ISERROR(B28*3.6/1000000/'E Balans VL '!Z13*100),0,B28*3.6/1000000/'E Balans VL '!Z13*100)</f>
        <v>0.59332404863903809</v>
      </c>
      <c r="D28" s="232" t="s">
        <v>700</v>
      </c>
      <c r="F28" s="6"/>
    </row>
    <row r="29" spans="1:18">
      <c r="A29" s="227" t="s">
        <v>50</v>
      </c>
      <c r="B29" s="33">
        <f>IF(ISERROR(TER_gezond_ele_kWh/1000),0,TER_gezond_ele_kWh/1000)</f>
        <v>5226.5227113452602</v>
      </c>
      <c r="C29" s="39">
        <f>IF(ISERROR(B29*3.6/1000000/'E Balans VL '!Z10*100),0,B29*3.6/1000000/'E Balans VL '!Z10*100)</f>
        <v>0.53828058283554148</v>
      </c>
      <c r="D29" s="232" t="s">
        <v>700</v>
      </c>
      <c r="F29" s="6"/>
    </row>
    <row r="30" spans="1:18">
      <c r="A30" s="227" t="s">
        <v>49</v>
      </c>
      <c r="B30" s="33">
        <f>IF(ISERROR(TER_ander_ele_kWh/1000),0,TER_ander_ele_kWh/1000)</f>
        <v>5859.8230012204303</v>
      </c>
      <c r="C30" s="39">
        <f>IF(ISERROR(B30*3.6/1000000/'E Balans VL '!Z14*100),0,B30*3.6/1000000/'E Balans VL '!Z14*100)</f>
        <v>0.26346590488269106</v>
      </c>
      <c r="D30" s="232" t="s">
        <v>700</v>
      </c>
      <c r="F30" s="6"/>
    </row>
    <row r="31" spans="1:18">
      <c r="A31" s="227" t="s">
        <v>54</v>
      </c>
      <c r="B31" s="33">
        <f>IF(ISERROR(TER_onderwijs_ele_kWh/1000),0,TER_onderwijs_ele_kWh/1000)</f>
        <v>2499.5274685148202</v>
      </c>
      <c r="C31" s="39">
        <f>IF(ISERROR(B31*3.6/1000000/'E Balans VL '!Z11*100),0,B31*3.6/1000000/'E Balans VL '!Z11*100)</f>
        <v>0.69853526382948383</v>
      </c>
      <c r="D31" s="232" t="s">
        <v>700</v>
      </c>
    </row>
    <row r="32" spans="1:18">
      <c r="A32" s="227" t="s">
        <v>248</v>
      </c>
      <c r="B32" s="33">
        <f>IF(ISERROR(TER_rest_ele_kWh/1000),0,TER_rest_ele_kWh/1000)</f>
        <v>2212.6487620971102</v>
      </c>
      <c r="C32" s="39">
        <f>IF(ISERROR(B32*3.6/1000000/'E Balans VL '!Z8*100),0,B32*3.6/1000000/'E Balans VL '!Z8*100)</f>
        <v>1.8451361268010256E-2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5</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168252.74389940326</v>
      </c>
      <c r="C5" s="17">
        <f>IF(ISERROR('Eigen informatie GS &amp; warmtenet'!B59),0,'Eigen informatie GS &amp; warmtenet'!B59)</f>
        <v>0</v>
      </c>
      <c r="D5" s="30">
        <f>SUM(D6:D15)</f>
        <v>190456.0060341522</v>
      </c>
      <c r="E5" s="17">
        <f>SUM(E6:E15)</f>
        <v>7755.1743141366278</v>
      </c>
      <c r="F5" s="17">
        <f>SUM(F6:F15)</f>
        <v>34340.746870555202</v>
      </c>
      <c r="G5" s="18"/>
      <c r="H5" s="17"/>
      <c r="I5" s="17"/>
      <c r="J5" s="17">
        <f>SUM(J6:J15)</f>
        <v>497.21417414125131</v>
      </c>
      <c r="K5" s="17"/>
      <c r="L5" s="17"/>
      <c r="M5" s="17"/>
      <c r="N5" s="17">
        <f>SUM(N6:N15)</f>
        <v>4699.9475619376599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3138.7803805256499</v>
      </c>
      <c r="C8" s="33"/>
      <c r="D8" s="37">
        <f>IF( ISERROR(IND_metaal_Gas_kWH/1000),0,IND_metaal_Gas_kWH/1000)*0.902</f>
        <v>816.44215350585375</v>
      </c>
      <c r="E8" s="33">
        <f>C30*'E Balans VL '!I18/100/3.6*1000000</f>
        <v>28.48539362345586</v>
      </c>
      <c r="F8" s="33">
        <f>C30*'E Balans VL '!L18/100/3.6*1000000+C30*'E Balans VL '!N18/100/3.6*1000000</f>
        <v>288.89988653312736</v>
      </c>
      <c r="G8" s="34"/>
      <c r="H8" s="33"/>
      <c r="I8" s="33"/>
      <c r="J8" s="40">
        <f>C30*'E Balans VL '!D18/100/3.6*1000000+C30*'E Balans VL '!E18/100/3.6*1000000</f>
        <v>0</v>
      </c>
      <c r="K8" s="33"/>
      <c r="L8" s="33"/>
      <c r="M8" s="33"/>
      <c r="N8" s="33">
        <f>C30*'E Balans VL '!Y18/100/3.6*1000000</f>
        <v>45.823721806626516</v>
      </c>
      <c r="O8" s="33"/>
      <c r="P8" s="33"/>
      <c r="R8" s="32"/>
    </row>
    <row r="9" spans="1:18">
      <c r="A9" s="6" t="s">
        <v>32</v>
      </c>
      <c r="B9" s="37">
        <f t="shared" si="0"/>
        <v>12703.4078198765</v>
      </c>
      <c r="C9" s="33"/>
      <c r="D9" s="37">
        <f>IF( ISERROR(IND_andere_gas_kWh/1000),0,IND_andere_gas_kWh/1000)*0.902</f>
        <v>44019.361165764829</v>
      </c>
      <c r="E9" s="33">
        <f>C31*'E Balans VL '!I19/100/3.6*1000000</f>
        <v>73.733449909506049</v>
      </c>
      <c r="F9" s="33">
        <f>C31*'E Balans VL '!L19/100/3.6*1000000+C31*'E Balans VL '!N19/100/3.6*1000000</f>
        <v>8377.7548138831498</v>
      </c>
      <c r="G9" s="34"/>
      <c r="H9" s="33"/>
      <c r="I9" s="33"/>
      <c r="J9" s="40">
        <f>C31*'E Balans VL '!D19/100/3.6*1000000+C31*'E Balans VL '!E19/100/3.6*1000000</f>
        <v>0</v>
      </c>
      <c r="K9" s="33"/>
      <c r="L9" s="33"/>
      <c r="M9" s="33"/>
      <c r="N9" s="33">
        <f>C31*'E Balans VL '!Y19/100/3.6*1000000</f>
        <v>588.30585868615515</v>
      </c>
      <c r="O9" s="33"/>
      <c r="P9" s="33"/>
      <c r="R9" s="32"/>
    </row>
    <row r="10" spans="1:18">
      <c r="A10" s="6" t="s">
        <v>40</v>
      </c>
      <c r="B10" s="37">
        <f t="shared" si="0"/>
        <v>8563.4493978531391</v>
      </c>
      <c r="C10" s="33"/>
      <c r="D10" s="37">
        <f>IF( ISERROR(IND_voed_gas_kWh/1000),0,IND_voed_gas_kWh/1000)*0.902</f>
        <v>18199.839408477223</v>
      </c>
      <c r="E10" s="33">
        <f>C32*'E Balans VL '!I20/100/3.6*1000000</f>
        <v>18.147946759824922</v>
      </c>
      <c r="F10" s="33">
        <f>C32*'E Balans VL '!L20/100/3.6*1000000+C32*'E Balans VL '!N20/100/3.6*1000000</f>
        <v>544.24258344421264</v>
      </c>
      <c r="G10" s="34"/>
      <c r="H10" s="33"/>
      <c r="I10" s="33"/>
      <c r="J10" s="40">
        <f>C32*'E Balans VL '!D20/100/3.6*1000000+C32*'E Balans VL '!E20/100/3.6*1000000</f>
        <v>0</v>
      </c>
      <c r="K10" s="33"/>
      <c r="L10" s="33"/>
      <c r="M10" s="33"/>
      <c r="N10" s="33">
        <f>C32*'E Balans VL '!Y20/100/3.6*1000000</f>
        <v>248.2449132755084</v>
      </c>
      <c r="O10" s="33"/>
      <c r="P10" s="33"/>
      <c r="R10" s="32"/>
    </row>
    <row r="11" spans="1:18">
      <c r="A11" s="6" t="s">
        <v>39</v>
      </c>
      <c r="B11" s="37">
        <f t="shared" si="0"/>
        <v>233.21047586172099</v>
      </c>
      <c r="C11" s="33"/>
      <c r="D11" s="37">
        <f>IF( ISERROR(IND_textiel_gas_kWh/1000),0,IND_textiel_gas_kWh/1000)*0.902</f>
        <v>0</v>
      </c>
      <c r="E11" s="33">
        <f>C33*'E Balans VL '!I21/100/3.6*1000000</f>
        <v>0.73004476734852741</v>
      </c>
      <c r="F11" s="33">
        <f>C33*'E Balans VL '!L21/100/3.6*1000000+C33*'E Balans VL '!N21/100/3.6*1000000</f>
        <v>23.837951290432521</v>
      </c>
      <c r="G11" s="34"/>
      <c r="H11" s="33"/>
      <c r="I11" s="33"/>
      <c r="J11" s="40">
        <f>C33*'E Balans VL '!D21/100/3.6*1000000+C33*'E Balans VL '!E21/100/3.6*1000000</f>
        <v>0</v>
      </c>
      <c r="K11" s="33"/>
      <c r="L11" s="33"/>
      <c r="M11" s="33"/>
      <c r="N11" s="33">
        <f>C33*'E Balans VL '!Y21/100/3.6*1000000</f>
        <v>3.2197467990572576E-2</v>
      </c>
      <c r="O11" s="33"/>
      <c r="P11" s="33"/>
      <c r="R11" s="32"/>
    </row>
    <row r="12" spans="1:18">
      <c r="A12" s="6" t="s">
        <v>36</v>
      </c>
      <c r="B12" s="37">
        <f t="shared" si="0"/>
        <v>1305.81858967224</v>
      </c>
      <c r="C12" s="33"/>
      <c r="D12" s="37">
        <f>IF( ISERROR(IND_min_gas_kWh/1000),0,IND_min_gas_kWh/1000)*0.902</f>
        <v>0</v>
      </c>
      <c r="E12" s="33">
        <f>C34*'E Balans VL '!I22/100/3.6*1000000</f>
        <v>31.826732981851638</v>
      </c>
      <c r="F12" s="33">
        <f>C34*'E Balans VL '!L22/100/3.6*1000000+C34*'E Balans VL '!N22/100/3.6*1000000</f>
        <v>368.35933374182133</v>
      </c>
      <c r="G12" s="34"/>
      <c r="H12" s="33"/>
      <c r="I12" s="33"/>
      <c r="J12" s="40">
        <f>C34*'E Balans VL '!D22/100/3.6*1000000+C34*'E Balans VL '!E22/100/3.6*1000000</f>
        <v>2.2325073067451249</v>
      </c>
      <c r="K12" s="33"/>
      <c r="L12" s="33"/>
      <c r="M12" s="33"/>
      <c r="N12" s="33">
        <f>C34*'E Balans VL '!Y22/100/3.6*1000000</f>
        <v>297.4089555918743</v>
      </c>
      <c r="O12" s="33"/>
      <c r="P12" s="33"/>
      <c r="R12" s="32"/>
    </row>
    <row r="13" spans="1:18">
      <c r="A13" s="6" t="s">
        <v>38</v>
      </c>
      <c r="B13" s="37">
        <f t="shared" si="0"/>
        <v>1835.48837887999</v>
      </c>
      <c r="C13" s="33"/>
      <c r="D13" s="37">
        <f>IF( ISERROR(IND_papier_gas_kWh/1000),0,IND_papier_gas_kWh/1000)*0.902</f>
        <v>576.62577741298605</v>
      </c>
      <c r="E13" s="33">
        <f>C35*'E Balans VL '!I23/100/3.6*1000000</f>
        <v>2.7092985560966873</v>
      </c>
      <c r="F13" s="33">
        <f>C35*'E Balans VL '!L23/100/3.6*1000000+C35*'E Balans VL '!N23/100/3.6*1000000</f>
        <v>47.533607857813621</v>
      </c>
      <c r="G13" s="34"/>
      <c r="H13" s="33"/>
      <c r="I13" s="33"/>
      <c r="J13" s="40">
        <f>C35*'E Balans VL '!D23/100/3.6*1000000+C35*'E Balans VL '!E23/100/3.6*1000000</f>
        <v>0.29533897226486799</v>
      </c>
      <c r="K13" s="33"/>
      <c r="L13" s="33"/>
      <c r="M13" s="33"/>
      <c r="N13" s="33">
        <f>C35*'E Balans VL '!Y23/100/3.6*1000000</f>
        <v>-83.362317266401433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140472.58885673402</v>
      </c>
      <c r="C15" s="33"/>
      <c r="D15" s="37">
        <f>IF( ISERROR(IND_rest_gas_kWh/1000),0,IND_rest_gas_kWh/1000)*0.902</f>
        <v>126843.7375289913</v>
      </c>
      <c r="E15" s="33">
        <f>C37*'E Balans VL '!I15/100/3.6*1000000</f>
        <v>7599.5414475385442</v>
      </c>
      <c r="F15" s="33">
        <f>C37*'E Balans VL '!L15/100/3.6*1000000+C37*'E Balans VL '!N15/100/3.6*1000000</f>
        <v>24690.118693804649</v>
      </c>
      <c r="G15" s="34"/>
      <c r="H15" s="33"/>
      <c r="I15" s="33"/>
      <c r="J15" s="40">
        <f>C37*'E Balans VL '!D15/100/3.6*1000000+C37*'E Balans VL '!E15/100/3.6*1000000</f>
        <v>494.68632786224128</v>
      </c>
      <c r="K15" s="33"/>
      <c r="L15" s="33"/>
      <c r="M15" s="33"/>
      <c r="N15" s="33">
        <f>C37*'E Balans VL '!Y15/100/3.6*1000000</f>
        <v>3603.4942323759064</v>
      </c>
      <c r="O15" s="33"/>
      <c r="P15" s="33"/>
      <c r="R15" s="32"/>
    </row>
    <row r="16" spans="1:18">
      <c r="A16" s="16" t="s">
        <v>473</v>
      </c>
      <c r="B16" s="242">
        <f>'lokale energieproductie'!N40+'lokale energieproductie'!N33</f>
        <v>3937.5</v>
      </c>
      <c r="C16" s="242">
        <f>'lokale energieproductie'!O40+'lokale energieproductie'!O33</f>
        <v>5625</v>
      </c>
      <c r="D16" s="300">
        <f>('lokale energieproductie'!P33+'lokale energieproductie'!P40)*(-1)</f>
        <v>-11250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172190.24389940326</v>
      </c>
      <c r="C18" s="21">
        <f>C5+C16</f>
        <v>5625</v>
      </c>
      <c r="D18" s="21">
        <f>MAX((D5+D16),0)</f>
        <v>179206.0060341522</v>
      </c>
      <c r="E18" s="21">
        <f>MAX((E5+E16),0)</f>
        <v>7755.1743141366278</v>
      </c>
      <c r="F18" s="21">
        <f>MAX((F5+F16),0)</f>
        <v>34340.746870555202</v>
      </c>
      <c r="G18" s="21"/>
      <c r="H18" s="21"/>
      <c r="I18" s="21"/>
      <c r="J18" s="21">
        <f>MAX((J5+J16),0)</f>
        <v>497.21417414125131</v>
      </c>
      <c r="K18" s="21"/>
      <c r="L18" s="21">
        <f>MAX((L5+L16),0)</f>
        <v>0</v>
      </c>
      <c r="M18" s="21"/>
      <c r="N18" s="21">
        <f>MAX((N5+N16),0)</f>
        <v>4699.9475619376599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0.20854551887776712</v>
      </c>
      <c r="C20" s="25">
        <f ca="1">'EF ele_warmte'!B22</f>
        <v>0.2375733654061262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35909.503759690328</v>
      </c>
      <c r="C22" s="23">
        <f ca="1">C18*C20</f>
        <v>1336.3501804094599</v>
      </c>
      <c r="D22" s="23">
        <f>D18*D20</f>
        <v>36199.613218898747</v>
      </c>
      <c r="E22" s="23">
        <f>E18*E20</f>
        <v>1760.4245693090145</v>
      </c>
      <c r="F22" s="23">
        <f>F18*F20</f>
        <v>9168.9794144382395</v>
      </c>
      <c r="G22" s="23"/>
      <c r="H22" s="23"/>
      <c r="I22" s="23"/>
      <c r="J22" s="23">
        <f>J18*J20</f>
        <v>176.01381764600296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3138.7803805256499</v>
      </c>
      <c r="C30" s="39">
        <f>IF(ISERROR(B30*3.6/1000000/'E Balans VL '!Z18*100),0,B30*3.6/1000000/'E Balans VL '!Z18*100)</f>
        <v>0.18202923228287859</v>
      </c>
      <c r="D30" s="232" t="s">
        <v>700</v>
      </c>
    </row>
    <row r="31" spans="1:18">
      <c r="A31" s="6" t="s">
        <v>32</v>
      </c>
      <c r="B31" s="37">
        <f>IF( ISERROR(IND_ander_ele_kWh/1000),0,IND_ander_ele_kWh/1000)</f>
        <v>12703.4078198765</v>
      </c>
      <c r="C31" s="39">
        <f>IF(ISERROR(B31*3.6/1000000/'E Balans VL '!Z19*100),0,B31*3.6/1000000/'E Balans VL '!Z19*100)</f>
        <v>0.53054211453207423</v>
      </c>
      <c r="D31" s="232" t="s">
        <v>700</v>
      </c>
    </row>
    <row r="32" spans="1:18">
      <c r="A32" s="167" t="s">
        <v>40</v>
      </c>
      <c r="B32" s="37">
        <f>IF( ISERROR(IND_voed_ele_kWh/1000),0,IND_voed_ele_kWh/1000)</f>
        <v>8563.4493978531391</v>
      </c>
      <c r="C32" s="39">
        <f>IF(ISERROR(B32*3.6/1000000/'E Balans VL '!Z20*100),0,B32*3.6/1000000/'E Balans VL '!Z20*100)</f>
        <v>0.2656044593804669</v>
      </c>
      <c r="D32" s="232" t="s">
        <v>700</v>
      </c>
    </row>
    <row r="33" spans="1:5">
      <c r="A33" s="167" t="s">
        <v>39</v>
      </c>
      <c r="B33" s="37">
        <f>IF( ISERROR(IND_textiel_ele_kWh/1000),0,IND_textiel_ele_kWh/1000)</f>
        <v>233.21047586172099</v>
      </c>
      <c r="C33" s="39">
        <f>IF(ISERROR(B33*3.6/1000000/'E Balans VL '!Z21*100),0,B33*3.6/1000000/'E Balans VL '!Z21*100)</f>
        <v>3.2323169204144242E-2</v>
      </c>
      <c r="D33" s="232" t="s">
        <v>700</v>
      </c>
    </row>
    <row r="34" spans="1:5">
      <c r="A34" s="167" t="s">
        <v>36</v>
      </c>
      <c r="B34" s="37">
        <f>IF( ISERROR(IND_min_ele_kWh/1000),0,IND_min_ele_kWh/1000)</f>
        <v>1305.81858967224</v>
      </c>
      <c r="C34" s="39">
        <f>IF(ISERROR(B34*3.6/1000000/'E Balans VL '!Z22*100),0,B34*3.6/1000000/'E Balans VL '!Z22*100)</f>
        <v>0.24436078760360241</v>
      </c>
      <c r="D34" s="232" t="s">
        <v>700</v>
      </c>
    </row>
    <row r="35" spans="1:5">
      <c r="A35" s="167" t="s">
        <v>38</v>
      </c>
      <c r="B35" s="37">
        <f>IF( ISERROR(IND_papier_ele_kWh/1000),0,IND_papier_ele_kWh/1000)</f>
        <v>1835.48837887999</v>
      </c>
      <c r="C35" s="39">
        <f>IF(ISERROR(B35*3.6/1000000/'E Balans VL '!Z22*100),0,B35*3.6/1000000/'E Balans VL '!Z22*100)</f>
        <v>0.34347909384024966</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140472.58885673402</v>
      </c>
      <c r="C37" s="39">
        <f>IF(ISERROR(B37*3.6/1000000/'E Balans VL '!Z15*100),0,B37*3.6/1000000/'E Balans VL '!Z15*100)</f>
        <v>1.0952562871184397</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1832.2435680271483</v>
      </c>
      <c r="C5" s="17">
        <f>'Eigen informatie GS &amp; warmtenet'!B60</f>
        <v>0</v>
      </c>
      <c r="D5" s="30">
        <f>IF(ISERROR(SUM(LB_lb_gas_kWh,LB_rest_gas_kWh)/1000),0,SUM(LB_lb_gas_kWh,LB_rest_gas_kWh)/1000)*0.902</f>
        <v>391.19520328855327</v>
      </c>
      <c r="E5" s="17">
        <f>B17*'E Balans VL '!I25/3.6*1000000/100</f>
        <v>59.462326851593183</v>
      </c>
      <c r="F5" s="17">
        <f>B17*('E Balans VL '!L25/3.6*1000000+'E Balans VL '!N25/3.6*1000000)/100</f>
        <v>6759.5020637178604</v>
      </c>
      <c r="G5" s="18"/>
      <c r="H5" s="17"/>
      <c r="I5" s="17"/>
      <c r="J5" s="17">
        <f>('E Balans VL '!D25+'E Balans VL '!E25)/3.6*1000000*landbouw!B17/100</f>
        <v>481.86111542149104</v>
      </c>
      <c r="K5" s="17"/>
      <c r="L5" s="17">
        <f>L6*(-1)</f>
        <v>0</v>
      </c>
      <c r="M5" s="17"/>
      <c r="N5" s="17">
        <f>N6*(-1)</f>
        <v>0</v>
      </c>
      <c r="O5" s="17"/>
      <c r="P5" s="17"/>
      <c r="R5" s="32"/>
    </row>
    <row r="6" spans="1:18">
      <c r="A6" s="16" t="s">
        <v>473</v>
      </c>
      <c r="B6" s="17" t="s">
        <v>204</v>
      </c>
      <c r="C6" s="17">
        <f>'lokale energieproductie'!O42+'lokale energieproductie'!O35</f>
        <v>79.071428571428584</v>
      </c>
      <c r="D6" s="300">
        <f>('lokale energieproductie'!P35+'lokale energieproductie'!P42)*(-1)</f>
        <v>-128.14285714285717</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1832.2435680271483</v>
      </c>
      <c r="C8" s="21">
        <f>C5+C6</f>
        <v>79.071428571428584</v>
      </c>
      <c r="D8" s="21">
        <f>MAX((D5+D6),0)</f>
        <v>263.05234614569611</v>
      </c>
      <c r="E8" s="21">
        <f>MAX((E5+E6),0)</f>
        <v>59.462326851593183</v>
      </c>
      <c r="F8" s="21">
        <f>MAX((F5+F6),0)</f>
        <v>6759.5020637178604</v>
      </c>
      <c r="G8" s="21"/>
      <c r="H8" s="21"/>
      <c r="I8" s="21"/>
      <c r="J8" s="21">
        <f>MAX((J5+J6),0)</f>
        <v>481.86111542149104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0.20854551887776712</v>
      </c>
      <c r="C10" s="31">
        <f ca="1">'EF ele_warmte'!B22</f>
        <v>0.2375733654061262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382.10618560467304</v>
      </c>
      <c r="C12" s="23">
        <f ca="1">C8*C10</f>
        <v>18.78526539318441</v>
      </c>
      <c r="D12" s="23">
        <f>D8*D10</f>
        <v>53.136573921430617</v>
      </c>
      <c r="E12" s="23">
        <f>E8*E10</f>
        <v>13.497948195311652</v>
      </c>
      <c r="F12" s="23">
        <f>F8*F10</f>
        <v>1804.7870510126688</v>
      </c>
      <c r="G12" s="23"/>
      <c r="H12" s="23"/>
      <c r="I12" s="23"/>
      <c r="J12" s="23">
        <f>J8*J10</f>
        <v>170.57883485920783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0.260001110791936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343.41847450302123</v>
      </c>
      <c r="C26" s="242">
        <f>B26*'GWP N2O_CH4'!B5</f>
        <v>7211.7879645634457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88.229602648704386</v>
      </c>
      <c r="C27" s="242">
        <f>B27*'GWP N2O_CH4'!B5</f>
        <v>1852.8216556227922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5.0402975845261855</v>
      </c>
      <c r="C28" s="242">
        <f>B28*'GWP N2O_CH4'!B4</f>
        <v>1562.4922512031176</v>
      </c>
      <c r="D28" s="50"/>
    </row>
    <row r="29" spans="1:4">
      <c r="A29" s="41" t="s">
        <v>265</v>
      </c>
      <c r="B29" s="242">
        <f>B34*'ha_N2O bodem landbouw'!B4</f>
        <v>24.655853375857401</v>
      </c>
      <c r="C29" s="242">
        <f>B29*'GWP N2O_CH4'!B4</f>
        <v>7643.3145465157941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5.6263807725199545E-3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3.6662839592509249E-4</v>
      </c>
      <c r="C5" s="427" t="s">
        <v>204</v>
      </c>
      <c r="D5" s="412">
        <f>SUM(D6:D11)</f>
        <v>6.479801932861148E-4</v>
      </c>
      <c r="E5" s="412">
        <f>SUM(E6:E11)</f>
        <v>1.1128655531232714E-3</v>
      </c>
      <c r="F5" s="425" t="s">
        <v>204</v>
      </c>
      <c r="G5" s="412">
        <f>SUM(G6:G11)</f>
        <v>0.50521793297291184</v>
      </c>
      <c r="H5" s="412">
        <f>SUM(H6:H11)</f>
        <v>0.11166467535063225</v>
      </c>
      <c r="I5" s="427" t="s">
        <v>204</v>
      </c>
      <c r="J5" s="427" t="s">
        <v>204</v>
      </c>
      <c r="K5" s="427" t="s">
        <v>204</v>
      </c>
      <c r="L5" s="427" t="s">
        <v>204</v>
      </c>
      <c r="M5" s="412">
        <f>SUM(M6:M11)</f>
        <v>3.2805025925770288E-2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2.8197854625187246E-4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4.7644829984535653E-4</v>
      </c>
      <c r="E6" s="818">
        <f>vkm_GW_PW*SUMIFS(TableVerdeelsleutelVkm[LPG],TableVerdeelsleutelVkm[Voertuigtype],"Lichte voertuigen")*SUMIFS(TableECFTransport[EnergieConsumptieFactor (PJ per km)],TableECFTransport[Index],CONCATENATE($A6,"_LPG_LPG"))</f>
        <v>8.282103372819192E-4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0.25084294621366299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8.2607184023184593E-2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1.7087639278071037E-2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5.1625872965947747E-6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0.16582354693973234</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3.308331722806382E-6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9.6883486647046518E-3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7.9292319523355446E-5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1.715318934407583E-4</v>
      </c>
      <c r="E8" s="415">
        <f>vkm_NGW_PW*SUMIFS(TableVerdeelsleutelVkm[LPG],TableVerdeelsleutelVkm[Voertuigtype],"Lichte voertuigen")*SUMIFS(TableECFTransport[EnergieConsumptieFactor (PJ per km)],TableECFTransport[Index],CONCATENATE($A8,"_LPG_LPG"))</f>
        <v>2.8465521584135226E-4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8.051737785875783E-2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2.9054032208202421E-2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5.5596429632374898E-3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1.949428532697945E-7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8.0340619607586431E-3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1.5078752242520707E-7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4.6939501975710687E-4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101.84122109030348</v>
      </c>
      <c r="C14" s="21"/>
      <c r="D14" s="21">
        <f t="shared" ref="D14:M14" si="0">((D5)*10^9/3600)+D12</f>
        <v>179.9944981350319</v>
      </c>
      <c r="E14" s="21">
        <f t="shared" si="0"/>
        <v>309.12932031201979</v>
      </c>
      <c r="F14" s="21"/>
      <c r="G14" s="21">
        <f t="shared" si="0"/>
        <v>140338.31471469774</v>
      </c>
      <c r="H14" s="21">
        <f t="shared" si="0"/>
        <v>31017.965375175627</v>
      </c>
      <c r="I14" s="21"/>
      <c r="J14" s="21"/>
      <c r="K14" s="21"/>
      <c r="L14" s="21"/>
      <c r="M14" s="21">
        <f t="shared" si="0"/>
        <v>9112.5072016028589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0.20854551887776712</v>
      </c>
      <c r="C16" s="56">
        <f ca="1">'EF ele_warmte'!B22</f>
        <v>0.2375733654061262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21.238530295422738</v>
      </c>
      <c r="C18" s="23"/>
      <c r="D18" s="23">
        <f t="shared" ref="D18:M18" si="1">D14*D16</f>
        <v>36.358888623276449</v>
      </c>
      <c r="E18" s="23">
        <f t="shared" si="1"/>
        <v>70.172355710828498</v>
      </c>
      <c r="F18" s="23"/>
      <c r="G18" s="23">
        <f t="shared" si="1"/>
        <v>37470.330028824297</v>
      </c>
      <c r="H18" s="23">
        <f t="shared" si="1"/>
        <v>7723.473378418731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9.2857496259721964E-5</v>
      </c>
      <c r="C50" s="311">
        <f t="shared" ref="C50:P50" si="2">SUM(C51:C52)</f>
        <v>0</v>
      </c>
      <c r="D50" s="311">
        <f t="shared" si="2"/>
        <v>0</v>
      </c>
      <c r="E50" s="311">
        <f t="shared" si="2"/>
        <v>0</v>
      </c>
      <c r="F50" s="311">
        <f t="shared" si="2"/>
        <v>0</v>
      </c>
      <c r="G50" s="311">
        <f t="shared" si="2"/>
        <v>8.7230402410104803E-3</v>
      </c>
      <c r="H50" s="311">
        <f t="shared" si="2"/>
        <v>0</v>
      </c>
      <c r="I50" s="311">
        <f t="shared" si="2"/>
        <v>0</v>
      </c>
      <c r="J50" s="311">
        <f t="shared" si="2"/>
        <v>0</v>
      </c>
      <c r="K50" s="311">
        <f t="shared" si="2"/>
        <v>0</v>
      </c>
      <c r="L50" s="311">
        <f t="shared" si="2"/>
        <v>0</v>
      </c>
      <c r="M50" s="311">
        <f t="shared" si="2"/>
        <v>5.0233369668630228E-4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9.2857496259721964E-5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8.7230402410104803E-3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5.0233369668630228E-4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25.793748961033881</v>
      </c>
      <c r="C54" s="21">
        <f t="shared" ref="C54:P54" si="3">(C50)*10^9/3600</f>
        <v>0</v>
      </c>
      <c r="D54" s="21">
        <f t="shared" si="3"/>
        <v>0</v>
      </c>
      <c r="E54" s="21">
        <f t="shared" si="3"/>
        <v>0</v>
      </c>
      <c r="F54" s="21">
        <f t="shared" si="3"/>
        <v>0</v>
      </c>
      <c r="G54" s="21">
        <f t="shared" si="3"/>
        <v>2423.0667336140223</v>
      </c>
      <c r="H54" s="21">
        <f t="shared" si="3"/>
        <v>0</v>
      </c>
      <c r="I54" s="21">
        <f t="shared" si="3"/>
        <v>0</v>
      </c>
      <c r="J54" s="21">
        <f t="shared" si="3"/>
        <v>0</v>
      </c>
      <c r="K54" s="21">
        <f t="shared" si="3"/>
        <v>0</v>
      </c>
      <c r="L54" s="21">
        <f t="shared" si="3"/>
        <v>0</v>
      </c>
      <c r="M54" s="21">
        <f t="shared" si="3"/>
        <v>139.53713796841728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0.20854551887776712</v>
      </c>
      <c r="C56" s="56">
        <f ca="1">'EF ele_warmte'!B22</f>
        <v>0.2375733654061262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5.379170760881677</v>
      </c>
      <c r="C58" s="23">
        <f t="shared" ref="C58:P58" ca="1" si="4">C54*C56</f>
        <v>0</v>
      </c>
      <c r="D58" s="23">
        <f t="shared" si="4"/>
        <v>0</v>
      </c>
      <c r="E58" s="23">
        <f t="shared" si="4"/>
        <v>0</v>
      </c>
      <c r="F58" s="23">
        <f t="shared" si="4"/>
        <v>0</v>
      </c>
      <c r="G58" s="23">
        <f t="shared" si="4"/>
        <v>646.95881787494397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70" zoomScaleNormal="70"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16256.68654130866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N32</f>
        <v>3970.35</v>
      </c>
      <c r="C8" s="534">
        <f>B51</f>
        <v>4669.5515412881832</v>
      </c>
      <c r="D8" s="962"/>
      <c r="E8" s="962">
        <f>E51</f>
        <v>0</v>
      </c>
      <c r="F8" s="963"/>
      <c r="G8" s="535"/>
      <c r="H8" s="962">
        <f>I51</f>
        <v>0</v>
      </c>
      <c r="I8" s="962">
        <f>G51+F51</f>
        <v>0</v>
      </c>
      <c r="J8" s="962">
        <f>H51+D51+C51</f>
        <v>0</v>
      </c>
      <c r="K8" s="962"/>
      <c r="L8" s="962"/>
      <c r="M8" s="962"/>
      <c r="N8" s="536"/>
      <c r="O8" s="537">
        <f>C8*$C$12+D8*$D$12+E8*$E$12+F8*$F$12+G8*$G$12+H8*$H$12+I8*$I$12+J8*$J$12</f>
        <v>943.2494113402131</v>
      </c>
      <c r="P8" s="1180"/>
      <c r="Q8" s="1181"/>
      <c r="S8" s="925"/>
      <c r="T8" s="1217"/>
      <c r="U8" s="1217"/>
    </row>
    <row r="9" spans="1:21" s="523" customFormat="1" ht="17.45" customHeight="1" thickBot="1">
      <c r="A9" s="538" t="s">
        <v>236</v>
      </c>
      <c r="B9" s="539">
        <f>N39+'Eigen informatie GS &amp; warmtenet'!B12</f>
        <v>0</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20227.036541308658</v>
      </c>
      <c r="C10" s="547">
        <f t="shared" ref="C10:L10" si="0">SUM(C8:C9)</f>
        <v>4669.5515412881832</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943.2494113402131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O32</f>
        <v>5704.0714285714284</v>
      </c>
      <c r="C17" s="559">
        <f>B52</f>
        <v>6708.5913158546737</v>
      </c>
      <c r="D17" s="560"/>
      <c r="E17" s="560">
        <f>E52</f>
        <v>0</v>
      </c>
      <c r="F17" s="968"/>
      <c r="G17" s="561"/>
      <c r="H17" s="559">
        <f>I52</f>
        <v>0</v>
      </c>
      <c r="I17" s="560">
        <f>G52+F52</f>
        <v>0</v>
      </c>
      <c r="J17" s="560">
        <f>H52+D52+C52</f>
        <v>0</v>
      </c>
      <c r="K17" s="560"/>
      <c r="L17" s="560"/>
      <c r="M17" s="560"/>
      <c r="N17" s="969"/>
      <c r="O17" s="562">
        <f>C17*$C$22+E17*$E$22+H17*$H$22+I17*$I$22+J17*$J$22+D17*$D$22+F17*$F$22+G17*$G$22+K17*$K$22+L17*$L$22</f>
        <v>1355.1354458026442</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5704.0714285714284</v>
      </c>
      <c r="C20" s="546">
        <f>SUM(C17:C19)</f>
        <v>6708.5913158546737</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1355.1354458026442</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45035</v>
      </c>
      <c r="C28" s="724">
        <v>9700</v>
      </c>
      <c r="D28" s="617"/>
      <c r="E28" s="616"/>
      <c r="F28" s="616"/>
      <c r="G28" s="616" t="s">
        <v>878</v>
      </c>
      <c r="H28" s="616" t="s">
        <v>879</v>
      </c>
      <c r="I28" s="616"/>
      <c r="J28" s="723"/>
      <c r="K28" s="723"/>
      <c r="L28" s="616" t="s">
        <v>880</v>
      </c>
      <c r="M28" s="616">
        <v>875</v>
      </c>
      <c r="N28" s="616">
        <v>3937.5</v>
      </c>
      <c r="O28" s="616">
        <v>5625</v>
      </c>
      <c r="P28" s="616">
        <v>11250</v>
      </c>
      <c r="Q28" s="616">
        <v>0</v>
      </c>
      <c r="R28" s="616">
        <v>0</v>
      </c>
      <c r="S28" s="616">
        <v>0</v>
      </c>
      <c r="T28" s="616">
        <v>0</v>
      </c>
      <c r="U28" s="616">
        <v>0</v>
      </c>
      <c r="V28" s="616">
        <v>0</v>
      </c>
      <c r="W28" s="616">
        <v>0</v>
      </c>
      <c r="X28" s="616"/>
      <c r="Y28" s="616">
        <v>300</v>
      </c>
      <c r="Z28" s="616" t="s">
        <v>881</v>
      </c>
      <c r="AA28" s="618" t="s">
        <v>375</v>
      </c>
    </row>
    <row r="29" spans="1:27" s="570" customFormat="1" ht="12.75" hidden="1">
      <c r="A29" s="569"/>
      <c r="B29" s="724">
        <v>45035</v>
      </c>
      <c r="C29" s="724">
        <v>9700</v>
      </c>
      <c r="D29" s="617"/>
      <c r="E29" s="616"/>
      <c r="F29" s="616"/>
      <c r="G29" s="616" t="s">
        <v>882</v>
      </c>
      <c r="H29" s="616" t="s">
        <v>882</v>
      </c>
      <c r="I29" s="616"/>
      <c r="J29" s="723"/>
      <c r="K29" s="723"/>
      <c r="L29" s="616" t="s">
        <v>880</v>
      </c>
      <c r="M29" s="616">
        <v>1</v>
      </c>
      <c r="N29" s="616">
        <v>4.5</v>
      </c>
      <c r="O29" s="616">
        <v>22.5</v>
      </c>
      <c r="P29" s="616">
        <v>30</v>
      </c>
      <c r="Q29" s="616">
        <v>0</v>
      </c>
      <c r="R29" s="616">
        <v>0</v>
      </c>
      <c r="S29" s="616">
        <v>0</v>
      </c>
      <c r="T29" s="616">
        <v>0</v>
      </c>
      <c r="U29" s="616">
        <v>0</v>
      </c>
      <c r="V29" s="616">
        <v>0</v>
      </c>
      <c r="W29" s="616">
        <v>0</v>
      </c>
      <c r="X29" s="616"/>
      <c r="Y29" s="616">
        <v>10</v>
      </c>
      <c r="Z29" s="616" t="s">
        <v>105</v>
      </c>
      <c r="AA29" s="618" t="s">
        <v>105</v>
      </c>
    </row>
    <row r="30" spans="1:27" s="570" customFormat="1" ht="12.75" hidden="1">
      <c r="A30" s="569"/>
      <c r="B30" s="724">
        <v>45035</v>
      </c>
      <c r="C30" s="724">
        <v>9700</v>
      </c>
      <c r="D30" s="617"/>
      <c r="E30" s="616"/>
      <c r="F30" s="616"/>
      <c r="G30" s="616" t="s">
        <v>882</v>
      </c>
      <c r="H30" s="616" t="s">
        <v>882</v>
      </c>
      <c r="I30" s="616"/>
      <c r="J30" s="723"/>
      <c r="K30" s="723"/>
      <c r="L30" s="616" t="s">
        <v>880</v>
      </c>
      <c r="M30" s="616">
        <v>1</v>
      </c>
      <c r="N30" s="616">
        <v>4.5</v>
      </c>
      <c r="O30" s="616">
        <v>22.5</v>
      </c>
      <c r="P30" s="616">
        <v>30</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45035</v>
      </c>
      <c r="C31" s="724">
        <v>9700</v>
      </c>
      <c r="D31" s="617"/>
      <c r="E31" s="616"/>
      <c r="F31" s="616"/>
      <c r="G31" s="616" t="s">
        <v>878</v>
      </c>
      <c r="H31" s="616" t="s">
        <v>879</v>
      </c>
      <c r="I31" s="616"/>
      <c r="J31" s="723"/>
      <c r="K31" s="723"/>
      <c r="L31" s="616" t="s">
        <v>880</v>
      </c>
      <c r="M31" s="616">
        <v>5.3</v>
      </c>
      <c r="N31" s="616">
        <v>23.85</v>
      </c>
      <c r="O31" s="616">
        <v>34.071428571428577</v>
      </c>
      <c r="P31" s="616">
        <v>68.142857142857153</v>
      </c>
      <c r="Q31" s="616">
        <v>0</v>
      </c>
      <c r="R31" s="616">
        <v>0</v>
      </c>
      <c r="S31" s="616">
        <v>0</v>
      </c>
      <c r="T31" s="616">
        <v>0</v>
      </c>
      <c r="U31" s="616">
        <v>0</v>
      </c>
      <c r="V31" s="616">
        <v>0</v>
      </c>
      <c r="W31" s="616">
        <v>0</v>
      </c>
      <c r="X31" s="616"/>
      <c r="Y31" s="616">
        <v>10</v>
      </c>
      <c r="Z31" s="616" t="s">
        <v>105</v>
      </c>
      <c r="AA31" s="618" t="s">
        <v>105</v>
      </c>
    </row>
    <row r="32" spans="1:27" s="554" customFormat="1" hidden="1">
      <c r="A32" s="572" t="s">
        <v>268</v>
      </c>
      <c r="B32" s="573"/>
      <c r="C32" s="573"/>
      <c r="D32" s="573"/>
      <c r="E32" s="573"/>
      <c r="F32" s="573"/>
      <c r="G32" s="573"/>
      <c r="H32" s="573"/>
      <c r="I32" s="573"/>
      <c r="J32" s="573"/>
      <c r="K32" s="573"/>
      <c r="L32" s="574"/>
      <c r="M32" s="574">
        <f>SUM(M28:M31)</f>
        <v>882.3</v>
      </c>
      <c r="N32" s="574">
        <f>SUM(N28:N31)</f>
        <v>3970.35</v>
      </c>
      <c r="O32" s="574">
        <f>SUM(O28:O31)</f>
        <v>5704.0714285714284</v>
      </c>
      <c r="P32" s="574">
        <f>SUM(P28:P31)</f>
        <v>11378.142857142857</v>
      </c>
      <c r="Q32" s="574">
        <f>SUM(Q28:Q31)</f>
        <v>0</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275</v>
      </c>
      <c r="B33" s="573"/>
      <c r="C33" s="573"/>
      <c r="D33" s="573"/>
      <c r="E33" s="573"/>
      <c r="F33" s="573"/>
      <c r="G33" s="573"/>
      <c r="H33" s="573"/>
      <c r="I33" s="573"/>
      <c r="J33" s="573"/>
      <c r="K33" s="573"/>
      <c r="L33" s="574"/>
      <c r="M33" s="574">
        <f>SUMIF($AA$28:$AA$31,"industrie",M28:M31)</f>
        <v>875</v>
      </c>
      <c r="N33" s="574">
        <f>SUMIF($AA$28:$AA$31,"industrie",N28:N31)</f>
        <v>3937.5</v>
      </c>
      <c r="O33" s="574">
        <f>SUMIF($AA$28:$AA$31,"industrie",O28:O31)</f>
        <v>5625</v>
      </c>
      <c r="P33" s="574">
        <f>SUMIF($AA$28:$AA$31,"industrie",P28:P31)</f>
        <v>11250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276</v>
      </c>
      <c r="B34" s="573"/>
      <c r="C34" s="573"/>
      <c r="D34" s="573"/>
      <c r="E34" s="573"/>
      <c r="F34" s="573"/>
      <c r="G34" s="573"/>
      <c r="H34" s="573"/>
      <c r="I34" s="573"/>
      <c r="J34" s="573"/>
      <c r="K34" s="573"/>
      <c r="L34" s="574"/>
      <c r="M34" s="574">
        <f ca="1">SUMIF($AA$28:AD31,"tertiair",M28:M31)</f>
        <v>0</v>
      </c>
      <c r="N34" s="574">
        <f ca="1">SUMIF($AA$28:AE31,"tertiair",N28:N31)</f>
        <v>0</v>
      </c>
      <c r="O34" s="574">
        <f ca="1">SUMIF($AA$28:AF31,"tertiair",O28:O31)</f>
        <v>0</v>
      </c>
      <c r="P34" s="574">
        <f ca="1">SUMIF($AA$28:AG31,"tertiair",P28:P31)</f>
        <v>0</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277</v>
      </c>
      <c r="B35" s="578"/>
      <c r="C35" s="578"/>
      <c r="D35" s="578"/>
      <c r="E35" s="578"/>
      <c r="F35" s="578"/>
      <c r="G35" s="578"/>
      <c r="H35" s="578"/>
      <c r="I35" s="578"/>
      <c r="J35" s="578"/>
      <c r="K35" s="578"/>
      <c r="L35" s="579"/>
      <c r="M35" s="579">
        <f>SUMIF($AA$28:$AA$31,"landbouw",M28:M31)</f>
        <v>7.3</v>
      </c>
      <c r="N35" s="579">
        <f>SUMIF($AA$28:$AA$31,"landbouw",N28:N31)</f>
        <v>32.85</v>
      </c>
      <c r="O35" s="579">
        <f>SUMIF($AA$28:$AA$31,"landbouw",O28:O31)</f>
        <v>79.071428571428584</v>
      </c>
      <c r="P35" s="579">
        <f>SUMIF($AA$28:$AA$31,"landbouw",P28:P31)</f>
        <v>128.14285714285717</v>
      </c>
      <c r="Q35" s="579">
        <f>SUMIF($AA$28:$AA$31,"landbouw",Q28:Q31)</f>
        <v>0</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269</v>
      </c>
      <c r="B37" s="613" t="s">
        <v>89</v>
      </c>
      <c r="C37" s="613" t="s">
        <v>90</v>
      </c>
      <c r="D37" s="613"/>
      <c r="E37" s="613"/>
      <c r="F37" s="613"/>
      <c r="G37" s="613" t="s">
        <v>91</v>
      </c>
      <c r="H37" s="613" t="s">
        <v>92</v>
      </c>
      <c r="I37" s="613"/>
      <c r="J37" s="613"/>
      <c r="K37" s="613"/>
      <c r="L37" s="613" t="s">
        <v>93</v>
      </c>
      <c r="M37" s="614" t="s">
        <v>286</v>
      </c>
      <c r="N37" s="614" t="s">
        <v>94</v>
      </c>
      <c r="O37" s="614" t="s">
        <v>95</v>
      </c>
      <c r="P37" s="614" t="s">
        <v>518</v>
      </c>
      <c r="Q37" s="614" t="s">
        <v>96</v>
      </c>
      <c r="R37" s="614" t="s">
        <v>97</v>
      </c>
      <c r="S37" s="614" t="s">
        <v>98</v>
      </c>
      <c r="T37" s="614" t="s">
        <v>99</v>
      </c>
      <c r="U37" s="614" t="s">
        <v>100</v>
      </c>
      <c r="V37" s="614" t="s">
        <v>101</v>
      </c>
      <c r="W37" s="613" t="s">
        <v>102</v>
      </c>
      <c r="X37" s="613" t="s">
        <v>877</v>
      </c>
      <c r="Y37" s="613" t="s">
        <v>287</v>
      </c>
      <c r="Z37" s="613" t="s">
        <v>103</v>
      </c>
      <c r="AA37" s="615" t="s">
        <v>288</v>
      </c>
    </row>
    <row r="38" spans="1:28" s="585" customFormat="1" ht="12.75" hidden="1">
      <c r="A38" s="571"/>
      <c r="B38" s="724"/>
      <c r="C38" s="724"/>
      <c r="D38" s="619"/>
      <c r="E38" s="619"/>
      <c r="F38" s="619"/>
      <c r="G38" s="619"/>
      <c r="H38" s="619"/>
      <c r="I38" s="619"/>
      <c r="J38" s="723"/>
      <c r="K38" s="723"/>
      <c r="L38" s="619"/>
      <c r="M38" s="619"/>
      <c r="N38" s="619"/>
      <c r="O38" s="619"/>
      <c r="P38" s="619"/>
      <c r="Q38" s="619"/>
      <c r="R38" s="619"/>
      <c r="S38" s="619"/>
      <c r="T38" s="619"/>
      <c r="U38" s="619"/>
      <c r="V38" s="619"/>
      <c r="W38" s="619"/>
      <c r="X38" s="619"/>
      <c r="Y38" s="619"/>
      <c r="Z38" s="619"/>
      <c r="AA38" s="620"/>
    </row>
    <row r="39" spans="1:28" s="554" customFormat="1" hidden="1">
      <c r="A39" s="572" t="s">
        <v>268</v>
      </c>
      <c r="B39" s="573"/>
      <c r="C39" s="573"/>
      <c r="D39" s="573"/>
      <c r="E39" s="573"/>
      <c r="F39" s="573"/>
      <c r="G39" s="573"/>
      <c r="H39" s="573"/>
      <c r="I39" s="573"/>
      <c r="J39" s="573"/>
      <c r="K39" s="573"/>
      <c r="L39" s="574"/>
      <c r="M39" s="574">
        <f>SUM(M38:M38)</f>
        <v>0</v>
      </c>
      <c r="N39" s="574">
        <f>SUM(N38:N38)</f>
        <v>0</v>
      </c>
      <c r="O39" s="574">
        <f>SUM(O38:O38)</f>
        <v>0</v>
      </c>
      <c r="P39" s="574">
        <f>SUM(P38:P38)</f>
        <v>0</v>
      </c>
      <c r="Q39" s="574">
        <f>SUM(Q38:Q38)</f>
        <v>0</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275</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276</v>
      </c>
      <c r="B41" s="573"/>
      <c r="C41" s="573"/>
      <c r="D41" s="573"/>
      <c r="E41" s="573"/>
      <c r="F41" s="573"/>
      <c r="G41" s="573"/>
      <c r="H41" s="573"/>
      <c r="I41" s="573"/>
      <c r="J41" s="573"/>
      <c r="K41" s="573"/>
      <c r="L41" s="574"/>
      <c r="M41" s="574">
        <f>SUMIF($AA$38:$AA$39,"tertiair",M38:M39)</f>
        <v>0</v>
      </c>
      <c r="N41" s="574">
        <f>SUMIF($AA$38:$AA$39,"tertiair",N38:N39)</f>
        <v>0</v>
      </c>
      <c r="O41" s="574">
        <f>SUMIF($AA$38:$AA$39,"tertiair",O38:O39)</f>
        <v>0</v>
      </c>
      <c r="P41" s="574">
        <f>SUMIF($AA$38:$AA$39,"tertiair",P38:P39)</f>
        <v>0</v>
      </c>
      <c r="Q41" s="574">
        <f>SUMIF($AA$38:$AA$39,"tertiair",Q38:Q39)</f>
        <v>0</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277</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270</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271</v>
      </c>
      <c r="C47" s="596" t="s">
        <v>272</v>
      </c>
      <c r="D47" s="596"/>
      <c r="E47" s="596"/>
      <c r="F47" s="596"/>
      <c r="G47" s="596"/>
      <c r="H47" s="596"/>
      <c r="I47" s="597"/>
      <c r="J47" s="596"/>
      <c r="K47" s="596"/>
      <c r="L47" s="596"/>
      <c r="M47" s="596"/>
      <c r="N47" s="596"/>
      <c r="O47" s="596"/>
      <c r="P47" s="591"/>
    </row>
    <row r="48" spans="1:28">
      <c r="A48" s="593" t="s">
        <v>268</v>
      </c>
      <c r="B48" s="598">
        <f>IF(ISERROR(O32/(O32+N32)),0,O32/(O32+N32))</f>
        <v>0.58960336498528154</v>
      </c>
      <c r="C48" s="599">
        <f>IF(ISERROR(N32/(O32+N32)),0,N32/(N32+O32))</f>
        <v>0.41039663501471851</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518</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273</v>
      </c>
      <c r="B51" s="608">
        <f t="shared" ref="B51:I51" si="2">$C$48*P32</f>
        <v>4669.5515412881832</v>
      </c>
      <c r="C51" s="608">
        <f t="shared" si="2"/>
        <v>0</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274</v>
      </c>
      <c r="B52" s="611">
        <f t="shared" ref="B52:I52" si="3">$B$48*P32</f>
        <v>6708.5913158546737</v>
      </c>
      <c r="C52" s="611">
        <f t="shared" si="3"/>
        <v>0</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53757.828002397924</v>
      </c>
      <c r="D10" s="931">
        <f ca="1">tertiair!C16</f>
        <v>0</v>
      </c>
      <c r="E10" s="931">
        <f ca="1">tertiair!D16</f>
        <v>109408.68930327072</v>
      </c>
      <c r="F10" s="931">
        <f>tertiair!E16</f>
        <v>820.48526140111119</v>
      </c>
      <c r="G10" s="931">
        <f ca="1">tertiair!F16</f>
        <v>8753.2227947865849</v>
      </c>
      <c r="H10" s="931">
        <f>tertiair!G16</f>
        <v>0</v>
      </c>
      <c r="I10" s="931">
        <f>tertiair!H16</f>
        <v>0</v>
      </c>
      <c r="J10" s="931">
        <f>tertiair!I16</f>
        <v>0</v>
      </c>
      <c r="K10" s="931">
        <f>tertiair!J16</f>
        <v>6.8834799151796258E-2</v>
      </c>
      <c r="L10" s="931">
        <f>tertiair!K16</f>
        <v>0</v>
      </c>
      <c r="M10" s="931">
        <f ca="1">tertiair!L16</f>
        <v>0</v>
      </c>
      <c r="N10" s="931">
        <f>tertiair!M16</f>
        <v>0</v>
      </c>
      <c r="O10" s="931">
        <f ca="1">tertiair!N16</f>
        <v>2837.202097600853</v>
      </c>
      <c r="P10" s="931">
        <f>tertiair!O16</f>
        <v>7.8166666666666664</v>
      </c>
      <c r="Q10" s="932">
        <f>tertiair!P16</f>
        <v>57.2</v>
      </c>
      <c r="R10" s="628">
        <f ca="1">SUM(C10:Q10)</f>
        <v>175642.51296092302</v>
      </c>
      <c r="S10" s="67"/>
    </row>
    <row r="11" spans="1:19" s="437" customFormat="1">
      <c r="A11" s="736" t="s">
        <v>213</v>
      </c>
      <c r="B11" s="741"/>
      <c r="C11" s="931">
        <f>huishoudens!B8</f>
        <v>52722.774154106846</v>
      </c>
      <c r="D11" s="931">
        <f>huishoudens!C8</f>
        <v>0</v>
      </c>
      <c r="E11" s="931">
        <f>huishoudens!D8</f>
        <v>113696.52602514268</v>
      </c>
      <c r="F11" s="931">
        <f>huishoudens!E8</f>
        <v>3217.9388532756993</v>
      </c>
      <c r="G11" s="931">
        <f>huishoudens!F8</f>
        <v>74589.319010369887</v>
      </c>
      <c r="H11" s="931">
        <f>huishoudens!G8</f>
        <v>0</v>
      </c>
      <c r="I11" s="931">
        <f>huishoudens!H8</f>
        <v>0</v>
      </c>
      <c r="J11" s="931">
        <f>huishoudens!I8</f>
        <v>0</v>
      </c>
      <c r="K11" s="931">
        <f>huishoudens!J8</f>
        <v>383.32339702089519</v>
      </c>
      <c r="L11" s="931">
        <f>huishoudens!K8</f>
        <v>0</v>
      </c>
      <c r="M11" s="931">
        <f>huishoudens!L8</f>
        <v>0</v>
      </c>
      <c r="N11" s="931">
        <f>huishoudens!M8</f>
        <v>0</v>
      </c>
      <c r="O11" s="931">
        <f>huishoudens!N8</f>
        <v>19305.021622812423</v>
      </c>
      <c r="P11" s="931">
        <f>huishoudens!O8</f>
        <v>814.49666666666678</v>
      </c>
      <c r="Q11" s="932">
        <f>huishoudens!P8</f>
        <v>1334.6666666666667</v>
      </c>
      <c r="R11" s="628">
        <f>SUM(C11:Q11)</f>
        <v>266064.06639606174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172190.24389940326</v>
      </c>
      <c r="D13" s="931">
        <f>industrie!C18</f>
        <v>5625</v>
      </c>
      <c r="E13" s="931">
        <f>industrie!D18</f>
        <v>179206.0060341522</v>
      </c>
      <c r="F13" s="931">
        <f>industrie!E18</f>
        <v>7755.1743141366278</v>
      </c>
      <c r="G13" s="931">
        <f>industrie!F18</f>
        <v>34340.746870555202</v>
      </c>
      <c r="H13" s="931">
        <f>industrie!G18</f>
        <v>0</v>
      </c>
      <c r="I13" s="931">
        <f>industrie!H18</f>
        <v>0</v>
      </c>
      <c r="J13" s="931">
        <f>industrie!I18</f>
        <v>0</v>
      </c>
      <c r="K13" s="931">
        <f>industrie!J18</f>
        <v>497.21417414125131</v>
      </c>
      <c r="L13" s="931">
        <f>industrie!K18</f>
        <v>0</v>
      </c>
      <c r="M13" s="931">
        <f>industrie!L18</f>
        <v>0</v>
      </c>
      <c r="N13" s="931">
        <f>industrie!M18</f>
        <v>0</v>
      </c>
      <c r="O13" s="931">
        <f>industrie!N18</f>
        <v>4699.9475619376599</v>
      </c>
      <c r="P13" s="931">
        <f>industrie!O18</f>
        <v>0</v>
      </c>
      <c r="Q13" s="932">
        <f>industrie!P18</f>
        <v>0</v>
      </c>
      <c r="R13" s="628">
        <f>SUM(C13:Q13)</f>
        <v>404314.33285432623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278670.84605590801</v>
      </c>
      <c r="D16" s="660">
        <f t="shared" ref="D16:R16" ca="1" si="0">SUM(D9:D15)</f>
        <v>5625</v>
      </c>
      <c r="E16" s="660">
        <f t="shared" ca="1" si="0"/>
        <v>402311.22136256564</v>
      </c>
      <c r="F16" s="660">
        <f t="shared" si="0"/>
        <v>11793.598428813439</v>
      </c>
      <c r="G16" s="660">
        <f t="shared" ca="1" si="0"/>
        <v>117683.28867571168</v>
      </c>
      <c r="H16" s="660">
        <f t="shared" si="0"/>
        <v>0</v>
      </c>
      <c r="I16" s="660">
        <f t="shared" si="0"/>
        <v>0</v>
      </c>
      <c r="J16" s="660">
        <f t="shared" si="0"/>
        <v>0</v>
      </c>
      <c r="K16" s="660">
        <f t="shared" si="0"/>
        <v>880.60640596129826</v>
      </c>
      <c r="L16" s="660">
        <f t="shared" si="0"/>
        <v>0</v>
      </c>
      <c r="M16" s="660">
        <f t="shared" ca="1" si="0"/>
        <v>0</v>
      </c>
      <c r="N16" s="660">
        <f t="shared" si="0"/>
        <v>0</v>
      </c>
      <c r="O16" s="660">
        <f t="shared" ca="1" si="0"/>
        <v>26842.171282350937</v>
      </c>
      <c r="P16" s="660">
        <f t="shared" si="0"/>
        <v>822.3133333333335</v>
      </c>
      <c r="Q16" s="660">
        <f t="shared" si="0"/>
        <v>1391.8666666666668</v>
      </c>
      <c r="R16" s="660">
        <f t="shared" ca="1" si="0"/>
        <v>846020.91221131105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25.793748961033881</v>
      </c>
      <c r="D19" s="931">
        <f>transport!C54</f>
        <v>0</v>
      </c>
      <c r="E19" s="931">
        <f>transport!D54</f>
        <v>0</v>
      </c>
      <c r="F19" s="931">
        <f>transport!E54</f>
        <v>0</v>
      </c>
      <c r="G19" s="931">
        <f>transport!F54</f>
        <v>0</v>
      </c>
      <c r="H19" s="931">
        <f>transport!G54</f>
        <v>2423.0667336140223</v>
      </c>
      <c r="I19" s="931">
        <f>transport!H54</f>
        <v>0</v>
      </c>
      <c r="J19" s="931">
        <f>transport!I54</f>
        <v>0</v>
      </c>
      <c r="K19" s="931">
        <f>transport!J54</f>
        <v>0</v>
      </c>
      <c r="L19" s="931">
        <f>transport!K54</f>
        <v>0</v>
      </c>
      <c r="M19" s="931">
        <f>transport!L54</f>
        <v>0</v>
      </c>
      <c r="N19" s="931">
        <f>transport!M54</f>
        <v>139.53713796841728</v>
      </c>
      <c r="O19" s="931">
        <f>transport!N54</f>
        <v>0</v>
      </c>
      <c r="P19" s="931">
        <f>transport!O54</f>
        <v>0</v>
      </c>
      <c r="Q19" s="932">
        <f>transport!P54</f>
        <v>0</v>
      </c>
      <c r="R19" s="628">
        <f>SUM(C19:Q19)</f>
        <v>2588.3976205434737</v>
      </c>
      <c r="S19" s="67"/>
    </row>
    <row r="20" spans="1:19" s="437" customFormat="1">
      <c r="A20" s="736" t="s">
        <v>295</v>
      </c>
      <c r="B20" s="741"/>
      <c r="C20" s="931">
        <f>transport!B14</f>
        <v>101.84122109030348</v>
      </c>
      <c r="D20" s="931">
        <f>transport!C14</f>
        <v>0</v>
      </c>
      <c r="E20" s="931">
        <f>transport!D14</f>
        <v>179.9944981350319</v>
      </c>
      <c r="F20" s="931">
        <f>transport!E14</f>
        <v>309.12932031201979</v>
      </c>
      <c r="G20" s="931">
        <f>transport!F14</f>
        <v>0</v>
      </c>
      <c r="H20" s="931">
        <f>transport!G14</f>
        <v>140338.31471469774</v>
      </c>
      <c r="I20" s="931">
        <f>transport!H14</f>
        <v>31017.965375175627</v>
      </c>
      <c r="J20" s="931">
        <f>transport!I14</f>
        <v>0</v>
      </c>
      <c r="K20" s="931">
        <f>transport!J14</f>
        <v>0</v>
      </c>
      <c r="L20" s="931">
        <f>transport!K14</f>
        <v>0</v>
      </c>
      <c r="M20" s="931">
        <f>transport!L14</f>
        <v>0</v>
      </c>
      <c r="N20" s="931">
        <f>transport!M14</f>
        <v>9112.5072016028589</v>
      </c>
      <c r="O20" s="931">
        <f>transport!N14</f>
        <v>0</v>
      </c>
      <c r="P20" s="931">
        <f>transport!O14</f>
        <v>0</v>
      </c>
      <c r="Q20" s="932">
        <f>transport!P14</f>
        <v>0</v>
      </c>
      <c r="R20" s="628">
        <f>SUM(C20:Q20)</f>
        <v>181059.75233101356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127.63497005133736</v>
      </c>
      <c r="D22" s="739">
        <f t="shared" ref="D22:R22" si="1">SUM(D18:D21)</f>
        <v>0</v>
      </c>
      <c r="E22" s="739">
        <f t="shared" si="1"/>
        <v>179.9944981350319</v>
      </c>
      <c r="F22" s="739">
        <f t="shared" si="1"/>
        <v>309.12932031201979</v>
      </c>
      <c r="G22" s="739">
        <f t="shared" si="1"/>
        <v>0</v>
      </c>
      <c r="H22" s="739">
        <f t="shared" si="1"/>
        <v>142761.38144831176</v>
      </c>
      <c r="I22" s="739">
        <f t="shared" si="1"/>
        <v>31017.965375175627</v>
      </c>
      <c r="J22" s="739">
        <f t="shared" si="1"/>
        <v>0</v>
      </c>
      <c r="K22" s="739">
        <f t="shared" si="1"/>
        <v>0</v>
      </c>
      <c r="L22" s="739">
        <f t="shared" si="1"/>
        <v>0</v>
      </c>
      <c r="M22" s="739">
        <f t="shared" si="1"/>
        <v>0</v>
      </c>
      <c r="N22" s="739">
        <f t="shared" si="1"/>
        <v>9252.0443395712755</v>
      </c>
      <c r="O22" s="739">
        <f t="shared" si="1"/>
        <v>0</v>
      </c>
      <c r="P22" s="739">
        <f t="shared" si="1"/>
        <v>0</v>
      </c>
      <c r="Q22" s="739">
        <f t="shared" si="1"/>
        <v>0</v>
      </c>
      <c r="R22" s="739">
        <f t="shared" si="1"/>
        <v>183648.14995155705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1832.2435680271483</v>
      </c>
      <c r="D24" s="931">
        <f>+landbouw!C8</f>
        <v>79.071428571428584</v>
      </c>
      <c r="E24" s="931">
        <f>+landbouw!D8</f>
        <v>263.05234614569611</v>
      </c>
      <c r="F24" s="931">
        <f>+landbouw!E8</f>
        <v>59.462326851593183</v>
      </c>
      <c r="G24" s="931">
        <f>+landbouw!F8</f>
        <v>6759.5020637178604</v>
      </c>
      <c r="H24" s="931">
        <f>+landbouw!G8</f>
        <v>0</v>
      </c>
      <c r="I24" s="931">
        <f>+landbouw!H8</f>
        <v>0</v>
      </c>
      <c r="J24" s="931">
        <f>+landbouw!I8</f>
        <v>0</v>
      </c>
      <c r="K24" s="931">
        <f>+landbouw!J8</f>
        <v>481.86111542149104</v>
      </c>
      <c r="L24" s="931">
        <f>+landbouw!K8</f>
        <v>0</v>
      </c>
      <c r="M24" s="931">
        <f>+landbouw!L8</f>
        <v>0</v>
      </c>
      <c r="N24" s="931">
        <f>+landbouw!M8</f>
        <v>0</v>
      </c>
      <c r="O24" s="931">
        <f>+landbouw!N8</f>
        <v>0</v>
      </c>
      <c r="P24" s="931">
        <f>+landbouw!O8</f>
        <v>0</v>
      </c>
      <c r="Q24" s="932">
        <f>+landbouw!P8</f>
        <v>0</v>
      </c>
      <c r="R24" s="628">
        <f>SUM(C24:Q24)</f>
        <v>9475.1928487352179</v>
      </c>
      <c r="S24" s="67"/>
    </row>
    <row r="25" spans="1:19" s="437" customFormat="1" ht="15" thickBot="1">
      <c r="A25" s="758" t="s">
        <v>775</v>
      </c>
      <c r="B25" s="934"/>
      <c r="C25" s="935">
        <f>IF(Onbekend_ele_kWh="---",0,Onbekend_ele_kWh)/1000+IF(REST_rest_ele_kWh="---",0,REST_rest_ele_kWh)/1000</f>
        <v>2554.5506233790898</v>
      </c>
      <c r="D25" s="935"/>
      <c r="E25" s="935">
        <f>IF(onbekend_gas_kWh="---",0,onbekend_gas_kWh)/1000+IF(REST_rest_gas_kWh="---",0,REST_rest_gas_kWh)/1000</f>
        <v>7698.3722670969792</v>
      </c>
      <c r="F25" s="935"/>
      <c r="G25" s="935"/>
      <c r="H25" s="935"/>
      <c r="I25" s="935"/>
      <c r="J25" s="935"/>
      <c r="K25" s="935"/>
      <c r="L25" s="935"/>
      <c r="M25" s="935"/>
      <c r="N25" s="935"/>
      <c r="O25" s="935"/>
      <c r="P25" s="935"/>
      <c r="Q25" s="936"/>
      <c r="R25" s="628">
        <f>SUM(C25:Q25)</f>
        <v>10252.922890476069</v>
      </c>
      <c r="S25" s="67"/>
    </row>
    <row r="26" spans="1:19" s="437" customFormat="1" ht="15.75" thickBot="1">
      <c r="A26" s="633" t="s">
        <v>776</v>
      </c>
      <c r="B26" s="744"/>
      <c r="C26" s="739">
        <f>SUM(C24:C25)</f>
        <v>4386.7941914062376</v>
      </c>
      <c r="D26" s="739">
        <f t="shared" ref="D26:R26" si="2">SUM(D24:D25)</f>
        <v>79.071428571428584</v>
      </c>
      <c r="E26" s="739">
        <f t="shared" si="2"/>
        <v>7961.4246132426752</v>
      </c>
      <c r="F26" s="739">
        <f t="shared" si="2"/>
        <v>59.462326851593183</v>
      </c>
      <c r="G26" s="739">
        <f t="shared" si="2"/>
        <v>6759.5020637178604</v>
      </c>
      <c r="H26" s="739">
        <f t="shared" si="2"/>
        <v>0</v>
      </c>
      <c r="I26" s="739">
        <f t="shared" si="2"/>
        <v>0</v>
      </c>
      <c r="J26" s="739">
        <f t="shared" si="2"/>
        <v>0</v>
      </c>
      <c r="K26" s="739">
        <f t="shared" si="2"/>
        <v>481.86111542149104</v>
      </c>
      <c r="L26" s="739">
        <f t="shared" si="2"/>
        <v>0</v>
      </c>
      <c r="M26" s="739">
        <f t="shared" si="2"/>
        <v>0</v>
      </c>
      <c r="N26" s="739">
        <f t="shared" si="2"/>
        <v>0</v>
      </c>
      <c r="O26" s="739">
        <f t="shared" si="2"/>
        <v>0</v>
      </c>
      <c r="P26" s="739">
        <f t="shared" si="2"/>
        <v>0</v>
      </c>
      <c r="Q26" s="739">
        <f t="shared" si="2"/>
        <v>0</v>
      </c>
      <c r="R26" s="739">
        <f t="shared" si="2"/>
        <v>19728.115739211287</v>
      </c>
      <c r="S26" s="67"/>
    </row>
    <row r="27" spans="1:19" s="437" customFormat="1" ht="17.25" thickTop="1" thickBot="1">
      <c r="A27" s="634" t="s">
        <v>109</v>
      </c>
      <c r="B27" s="732"/>
      <c r="C27" s="635">
        <f ca="1">C22+C16+C26</f>
        <v>283185.27521736559</v>
      </c>
      <c r="D27" s="635">
        <f t="shared" ref="D27:R27" ca="1" si="3">D22+D16+D26</f>
        <v>5704.0714285714284</v>
      </c>
      <c r="E27" s="635">
        <f t="shared" ca="1" si="3"/>
        <v>410452.64047394338</v>
      </c>
      <c r="F27" s="635">
        <f t="shared" si="3"/>
        <v>12162.190075977052</v>
      </c>
      <c r="G27" s="635">
        <f t="shared" ca="1" si="3"/>
        <v>124442.79073942953</v>
      </c>
      <c r="H27" s="635">
        <f t="shared" si="3"/>
        <v>142761.38144831176</v>
      </c>
      <c r="I27" s="635">
        <f t="shared" si="3"/>
        <v>31017.965375175627</v>
      </c>
      <c r="J27" s="635">
        <f t="shared" si="3"/>
        <v>0</v>
      </c>
      <c r="K27" s="635">
        <f t="shared" si="3"/>
        <v>1362.4675213827893</v>
      </c>
      <c r="L27" s="635">
        <f t="shared" si="3"/>
        <v>0</v>
      </c>
      <c r="M27" s="635">
        <f t="shared" ca="1" si="3"/>
        <v>0</v>
      </c>
      <c r="N27" s="635">
        <f t="shared" si="3"/>
        <v>9252.0443395712755</v>
      </c>
      <c r="O27" s="635">
        <f t="shared" ca="1" si="3"/>
        <v>26842.171282350937</v>
      </c>
      <c r="P27" s="635">
        <f t="shared" si="3"/>
        <v>822.3133333333335</v>
      </c>
      <c r="Q27" s="635">
        <f t="shared" si="3"/>
        <v>1391.8666666666668</v>
      </c>
      <c r="R27" s="635">
        <f t="shared" ca="1" si="3"/>
        <v>1049397.1779020794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11210.954134501833</v>
      </c>
      <c r="D40" s="931">
        <f ca="1">tertiair!C20</f>
        <v>0</v>
      </c>
      <c r="E40" s="931">
        <f ca="1">tertiair!D20</f>
        <v>22100.555239260684</v>
      </c>
      <c r="F40" s="931">
        <f>tertiair!E20</f>
        <v>186.25015433805225</v>
      </c>
      <c r="G40" s="931">
        <f ca="1">tertiair!F20</f>
        <v>2337.1104862080183</v>
      </c>
      <c r="H40" s="931">
        <f>tertiair!G20</f>
        <v>0</v>
      </c>
      <c r="I40" s="931">
        <f>tertiair!H20</f>
        <v>0</v>
      </c>
      <c r="J40" s="931">
        <f>tertiair!I20</f>
        <v>0</v>
      </c>
      <c r="K40" s="931">
        <f>tertiair!J20</f>
        <v>2.4367518899735874E-2</v>
      </c>
      <c r="L40" s="931">
        <f>tertiair!K20</f>
        <v>0</v>
      </c>
      <c r="M40" s="931">
        <f ca="1">tertiair!L20</f>
        <v>0</v>
      </c>
      <c r="N40" s="931">
        <f>tertiair!M20</f>
        <v>0</v>
      </c>
      <c r="O40" s="931">
        <f ca="1">tertiair!N20</f>
        <v>0</v>
      </c>
      <c r="P40" s="931">
        <f>tertiair!O20</f>
        <v>0</v>
      </c>
      <c r="Q40" s="702">
        <f>tertiair!P20</f>
        <v>0</v>
      </c>
      <c r="R40" s="777">
        <f t="shared" ca="1" si="4"/>
        <v>35834.894381827478</v>
      </c>
    </row>
    <row r="41" spans="1:18">
      <c r="A41" s="749" t="s">
        <v>213</v>
      </c>
      <c r="B41" s="756"/>
      <c r="C41" s="931">
        <f ca="1">huishoudens!B12</f>
        <v>10995.098292643543</v>
      </c>
      <c r="D41" s="931">
        <f ca="1">huishoudens!C12</f>
        <v>0</v>
      </c>
      <c r="E41" s="931">
        <f>huishoudens!D12</f>
        <v>22966.698257078824</v>
      </c>
      <c r="F41" s="931">
        <f>huishoudens!E12</f>
        <v>730.47211969358375</v>
      </c>
      <c r="G41" s="931">
        <f>huishoudens!F12</f>
        <v>19915.348175768762</v>
      </c>
      <c r="H41" s="931">
        <f>huishoudens!G12</f>
        <v>0</v>
      </c>
      <c r="I41" s="931">
        <f>huishoudens!H12</f>
        <v>0</v>
      </c>
      <c r="J41" s="931">
        <f>huishoudens!I12</f>
        <v>0</v>
      </c>
      <c r="K41" s="931">
        <f>huishoudens!J12</f>
        <v>135.69648254539689</v>
      </c>
      <c r="L41" s="931">
        <f>huishoudens!K12</f>
        <v>0</v>
      </c>
      <c r="M41" s="931">
        <f>huishoudens!L12</f>
        <v>0</v>
      </c>
      <c r="N41" s="931">
        <f>huishoudens!M12</f>
        <v>0</v>
      </c>
      <c r="O41" s="931">
        <f>huishoudens!N12</f>
        <v>0</v>
      </c>
      <c r="P41" s="931">
        <f>huishoudens!O12</f>
        <v>0</v>
      </c>
      <c r="Q41" s="702">
        <f>huishoudens!P12</f>
        <v>0</v>
      </c>
      <c r="R41" s="777">
        <f t="shared" ca="1" si="4"/>
        <v>54743.313327730109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35909.503759690328</v>
      </c>
      <c r="D43" s="931">
        <f ca="1">industrie!C22</f>
        <v>1336.3501804094599</v>
      </c>
      <c r="E43" s="931">
        <f>industrie!D22</f>
        <v>36199.613218898747</v>
      </c>
      <c r="F43" s="931">
        <f>industrie!E22</f>
        <v>1760.4245693090145</v>
      </c>
      <c r="G43" s="931">
        <f>industrie!F22</f>
        <v>9168.9794144382395</v>
      </c>
      <c r="H43" s="931">
        <f>industrie!G22</f>
        <v>0</v>
      </c>
      <c r="I43" s="931">
        <f>industrie!H22</f>
        <v>0</v>
      </c>
      <c r="J43" s="931">
        <f>industrie!I22</f>
        <v>0</v>
      </c>
      <c r="K43" s="931">
        <f>industrie!J22</f>
        <v>176.01381764600296</v>
      </c>
      <c r="L43" s="931">
        <f>industrie!K22</f>
        <v>0</v>
      </c>
      <c r="M43" s="931">
        <f>industrie!L22</f>
        <v>0</v>
      </c>
      <c r="N43" s="931">
        <f>industrie!M22</f>
        <v>0</v>
      </c>
      <c r="O43" s="931">
        <f>industrie!N22</f>
        <v>0</v>
      </c>
      <c r="P43" s="931">
        <f>industrie!O22</f>
        <v>0</v>
      </c>
      <c r="Q43" s="702">
        <f>industrie!P22</f>
        <v>0</v>
      </c>
      <c r="R43" s="776">
        <f t="shared" ca="1" si="4"/>
        <v>84550.884960391806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58115.556186835704</v>
      </c>
      <c r="D46" s="660">
        <f t="shared" ref="D46:Q46" ca="1" si="5">SUM(D39:D45)</f>
        <v>1336.3501804094599</v>
      </c>
      <c r="E46" s="660">
        <f t="shared" ca="1" si="5"/>
        <v>81266.866715238255</v>
      </c>
      <c r="F46" s="660">
        <f t="shared" si="5"/>
        <v>2677.1468433406508</v>
      </c>
      <c r="G46" s="660">
        <f t="shared" ca="1" si="5"/>
        <v>31421.438076415019</v>
      </c>
      <c r="H46" s="660">
        <f t="shared" si="5"/>
        <v>0</v>
      </c>
      <c r="I46" s="660">
        <f t="shared" si="5"/>
        <v>0</v>
      </c>
      <c r="J46" s="660">
        <f t="shared" si="5"/>
        <v>0</v>
      </c>
      <c r="K46" s="660">
        <f t="shared" si="5"/>
        <v>311.73466771029962</v>
      </c>
      <c r="L46" s="660">
        <f t="shared" si="5"/>
        <v>0</v>
      </c>
      <c r="M46" s="660">
        <f t="shared" ca="1" si="5"/>
        <v>0</v>
      </c>
      <c r="N46" s="660">
        <f t="shared" si="5"/>
        <v>0</v>
      </c>
      <c r="O46" s="660">
        <f t="shared" ca="1" si="5"/>
        <v>0</v>
      </c>
      <c r="P46" s="660">
        <f t="shared" si="5"/>
        <v>0</v>
      </c>
      <c r="Q46" s="660">
        <f t="shared" si="5"/>
        <v>0</v>
      </c>
      <c r="R46" s="660">
        <f ca="1">SUM(R39:R45)</f>
        <v>175129.0926699494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5.379170760881677</v>
      </c>
      <c r="D49" s="931">
        <f ca="1">transport!C58</f>
        <v>0</v>
      </c>
      <c r="E49" s="931">
        <f>transport!D58</f>
        <v>0</v>
      </c>
      <c r="F49" s="931">
        <f>transport!E58</f>
        <v>0</v>
      </c>
      <c r="G49" s="931">
        <f>transport!F58</f>
        <v>0</v>
      </c>
      <c r="H49" s="931">
        <f>transport!G58</f>
        <v>646.95881787494397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652.3379886358257</v>
      </c>
    </row>
    <row r="50" spans="1:18">
      <c r="A50" s="752" t="s">
        <v>295</v>
      </c>
      <c r="B50" s="762"/>
      <c r="C50" s="631">
        <f ca="1">transport!B18</f>
        <v>21.238530295422738</v>
      </c>
      <c r="D50" s="631">
        <f>transport!C18</f>
        <v>0</v>
      </c>
      <c r="E50" s="631">
        <f>transport!D18</f>
        <v>36.358888623276449</v>
      </c>
      <c r="F50" s="631">
        <f>transport!E18</f>
        <v>70.172355710828498</v>
      </c>
      <c r="G50" s="631">
        <f>transport!F18</f>
        <v>0</v>
      </c>
      <c r="H50" s="631">
        <f>transport!G18</f>
        <v>37470.330028824297</v>
      </c>
      <c r="I50" s="631">
        <f>transport!H18</f>
        <v>7723.473378418731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45321.573181872562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26.617701056304416</v>
      </c>
      <c r="D52" s="660">
        <f t="shared" ref="D52:Q52" ca="1" si="6">SUM(D48:D51)</f>
        <v>0</v>
      </c>
      <c r="E52" s="660">
        <f t="shared" si="6"/>
        <v>36.358888623276449</v>
      </c>
      <c r="F52" s="660">
        <f t="shared" si="6"/>
        <v>70.172355710828498</v>
      </c>
      <c r="G52" s="660">
        <f t="shared" si="6"/>
        <v>0</v>
      </c>
      <c r="H52" s="660">
        <f t="shared" si="6"/>
        <v>38117.288846699244</v>
      </c>
      <c r="I52" s="660">
        <f t="shared" si="6"/>
        <v>7723.473378418731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45973.911170508385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382.10618560467304</v>
      </c>
      <c r="D54" s="631">
        <f ca="1">+landbouw!C12</f>
        <v>18.78526539318441</v>
      </c>
      <c r="E54" s="631">
        <f>+landbouw!D12</f>
        <v>53.136573921430617</v>
      </c>
      <c r="F54" s="631">
        <f>+landbouw!E12</f>
        <v>13.497948195311652</v>
      </c>
      <c r="G54" s="631">
        <f>+landbouw!F12</f>
        <v>1804.7870510126688</v>
      </c>
      <c r="H54" s="631">
        <f>+landbouw!G12</f>
        <v>0</v>
      </c>
      <c r="I54" s="631">
        <f>+landbouw!H12</f>
        <v>0</v>
      </c>
      <c r="J54" s="631">
        <f>+landbouw!I12</f>
        <v>0</v>
      </c>
      <c r="K54" s="631">
        <f>+landbouw!J12</f>
        <v>170.57883485920783</v>
      </c>
      <c r="L54" s="631">
        <f>+landbouw!K12</f>
        <v>0</v>
      </c>
      <c r="M54" s="631">
        <f>+landbouw!L12</f>
        <v>0</v>
      </c>
      <c r="N54" s="631">
        <f>+landbouw!M12</f>
        <v>0</v>
      </c>
      <c r="O54" s="631">
        <f>+landbouw!N12</f>
        <v>0</v>
      </c>
      <c r="P54" s="631">
        <f>+landbouw!O12</f>
        <v>0</v>
      </c>
      <c r="Q54" s="632">
        <f>+landbouw!P12</f>
        <v>0</v>
      </c>
      <c r="R54" s="659">
        <f ca="1">SUM(C54:Q54)</f>
        <v>2442.8918589864761</v>
      </c>
    </row>
    <row r="55" spans="1:18" ht="15" thickBot="1">
      <c r="A55" s="752" t="s">
        <v>775</v>
      </c>
      <c r="B55" s="762"/>
      <c r="C55" s="631">
        <f ca="1">C25*'EF ele_warmte'!B12</f>
        <v>532.7400852521157</v>
      </c>
      <c r="D55" s="631"/>
      <c r="E55" s="631">
        <f>E25*EF_CO2_aardgas</f>
        <v>1555.0711979535899</v>
      </c>
      <c r="F55" s="631"/>
      <c r="G55" s="631"/>
      <c r="H55" s="631"/>
      <c r="I55" s="631"/>
      <c r="J55" s="631"/>
      <c r="K55" s="631"/>
      <c r="L55" s="631"/>
      <c r="M55" s="631"/>
      <c r="N55" s="631"/>
      <c r="O55" s="631"/>
      <c r="P55" s="631"/>
      <c r="Q55" s="632"/>
      <c r="R55" s="659">
        <f ca="1">SUM(C55:Q55)</f>
        <v>2087.8112832057059</v>
      </c>
    </row>
    <row r="56" spans="1:18" ht="15.75" thickBot="1">
      <c r="A56" s="750" t="s">
        <v>776</v>
      </c>
      <c r="B56" s="763"/>
      <c r="C56" s="660">
        <f ca="1">SUM(C54:C55)</f>
        <v>914.84627085678881</v>
      </c>
      <c r="D56" s="660">
        <f t="shared" ref="D56:Q56" ca="1" si="7">SUM(D54:D55)</f>
        <v>18.78526539318441</v>
      </c>
      <c r="E56" s="660">
        <f t="shared" si="7"/>
        <v>1608.2077718750206</v>
      </c>
      <c r="F56" s="660">
        <f t="shared" si="7"/>
        <v>13.497948195311652</v>
      </c>
      <c r="G56" s="660">
        <f t="shared" si="7"/>
        <v>1804.7870510126688</v>
      </c>
      <c r="H56" s="660">
        <f t="shared" si="7"/>
        <v>0</v>
      </c>
      <c r="I56" s="660">
        <f t="shared" si="7"/>
        <v>0</v>
      </c>
      <c r="J56" s="660">
        <f t="shared" si="7"/>
        <v>0</v>
      </c>
      <c r="K56" s="660">
        <f t="shared" si="7"/>
        <v>170.57883485920783</v>
      </c>
      <c r="L56" s="660">
        <f t="shared" si="7"/>
        <v>0</v>
      </c>
      <c r="M56" s="660">
        <f t="shared" si="7"/>
        <v>0</v>
      </c>
      <c r="N56" s="660">
        <f t="shared" si="7"/>
        <v>0</v>
      </c>
      <c r="O56" s="660">
        <f t="shared" si="7"/>
        <v>0</v>
      </c>
      <c r="P56" s="660">
        <f t="shared" si="7"/>
        <v>0</v>
      </c>
      <c r="Q56" s="661">
        <f t="shared" si="7"/>
        <v>0</v>
      </c>
      <c r="R56" s="662">
        <f ca="1">SUM(R54:R55)</f>
        <v>4530.703142192182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59057.020158748797</v>
      </c>
      <c r="D61" s="668">
        <f t="shared" ref="D61:Q61" ca="1" si="8">D46+D52+D56</f>
        <v>1355.1354458026442</v>
      </c>
      <c r="E61" s="668">
        <f t="shared" ca="1" si="8"/>
        <v>82911.433375736553</v>
      </c>
      <c r="F61" s="668">
        <f t="shared" si="8"/>
        <v>2760.8171472467907</v>
      </c>
      <c r="G61" s="668">
        <f t="shared" ca="1" si="8"/>
        <v>33226.225127427686</v>
      </c>
      <c r="H61" s="668">
        <f t="shared" si="8"/>
        <v>38117.288846699244</v>
      </c>
      <c r="I61" s="668">
        <f t="shared" si="8"/>
        <v>7723.473378418731</v>
      </c>
      <c r="J61" s="668">
        <f t="shared" si="8"/>
        <v>0</v>
      </c>
      <c r="K61" s="668">
        <f t="shared" si="8"/>
        <v>482.31350256950748</v>
      </c>
      <c r="L61" s="668">
        <f t="shared" si="8"/>
        <v>0</v>
      </c>
      <c r="M61" s="668">
        <f t="shared" ca="1" si="8"/>
        <v>0</v>
      </c>
      <c r="N61" s="668">
        <f t="shared" si="8"/>
        <v>0</v>
      </c>
      <c r="O61" s="668">
        <f t="shared" ca="1" si="8"/>
        <v>0</v>
      </c>
      <c r="P61" s="668">
        <f t="shared" si="8"/>
        <v>0</v>
      </c>
      <c r="Q61" s="668">
        <f t="shared" si="8"/>
        <v>0</v>
      </c>
      <c r="R61" s="668">
        <f ca="1">R46+R52+R56</f>
        <v>225633.70698264998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0.20854551887776712</v>
      </c>
      <c r="D63" s="709">
        <f t="shared" ca="1" si="9"/>
        <v>0.2375733654061262</v>
      </c>
      <c r="E63" s="942">
        <f t="shared" ca="1" si="9"/>
        <v>0.20199999999999999</v>
      </c>
      <c r="F63" s="709">
        <f t="shared" si="9"/>
        <v>0.22699999999999998</v>
      </c>
      <c r="G63" s="709">
        <f t="shared" ca="1" si="9"/>
        <v>0.26700000000000002</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16256.68654130866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3970.35</v>
      </c>
      <c r="D76" s="952">
        <f>'lokale energieproductie'!C8</f>
        <v>4669.5515412881832</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943.2494113402131</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16256.68654130866</v>
      </c>
      <c r="C78" s="683">
        <f>SUM(C72:C77)</f>
        <v>3970.35</v>
      </c>
      <c r="D78" s="684">
        <f t="shared" ref="D78:H78" si="10">SUM(D76:D77)</f>
        <v>4669.5515412881832</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943.2494113402131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5704.0714285714284</v>
      </c>
      <c r="D87" s="705">
        <f>'lokale energieproductie'!C17</f>
        <v>6708.5913158546737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1355.1354458026442</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5704.0714285714284</v>
      </c>
      <c r="D90" s="683">
        <f t="shared" ref="D90:H90" si="12">SUM(D87:D89)</f>
        <v>6708.5913158546737</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1355.1354458026442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52722.774154106846</v>
      </c>
      <c r="C4" s="441">
        <f>huishoudens!C8</f>
        <v>0</v>
      </c>
      <c r="D4" s="441">
        <f>huishoudens!D8</f>
        <v>113696.52602514268</v>
      </c>
      <c r="E4" s="441">
        <f>huishoudens!E8</f>
        <v>3217.9388532756993</v>
      </c>
      <c r="F4" s="441">
        <f>huishoudens!F8</f>
        <v>74589.319010369887</v>
      </c>
      <c r="G4" s="441">
        <f>huishoudens!G8</f>
        <v>0</v>
      </c>
      <c r="H4" s="441">
        <f>huishoudens!H8</f>
        <v>0</v>
      </c>
      <c r="I4" s="441">
        <f>huishoudens!I8</f>
        <v>0</v>
      </c>
      <c r="J4" s="441">
        <f>huishoudens!J8</f>
        <v>383.32339702089519</v>
      </c>
      <c r="K4" s="441">
        <f>huishoudens!K8</f>
        <v>0</v>
      </c>
      <c r="L4" s="441">
        <f>huishoudens!L8</f>
        <v>0</v>
      </c>
      <c r="M4" s="441">
        <f>huishoudens!M8</f>
        <v>0</v>
      </c>
      <c r="N4" s="441">
        <f>huishoudens!N8</f>
        <v>19305.021622812423</v>
      </c>
      <c r="O4" s="441">
        <f>huishoudens!O8</f>
        <v>814.49666666666678</v>
      </c>
      <c r="P4" s="442">
        <f>huishoudens!P8</f>
        <v>1334.6666666666667</v>
      </c>
      <c r="Q4" s="443">
        <f>SUM(B4:P4)</f>
        <v>266064.06639606174</v>
      </c>
    </row>
    <row r="5" spans="1:17">
      <c r="A5" s="440" t="s">
        <v>149</v>
      </c>
      <c r="B5" s="441">
        <f ca="1">tertiair!B16</f>
        <v>51347.047002397921</v>
      </c>
      <c r="C5" s="441">
        <f ca="1">tertiair!C16</f>
        <v>0</v>
      </c>
      <c r="D5" s="441">
        <f ca="1">tertiair!D16</f>
        <v>109408.68930327072</v>
      </c>
      <c r="E5" s="441">
        <f>tertiair!E16</f>
        <v>820.48526140111119</v>
      </c>
      <c r="F5" s="441">
        <f ca="1">tertiair!F16</f>
        <v>8753.2227947865849</v>
      </c>
      <c r="G5" s="441">
        <f>tertiair!G16</f>
        <v>0</v>
      </c>
      <c r="H5" s="441">
        <f>tertiair!H16</f>
        <v>0</v>
      </c>
      <c r="I5" s="441">
        <f>tertiair!I16</f>
        <v>0</v>
      </c>
      <c r="J5" s="441">
        <f>tertiair!J16</f>
        <v>6.8834799151796258E-2</v>
      </c>
      <c r="K5" s="441">
        <f>tertiair!K16</f>
        <v>0</v>
      </c>
      <c r="L5" s="441">
        <f ca="1">tertiair!L16</f>
        <v>0</v>
      </c>
      <c r="M5" s="441">
        <f>tertiair!M16</f>
        <v>0</v>
      </c>
      <c r="N5" s="441">
        <f ca="1">tertiair!N16</f>
        <v>2837.202097600853</v>
      </c>
      <c r="O5" s="441">
        <f>tertiair!O16</f>
        <v>7.8166666666666664</v>
      </c>
      <c r="P5" s="442">
        <f>tertiair!P16</f>
        <v>57.2</v>
      </c>
      <c r="Q5" s="440">
        <f t="shared" ref="Q5:Q14" ca="1" si="0">SUM(B5:P5)</f>
        <v>173231.731960923</v>
      </c>
    </row>
    <row r="6" spans="1:17">
      <c r="A6" s="440" t="s">
        <v>187</v>
      </c>
      <c r="B6" s="441">
        <f>'openbare verlichting'!B8</f>
        <v>2410.7809999999999</v>
      </c>
      <c r="C6" s="441"/>
      <c r="D6" s="441"/>
      <c r="E6" s="441"/>
      <c r="F6" s="441"/>
      <c r="G6" s="441"/>
      <c r="H6" s="441"/>
      <c r="I6" s="441"/>
      <c r="J6" s="441"/>
      <c r="K6" s="441"/>
      <c r="L6" s="441"/>
      <c r="M6" s="441"/>
      <c r="N6" s="441"/>
      <c r="O6" s="441"/>
      <c r="P6" s="442"/>
      <c r="Q6" s="440">
        <f t="shared" si="0"/>
        <v>2410.7809999999999</v>
      </c>
    </row>
    <row r="7" spans="1:17">
      <c r="A7" s="440" t="s">
        <v>105</v>
      </c>
      <c r="B7" s="441">
        <f>landbouw!B8</f>
        <v>1832.2435680271483</v>
      </c>
      <c r="C7" s="441">
        <f>landbouw!C8</f>
        <v>79.071428571428584</v>
      </c>
      <c r="D7" s="441">
        <f>landbouw!D8</f>
        <v>263.05234614569611</v>
      </c>
      <c r="E7" s="441">
        <f>landbouw!E8</f>
        <v>59.462326851593183</v>
      </c>
      <c r="F7" s="441">
        <f>landbouw!F8</f>
        <v>6759.5020637178604</v>
      </c>
      <c r="G7" s="441">
        <f>landbouw!G8</f>
        <v>0</v>
      </c>
      <c r="H7" s="441">
        <f>landbouw!H8</f>
        <v>0</v>
      </c>
      <c r="I7" s="441">
        <f>landbouw!I8</f>
        <v>0</v>
      </c>
      <c r="J7" s="441">
        <f>landbouw!J8</f>
        <v>481.86111542149104</v>
      </c>
      <c r="K7" s="441">
        <f>landbouw!K8</f>
        <v>0</v>
      </c>
      <c r="L7" s="441">
        <f>landbouw!L8</f>
        <v>0</v>
      </c>
      <c r="M7" s="441">
        <f>landbouw!M8</f>
        <v>0</v>
      </c>
      <c r="N7" s="441">
        <f>landbouw!N8</f>
        <v>0</v>
      </c>
      <c r="O7" s="441">
        <f>landbouw!O8</f>
        <v>0</v>
      </c>
      <c r="P7" s="442">
        <f>landbouw!P8</f>
        <v>0</v>
      </c>
      <c r="Q7" s="440">
        <f t="shared" si="0"/>
        <v>9475.1928487352179</v>
      </c>
    </row>
    <row r="8" spans="1:17">
      <c r="A8" s="440" t="s">
        <v>596</v>
      </c>
      <c r="B8" s="441">
        <f>industrie!B18</f>
        <v>172190.24389940326</v>
      </c>
      <c r="C8" s="441">
        <f>industrie!C18</f>
        <v>5625</v>
      </c>
      <c r="D8" s="441">
        <f>industrie!D18</f>
        <v>179206.0060341522</v>
      </c>
      <c r="E8" s="441">
        <f>industrie!E18</f>
        <v>7755.1743141366278</v>
      </c>
      <c r="F8" s="441">
        <f>industrie!F18</f>
        <v>34340.746870555202</v>
      </c>
      <c r="G8" s="441">
        <f>industrie!G18</f>
        <v>0</v>
      </c>
      <c r="H8" s="441">
        <f>industrie!H18</f>
        <v>0</v>
      </c>
      <c r="I8" s="441">
        <f>industrie!I18</f>
        <v>0</v>
      </c>
      <c r="J8" s="441">
        <f>industrie!J18</f>
        <v>497.21417414125131</v>
      </c>
      <c r="K8" s="441">
        <f>industrie!K18</f>
        <v>0</v>
      </c>
      <c r="L8" s="441">
        <f>industrie!L18</f>
        <v>0</v>
      </c>
      <c r="M8" s="441">
        <f>industrie!M18</f>
        <v>0</v>
      </c>
      <c r="N8" s="441">
        <f>industrie!N18</f>
        <v>4699.9475619376599</v>
      </c>
      <c r="O8" s="441">
        <f>industrie!O18</f>
        <v>0</v>
      </c>
      <c r="P8" s="442">
        <f>industrie!P18</f>
        <v>0</v>
      </c>
      <c r="Q8" s="440">
        <f t="shared" si="0"/>
        <v>404314.33285432623</v>
      </c>
    </row>
    <row r="9" spans="1:17" s="446" customFormat="1">
      <c r="A9" s="444" t="s">
        <v>545</v>
      </c>
      <c r="B9" s="445">
        <f>transport!B14</f>
        <v>101.84122109030348</v>
      </c>
      <c r="C9" s="445">
        <f>transport!C14</f>
        <v>0</v>
      </c>
      <c r="D9" s="445">
        <f>transport!D14</f>
        <v>179.9944981350319</v>
      </c>
      <c r="E9" s="445">
        <f>transport!E14</f>
        <v>309.12932031201979</v>
      </c>
      <c r="F9" s="445">
        <f>transport!F14</f>
        <v>0</v>
      </c>
      <c r="G9" s="445">
        <f>transport!G14</f>
        <v>140338.31471469774</v>
      </c>
      <c r="H9" s="445">
        <f>transport!H14</f>
        <v>31017.965375175627</v>
      </c>
      <c r="I9" s="445">
        <f>transport!I14</f>
        <v>0</v>
      </c>
      <c r="J9" s="445">
        <f>transport!J14</f>
        <v>0</v>
      </c>
      <c r="K9" s="445">
        <f>transport!K14</f>
        <v>0</v>
      </c>
      <c r="L9" s="445">
        <f>transport!L14</f>
        <v>0</v>
      </c>
      <c r="M9" s="445">
        <f>transport!M14</f>
        <v>9112.5072016028589</v>
      </c>
      <c r="N9" s="445">
        <f>transport!N14</f>
        <v>0</v>
      </c>
      <c r="O9" s="445">
        <f>transport!O14</f>
        <v>0</v>
      </c>
      <c r="P9" s="445">
        <f>transport!P14</f>
        <v>0</v>
      </c>
      <c r="Q9" s="444">
        <f>SUM(B9:P9)</f>
        <v>181059.75233101356</v>
      </c>
    </row>
    <row r="10" spans="1:17">
      <c r="A10" s="440" t="s">
        <v>535</v>
      </c>
      <c r="B10" s="441">
        <f>transport!B54</f>
        <v>25.793748961033881</v>
      </c>
      <c r="C10" s="441">
        <f>transport!C54</f>
        <v>0</v>
      </c>
      <c r="D10" s="441">
        <f>transport!D54</f>
        <v>0</v>
      </c>
      <c r="E10" s="441">
        <f>transport!E54</f>
        <v>0</v>
      </c>
      <c r="F10" s="441">
        <f>transport!F54</f>
        <v>0</v>
      </c>
      <c r="G10" s="441">
        <f>transport!G54</f>
        <v>2423.0667336140223</v>
      </c>
      <c r="H10" s="441">
        <f>transport!H54</f>
        <v>0</v>
      </c>
      <c r="I10" s="441">
        <f>transport!I54</f>
        <v>0</v>
      </c>
      <c r="J10" s="441">
        <f>transport!J54</f>
        <v>0</v>
      </c>
      <c r="K10" s="441">
        <f>transport!K54</f>
        <v>0</v>
      </c>
      <c r="L10" s="441">
        <f>transport!L54</f>
        <v>0</v>
      </c>
      <c r="M10" s="441">
        <f>transport!M54</f>
        <v>139.53713796841728</v>
      </c>
      <c r="N10" s="441">
        <f>transport!N54</f>
        <v>0</v>
      </c>
      <c r="O10" s="441">
        <f>transport!O54</f>
        <v>0</v>
      </c>
      <c r="P10" s="442">
        <f>transport!P54</f>
        <v>0</v>
      </c>
      <c r="Q10" s="440">
        <f t="shared" si="0"/>
        <v>2588.3976205434737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2554.5506233790898</v>
      </c>
      <c r="C14" s="448"/>
      <c r="D14" s="448">
        <f>'SEAP template'!E25</f>
        <v>7698.3722670969792</v>
      </c>
      <c r="E14" s="448"/>
      <c r="F14" s="448"/>
      <c r="G14" s="448"/>
      <c r="H14" s="448"/>
      <c r="I14" s="448"/>
      <c r="J14" s="448"/>
      <c r="K14" s="448"/>
      <c r="L14" s="448"/>
      <c r="M14" s="448"/>
      <c r="N14" s="448"/>
      <c r="O14" s="448"/>
      <c r="P14" s="449"/>
      <c r="Q14" s="440">
        <f t="shared" si="0"/>
        <v>10252.922890476069</v>
      </c>
    </row>
    <row r="15" spans="1:17" s="450" customFormat="1">
      <c r="A15" s="957" t="s">
        <v>539</v>
      </c>
      <c r="B15" s="905">
        <f ca="1">SUM(B4:B14)</f>
        <v>283185.27521736553</v>
      </c>
      <c r="C15" s="905">
        <f t="shared" ref="C15:Q15" ca="1" si="1">SUM(C4:C14)</f>
        <v>5704.0714285714284</v>
      </c>
      <c r="D15" s="905">
        <f t="shared" ca="1" si="1"/>
        <v>410452.64047394338</v>
      </c>
      <c r="E15" s="905">
        <f t="shared" si="1"/>
        <v>12162.190075977052</v>
      </c>
      <c r="F15" s="905">
        <f t="shared" ca="1" si="1"/>
        <v>124442.79073942955</v>
      </c>
      <c r="G15" s="905">
        <f t="shared" si="1"/>
        <v>142761.38144831176</v>
      </c>
      <c r="H15" s="905">
        <f t="shared" si="1"/>
        <v>31017.965375175627</v>
      </c>
      <c r="I15" s="905">
        <f t="shared" si="1"/>
        <v>0</v>
      </c>
      <c r="J15" s="905">
        <f t="shared" si="1"/>
        <v>1362.4675213827893</v>
      </c>
      <c r="K15" s="905">
        <f t="shared" si="1"/>
        <v>0</v>
      </c>
      <c r="L15" s="905">
        <f t="shared" ca="1" si="1"/>
        <v>0</v>
      </c>
      <c r="M15" s="905">
        <f t="shared" si="1"/>
        <v>9252.0443395712755</v>
      </c>
      <c r="N15" s="905">
        <f t="shared" ca="1" si="1"/>
        <v>26842.171282350937</v>
      </c>
      <c r="O15" s="905">
        <f t="shared" si="1"/>
        <v>822.3133333333335</v>
      </c>
      <c r="P15" s="905">
        <f t="shared" si="1"/>
        <v>1391.8666666666668</v>
      </c>
      <c r="Q15" s="905">
        <f t="shared" ca="1" si="1"/>
        <v>1049397.1779020794</v>
      </c>
    </row>
    <row r="17" spans="1:17">
      <c r="A17" s="451" t="s">
        <v>540</v>
      </c>
      <c r="B17" s="714">
        <f ca="1">huishoudens!B10</f>
        <v>0.20854551887776712</v>
      </c>
      <c r="C17" s="714">
        <f ca="1">huishoudens!C10</f>
        <v>0.2375733654061262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10995.098292643543</v>
      </c>
      <c r="C22" s="441">
        <f t="shared" ref="C22:C32" ca="1" si="3">C4*$C$17</f>
        <v>0</v>
      </c>
      <c r="D22" s="441">
        <f t="shared" ref="D22:D32" si="4">D4*$D$17</f>
        <v>22966.698257078824</v>
      </c>
      <c r="E22" s="441">
        <f t="shared" ref="E22:E32" si="5">E4*$E$17</f>
        <v>730.47211969358375</v>
      </c>
      <c r="F22" s="441">
        <f t="shared" ref="F22:F32" si="6">F4*$F$17</f>
        <v>19915.348175768762</v>
      </c>
      <c r="G22" s="441">
        <f t="shared" ref="G22:G32" si="7">G4*$G$17</f>
        <v>0</v>
      </c>
      <c r="H22" s="441">
        <f t="shared" ref="H22:H32" si="8">H4*$H$17</f>
        <v>0</v>
      </c>
      <c r="I22" s="441">
        <f t="shared" ref="I22:I32" si="9">I4*$I$17</f>
        <v>0</v>
      </c>
      <c r="J22" s="441">
        <f t="shared" ref="J22:J32" si="10">J4*$J$17</f>
        <v>135.69648254539689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54743.313327730109</v>
      </c>
    </row>
    <row r="23" spans="1:17">
      <c r="A23" s="440" t="s">
        <v>149</v>
      </c>
      <c r="B23" s="441">
        <f t="shared" ca="1" si="2"/>
        <v>10708.196559956172</v>
      </c>
      <c r="C23" s="441">
        <f t="shared" ca="1" si="3"/>
        <v>0</v>
      </c>
      <c r="D23" s="441">
        <f t="shared" ca="1" si="4"/>
        <v>22100.555239260684</v>
      </c>
      <c r="E23" s="441">
        <f t="shared" si="5"/>
        <v>186.25015433805225</v>
      </c>
      <c r="F23" s="441">
        <f t="shared" ca="1" si="6"/>
        <v>2337.1104862080183</v>
      </c>
      <c r="G23" s="441">
        <f t="shared" si="7"/>
        <v>0</v>
      </c>
      <c r="H23" s="441">
        <f t="shared" si="8"/>
        <v>0</v>
      </c>
      <c r="I23" s="441">
        <f t="shared" si="9"/>
        <v>0</v>
      </c>
      <c r="J23" s="441">
        <f t="shared" si="10"/>
        <v>2.4367518899735874E-2</v>
      </c>
      <c r="K23" s="441">
        <f t="shared" si="11"/>
        <v>0</v>
      </c>
      <c r="L23" s="441">
        <f t="shared" ca="1" si="12"/>
        <v>0</v>
      </c>
      <c r="M23" s="441">
        <f t="shared" si="13"/>
        <v>0</v>
      </c>
      <c r="N23" s="441">
        <f t="shared" ca="1" si="14"/>
        <v>0</v>
      </c>
      <c r="O23" s="441">
        <f t="shared" si="15"/>
        <v>0</v>
      </c>
      <c r="P23" s="442">
        <f t="shared" si="16"/>
        <v>0</v>
      </c>
      <c r="Q23" s="440">
        <f t="shared" ref="Q23:Q32" ca="1" si="17">SUM(B23:P23)</f>
        <v>35332.136807281822</v>
      </c>
    </row>
    <row r="24" spans="1:17">
      <c r="A24" s="440" t="s">
        <v>187</v>
      </c>
      <c r="B24" s="441">
        <f t="shared" ca="1" si="2"/>
        <v>502.75757454566229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502.75757454566229</v>
      </c>
    </row>
    <row r="25" spans="1:17">
      <c r="A25" s="440" t="s">
        <v>105</v>
      </c>
      <c r="B25" s="441">
        <f t="shared" ca="1" si="2"/>
        <v>382.10618560467304</v>
      </c>
      <c r="C25" s="441">
        <f t="shared" ca="1" si="3"/>
        <v>18.78526539318441</v>
      </c>
      <c r="D25" s="441">
        <f t="shared" si="4"/>
        <v>53.136573921430617</v>
      </c>
      <c r="E25" s="441">
        <f t="shared" si="5"/>
        <v>13.497948195311652</v>
      </c>
      <c r="F25" s="441">
        <f t="shared" si="6"/>
        <v>1804.7870510126688</v>
      </c>
      <c r="G25" s="441">
        <f t="shared" si="7"/>
        <v>0</v>
      </c>
      <c r="H25" s="441">
        <f t="shared" si="8"/>
        <v>0</v>
      </c>
      <c r="I25" s="441">
        <f t="shared" si="9"/>
        <v>0</v>
      </c>
      <c r="J25" s="441">
        <f t="shared" si="10"/>
        <v>170.57883485920783</v>
      </c>
      <c r="K25" s="441">
        <f t="shared" si="11"/>
        <v>0</v>
      </c>
      <c r="L25" s="441">
        <f t="shared" si="12"/>
        <v>0</v>
      </c>
      <c r="M25" s="441">
        <f t="shared" si="13"/>
        <v>0</v>
      </c>
      <c r="N25" s="441">
        <f t="shared" si="14"/>
        <v>0</v>
      </c>
      <c r="O25" s="441">
        <f t="shared" si="15"/>
        <v>0</v>
      </c>
      <c r="P25" s="442">
        <f t="shared" si="16"/>
        <v>0</v>
      </c>
      <c r="Q25" s="440">
        <f t="shared" ca="1" si="17"/>
        <v>2442.8918589864761</v>
      </c>
    </row>
    <row r="26" spans="1:17">
      <c r="A26" s="440" t="s">
        <v>596</v>
      </c>
      <c r="B26" s="441">
        <f t="shared" ca="1" si="2"/>
        <v>35909.503759690328</v>
      </c>
      <c r="C26" s="441">
        <f t="shared" ca="1" si="3"/>
        <v>1336.3501804094599</v>
      </c>
      <c r="D26" s="441">
        <f t="shared" si="4"/>
        <v>36199.613218898747</v>
      </c>
      <c r="E26" s="441">
        <f t="shared" si="5"/>
        <v>1760.4245693090145</v>
      </c>
      <c r="F26" s="441">
        <f t="shared" si="6"/>
        <v>9168.9794144382395</v>
      </c>
      <c r="G26" s="441">
        <f t="shared" si="7"/>
        <v>0</v>
      </c>
      <c r="H26" s="441">
        <f t="shared" si="8"/>
        <v>0</v>
      </c>
      <c r="I26" s="441">
        <f t="shared" si="9"/>
        <v>0</v>
      </c>
      <c r="J26" s="441">
        <f t="shared" si="10"/>
        <v>176.01381764600296</v>
      </c>
      <c r="K26" s="441">
        <f t="shared" si="11"/>
        <v>0</v>
      </c>
      <c r="L26" s="441">
        <f t="shared" si="12"/>
        <v>0</v>
      </c>
      <c r="M26" s="441">
        <f t="shared" si="13"/>
        <v>0</v>
      </c>
      <c r="N26" s="441">
        <f t="shared" si="14"/>
        <v>0</v>
      </c>
      <c r="O26" s="441">
        <f t="shared" si="15"/>
        <v>0</v>
      </c>
      <c r="P26" s="442">
        <f t="shared" si="16"/>
        <v>0</v>
      </c>
      <c r="Q26" s="440">
        <f t="shared" ca="1" si="17"/>
        <v>84550.884960391806</v>
      </c>
    </row>
    <row r="27" spans="1:17" s="446" customFormat="1">
      <c r="A27" s="444" t="s">
        <v>545</v>
      </c>
      <c r="B27" s="708">
        <f t="shared" ca="1" si="2"/>
        <v>21.238530295422738</v>
      </c>
      <c r="C27" s="445">
        <f t="shared" ca="1" si="3"/>
        <v>0</v>
      </c>
      <c r="D27" s="445">
        <f t="shared" si="4"/>
        <v>36.358888623276449</v>
      </c>
      <c r="E27" s="445">
        <f t="shared" si="5"/>
        <v>70.172355710828498</v>
      </c>
      <c r="F27" s="445">
        <f t="shared" si="6"/>
        <v>0</v>
      </c>
      <c r="G27" s="445">
        <f t="shared" si="7"/>
        <v>37470.330028824297</v>
      </c>
      <c r="H27" s="445">
        <f t="shared" si="8"/>
        <v>7723.473378418731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45321.573181872562</v>
      </c>
    </row>
    <row r="28" spans="1:17">
      <c r="A28" s="440" t="s">
        <v>535</v>
      </c>
      <c r="B28" s="441">
        <f t="shared" ca="1" si="2"/>
        <v>5.379170760881677</v>
      </c>
      <c r="C28" s="441">
        <f t="shared" ca="1" si="3"/>
        <v>0</v>
      </c>
      <c r="D28" s="441">
        <f t="shared" si="4"/>
        <v>0</v>
      </c>
      <c r="E28" s="441">
        <f t="shared" si="5"/>
        <v>0</v>
      </c>
      <c r="F28" s="441">
        <f t="shared" si="6"/>
        <v>0</v>
      </c>
      <c r="G28" s="441">
        <f t="shared" si="7"/>
        <v>646.95881787494397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652.3379886358257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532.7400852521157</v>
      </c>
      <c r="C32" s="441">
        <f t="shared" ca="1" si="3"/>
        <v>0</v>
      </c>
      <c r="D32" s="441">
        <f t="shared" si="4"/>
        <v>1555.0711979535899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2087.8112832057059</v>
      </c>
    </row>
    <row r="33" spans="1:17" s="450" customFormat="1">
      <c r="A33" s="957" t="s">
        <v>539</v>
      </c>
      <c r="B33" s="905">
        <f ca="1">SUM(B22:B32)</f>
        <v>59057.020158748797</v>
      </c>
      <c r="C33" s="905">
        <f t="shared" ref="C33:Q33" ca="1" si="18">SUM(C22:C32)</f>
        <v>1355.1354458026442</v>
      </c>
      <c r="D33" s="905">
        <f t="shared" ca="1" si="18"/>
        <v>82911.433375736538</v>
      </c>
      <c r="E33" s="905">
        <f t="shared" si="18"/>
        <v>2760.8171472467907</v>
      </c>
      <c r="F33" s="905">
        <f t="shared" ca="1" si="18"/>
        <v>33226.225127427693</v>
      </c>
      <c r="G33" s="905">
        <f t="shared" si="18"/>
        <v>38117.288846699244</v>
      </c>
      <c r="H33" s="905">
        <f t="shared" si="18"/>
        <v>7723.473378418731</v>
      </c>
      <c r="I33" s="905">
        <f t="shared" si="18"/>
        <v>0</v>
      </c>
      <c r="J33" s="905">
        <f t="shared" si="18"/>
        <v>482.31350256950742</v>
      </c>
      <c r="K33" s="905">
        <f t="shared" si="18"/>
        <v>0</v>
      </c>
      <c r="L33" s="905">
        <f t="shared" ca="1" si="18"/>
        <v>0</v>
      </c>
      <c r="M33" s="905">
        <f t="shared" si="18"/>
        <v>0</v>
      </c>
      <c r="N33" s="905">
        <f t="shared" ca="1" si="18"/>
        <v>0</v>
      </c>
      <c r="O33" s="905">
        <f t="shared" si="18"/>
        <v>0</v>
      </c>
      <c r="P33" s="905">
        <f t="shared" si="18"/>
        <v>0</v>
      </c>
      <c r="Q33" s="905">
        <f t="shared" ca="1" si="18"/>
        <v>225633.70698264992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16256.68654130866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3970.35</v>
      </c>
      <c r="D8" s="974">
        <f>'SEAP template'!D76</f>
        <v>4669.5515412881832</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943.2494113402131</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16256.68654130866</v>
      </c>
      <c r="C10" s="978">
        <f>SUM(C4:C9)</f>
        <v>3970.35</v>
      </c>
      <c r="D10" s="978">
        <f t="shared" ref="D10:H10" si="0">SUM(D8:D9)</f>
        <v>4669.5515412881832</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943.2494113402131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0.20854551887776712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5704.0714285714284</v>
      </c>
      <c r="D17" s="975">
        <f>'SEAP template'!D87</f>
        <v>6708.5913158546737</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1355.1354458026442</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5704.0714285714284</v>
      </c>
      <c r="D20" s="978">
        <f t="shared" ref="D20:H20" si="2">SUM(D17:D19)</f>
        <v>6708.5913158546737</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1355.1354458026442</v>
      </c>
    </row>
    <row r="22" spans="1:16">
      <c r="A22" s="451" t="s">
        <v>800</v>
      </c>
      <c r="B22" s="714" t="s">
        <v>794</v>
      </c>
      <c r="C22" s="714">
        <f ca="1">'EF ele_warmte'!B22</f>
        <v>0.2375733654061262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0.20854551887776712</v>
      </c>
      <c r="C17" s="488">
        <f ca="1">'EF ele_warmte'!B22</f>
        <v>0.2375733654061262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2</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3.1266666666666669</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2</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38.133333333333333</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2022-07-26T10:49:30Z</dcterms:modified>
</cp:coreProperties>
</file>