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A07792F4-F950-40D3-AFBE-297C411A02A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<sst xmlns="http://schemas.openxmlformats.org/spreadsheetml/2006/main" count="2397" uniqueCount="878">
  <si>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</si>
  <si>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</si>
  <si>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</si>
  <si>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</si>
  <si>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</si>
  <si>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</si>
  <si>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</si>
  <si>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</si>
  <si>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</si>
  <si>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</si>
  <si>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</si>
  <si>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</si>
  <si>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</si>
  <si>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</si>
  <si>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</si>
  <si>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</si>
  <si>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</si>
  <si>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</si>
  <si>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</si>
  <si>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</si>
  <si>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</si>
  <si>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</si>
  <si>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</si>
  <si>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</si>
  <si>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</si>
  <si>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</si>
  <si>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</si>
  <si>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</si>
  <si>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</si>
  <si>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</si>
  <si>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</si>
  <si>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</si>
  <si>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</si>
  <si>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</si>
  <si>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</si>
  <si>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</si>
  <si>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</si>
  <si>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</si>
  <si>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</si>
  <si>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</si>
  <si>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</si>
  <si>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</si>
  <si>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</si>
  <si>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</si>
  <si>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</si>
  <si>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</si>
  <si>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</si>
  <si>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</si>
  <si>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</si>
  <si>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</si>
  <si>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</si>
  <si>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</si>
  <si>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</si>
  <si>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</si>
  <si>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</si>
  <si>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</si>
  <si>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</si>
  <si>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</si>
  <si>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</si>
  <si>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</si>
  <si>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</si>
  <si>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</si>
  <si>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</si>
  <si>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</si>
  <si>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</si>
  <si>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</si>
  <si>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</si>
  <si>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</si>
  <si>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</si>
  <si>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</si>
  <si>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</si>
  <si>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</si>
  <si>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</si>
  <si>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</si>
  <si>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</si>
  <si>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</si>
  <si>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</si>
  <si>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</si>
  <si>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</si>
  <si>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</si>
  <si>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</si>
  <si>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</si>
  <si>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</si>
  <si>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</si>
  <si>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</si>
  <si>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</si>
  <si>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</si>
  <si>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</si>
  <si>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</si>
  <si>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</si>
  <si>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</si>
  <si>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</si>
  <si>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</si>
  <si>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</si>
  <si>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</si>
  <si>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</si>
  <si>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</si>
  <si>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</si>
  <si>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</si>
  <si>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</si>
  <si>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</si>
  <si>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</si>
  <si>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</si>
  <si>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</si>
  <si>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</si>
  <si>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</si>
  <si>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</si>
  <si>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</si>
  <si>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</si>
  <si>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</si>
  <si>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</si>
  <si>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</si>
  <si>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</si>
  <si>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</si>
  <si>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</si>
  <si>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</si>
  <si>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</si>
  <si>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</si>
  <si>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</si>
  <si>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</si>
  <si>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</si>
  <si>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</si>
  <si>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</si>
  <si>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</si>
  <si>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</si>
  <si>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</si>
  <si>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</si>
  <si>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</si>
  <si>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</si>
  <si>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</si>
  <si>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</si>
  <si>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</si>
  <si>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</si>
  <si>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</si>
  <si>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</si>
  <si>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</si>
  <si>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</si>
  <si>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</si>
  <si>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</si>
  <si>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</si>
  <si>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</si>
  <si>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</si>
  <si>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</si>
  <si>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</si>
  <si>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</si>
  <si>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</si>
  <si>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</si>
  <si>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</si>
  <si>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</si>
  <si>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</si>
  <si>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</si>
  <si>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</si>
  <si>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</si>
  <si>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</si>
  <si>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</si>
  <si>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</si>
  <si>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</si>
  <si>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</si>
  <si>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</si>
  <si>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</si>
  <si>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</si>
  <si>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</si>
  <si>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</si>
  <si>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</si>
  <si>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</si>
  <si>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</si>
  <si>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</si>
  <si>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</si>
  <si>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</si>
  <si>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</si>
  <si>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</si>
  <si>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</si>
  <si>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</si>
  <si>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</si>
  <si>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</si>
  <si>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</si>
  <si>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</si>
  <si>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</si>
  <si>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</si>
  <si>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</si>
  <si>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</si>
  <si>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</si>
  <si>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</si>
  <si>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</si>
  <si>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</si>
  <si>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</si>
  <si>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</si>
  <si>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</si>
  <si>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</si>
  <si>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</si>
  <si>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</si>
  <si>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</si>
  <si>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</si>
  <si>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</si>
  <si>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</si>
  <si>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</si>
  <si>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</si>
  <si>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</si>
  <si>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</si>
  <si>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</si>
  <si>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</si>
  <si>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</si>
  <si>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</si>
  <si>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</si>
  <si>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</si>
  <si>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</si>
  <si>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</si>
  <si>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</si>
  <si>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</si>
  <si>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</si>
  <si>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</si>
  <si>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</si>
  <si>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</si>
  <si>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</si>
  <si>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</si>
  <si>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</si>
  <si>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</si>
  <si>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</si>
  <si>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</si>
  <si>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</si>
  <si>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</si>
  <si>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</si>
  <si>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</si>
  <si>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</si>
  <si>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</si>
  <si>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</si>
  <si>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</si>
  <si>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</si>
  <si>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</si>
  <si>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</si>
  <si>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</si>
  <si>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</si>
  <si>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</si>
  <si>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</si>
  <si>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</si>
  <si>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</si>
  <si>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</si>
  <si>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</si>
  <si>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</si>
  <si>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</si>
  <si>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</si>
  <si>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</si>
  <si>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</si>
  <si>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</si>
  <si>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</si>
  <si>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</si>
  <si>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</si>
  <si>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</si>
  <si>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</si>
  <si>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</si>
  <si>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</si>
  <si>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</si>
  <si>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</si>
  <si>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</si>
  <si>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</si>
  <si>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</si>
  <si>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</si>
  <si>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</si>
  <si>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</si>
  <si>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</si>
  <si>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</si>
  <si>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</si>
  <si>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</si>
  <si>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</si>
  <si>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</si>
  <si>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</si>
  <si>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</si>
  <si>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</si>
  <si>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</si>
  <si>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</si>
  <si>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</si>
  <si>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</si>
  <si>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</si>
  <si>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</si>
  <si>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</si>
  <si>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</si>
  <si>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</si>
  <si>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</si>
  <si>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</si>
  <si>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</si>
  <si>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</si>
  <si>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</si>
  <si>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</si>
  <si>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</si>
  <si>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</si>
  <si>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</si>
  <si>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</si>
  <si>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</si>
  <si>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</si>
  <si>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</si>
  <si>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</si>
  <si>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</si>
  <si>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</si>
  <si>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</si>
  <si>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</si>
  <si>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</si>
  <si>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</si>
  <si>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</si>
  <si>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</si>
  <si>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</si>
  <si>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</si>
  <si>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</si>
  <si>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</si>
  <si>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</si>
  <si>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</si>
  <si>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</si>
  <si>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</si>
  <si>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</si>
  <si>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</si>
  <si>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</si>
  <si>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</si>
  <si>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</si>
  <si>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</si>
  <si>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</si>
  <si>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</si>
  <si>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</si>
  <si>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</si>
  <si>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</si>
  <si>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</si>
  <si>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</si>
  <si>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</si>
  <si>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</si>
  <si>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</si>
  <si>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</si>
  <si>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</si>
  <si>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</si>
  <si>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</si>
  <si>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</si>
  <si>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</si>
  <si>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</si>
  <si>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</si>
  <si>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</si>
  <si>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</si>
  <si>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</si>
  <si>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</si>
  <si>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</si>
  <si>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</si>
  <si>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</si>
  <si>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</si>
  <si>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</si>
  <si>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</si>
  <si>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</si>
  <si>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</si>
  <si>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</si>
  <si>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</si>
  <si>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</si>
  <si>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</si>
  <si>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</si>
  <si>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</si>
  <si>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</si>
  <si>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</si>
  <si>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</si>
  <si>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</si>
  <si>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</si>
  <si>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</si>
  <si>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</si>
  <si>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</si>
  <si>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</si>
  <si>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</si>
  <si>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</si>
  <si>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</si>
  <si>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</si>
  <si>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</si>
  <si>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</si>
  <si>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</si>
  <si>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</si>
  <si>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</si>
  <si>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</si>
  <si>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</si>
  <si>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</si>
  <si>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</si>
  <si>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</si>
  <si>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</si>
  <si>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</si>
  <si>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</si>
  <si>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</si>
  <si>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</si>
  <si>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</si>
  <si>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</si>
  <si>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</si>
  <si>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</si>
  <si>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</si>
  <si>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</si>
  <si>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</si>
  <si>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</si>
  <si>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</si>
  <si>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</si>
  <si>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</si>
  <si>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</si>
  <si>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</si>
  <si>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</si>
  <si>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</si>
  <si>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</si>
  <si>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</si>
  <si>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</si>
  <si>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</si>
  <si>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</si>
  <si>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</si>
  <si>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</si>
  <si>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</si>
  <si>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</si>
  <si>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</si>
  <si>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</si>
  <si>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</si>
  <si>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</si>
  <si>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</si>
  <si>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</si>
  <si>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</si>
  <si>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</si>
  <si>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</si>
  <si>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</si>
  <si>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</si>
  <si>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</si>
  <si>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</si>
  <si>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</si>
  <si>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</si>
  <si>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</si>
  <si>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</si>
  <si>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</si>
  <si>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</si>
  <si>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</si>
  <si>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</si>
  <si>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</si>
  <si>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</si>
  <si>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</si>
  <si>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</si>
  <si>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</si>
  <si>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</si>
  <si>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</si>
  <si>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</si>
  <si>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</si>
  <si>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</si>
  <si>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</si>
  <si>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</si>
  <si>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</si>
  <si>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</si>
  <si>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</si>
  <si>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</si>
  <si>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</si>
  <si>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</si>
  <si>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</si>
  <si>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</si>
  <si>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</si>
  <si>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</si>
  <si>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</si>
  <si>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</si>
  <si>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</si>
  <si>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</si>
  <si>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</si>
  <si>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</si>
  <si>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</si>
  <si>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</si>
  <si>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</si>
  <si>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</si>
  <si>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</si>
  <si>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</si>
  <si>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</si>
  <si>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</si>
  <si>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</si>
  <si>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</si>
  <si>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</si>
  <si>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</si>
  <si>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</si>
  <si>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</si>
  <si>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</si>
  <si>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</si>
  <si>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</si>
  <si>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</si>
  <si>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</si>
  <si>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</si>
  <si>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</si>
  <si>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</si>
  <si>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</si>
  <si>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</si>
  <si>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</si>
  <si>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</si>
  <si>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</si>
  <si>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</si>
  <si>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</si>
  <si>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</si>
  <si>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</si>
  <si>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</si>
  <si>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</si>
  <si>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</si>
  <si>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</si>
  <si>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</si>
  <si>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</si>
  <si>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</si>
  <si>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</si>
  <si>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</si>
  <si>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</si>
  <si>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</si>
  <si>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</si>
  <si>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</si>
  <si>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</si>
  <si>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</si>
  <si>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</si>
  <si>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</si>
  <si>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</si>
  <si>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</si>
  <si>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</si>
  <si>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</si>
  <si>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</si>
  <si>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</si>
  <si>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</si>
  <si>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</si>
  <si>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</si>
  <si>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</si>
  <si>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</si>
  <si>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</si>
  <si>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</si>
  <si>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</si>
  <si>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</si>
  <si>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</si>
  <si>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</si>
  <si>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</si>
  <si>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</si>
  <si>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</si>
  <si>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</si>
  <si>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</si>
  <si>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</si>
  <si>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</si>
  <si>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</si>
  <si>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</si>
  <si>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</si>
  <si>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</si>
  <si>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</si>
  <si>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</si>
  <si>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</si>
  <si>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</si>
  <si>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</si>
  <si>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</si>
  <si>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</si>
  <si>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</si>
  <si>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</si>
  <si>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</si>
  <si>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</si>
  <si>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</si>
  <si>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</si>
  <si>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</si>
  <si>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</si>
  <si>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</si>
  <si>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</si>
  <si>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</si>
  <si>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</si>
  <si>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</si>
  <si>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</si>
  <si>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</si>
  <si>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</si>
  <si>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</si>
  <si>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</si>
  <si>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</si>
  <si>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</si>
  <si>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</si>
  <si>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</si>
  <si>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</si>
  <si>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</si>
  <si>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</si>
  <si>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</si>
  <si>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</si>
  <si>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</si>
  <si>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</si>
  <si>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</si>
  <si>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</si>
  <si>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</si>
  <si>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</si>
  <si>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</si>
  <si>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</si>
  <si>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</si>
  <si>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</si>
  <si>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</si>
  <si>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</si>
  <si>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</si>
  <si>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</si>
  <si>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</si>
  <si>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</si>
  <si>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</si>
  <si>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</si>
  <si>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</si>
  <si>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</si>
  <si>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</si>
  <si>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</si>
  <si>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</si>
  <si>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</si>
  <si>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</si>
  <si>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</si>
  <si>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</si>
  <si>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</si>
  <si>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</si>
  <si>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</si>
  <si>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</si>
  <si>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</si>
  <si>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</si>
  <si>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</si>
  <si>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</si>
  <si>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</si>
  <si>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</si>
  <si>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</si>
  <si>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</si>
  <si>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</si>
  <si>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</si>
  <si>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</si>
  <si>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</si>
  <si>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</si>
  <si>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</si>
  <si>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</si>
  <si>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</si>
  <si>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</si>
  <si>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</si>
  <si>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</si>
  <si>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</si>
  <si>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</si>
  <si>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</si>
  <si>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</si>
  <si>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</si>
  <si>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</si>
  <si>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</si>
  <si>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</si>
  <si>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</si>
  <si>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</si>
  <si>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</si>
  <si>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</si>
  <si>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</si>
  <si>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</si>
  <si>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</si>
  <si>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</si>
  <si>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</si>
  <si>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</si>
  <si>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</si>
  <si>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</si>
  <si>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</si>
  <si>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</si>
  <si>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</si>
  <si>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</si>
  <si>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</si>
  <si>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</si>
  <si>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</si>
  <si>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</si>
  <si>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</si>
  <si>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</si>
  <si>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</si>
  <si>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</si>
  <si>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</si>
  <si>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</si>
  <si>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</si>
  <si>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</si>
  <si>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</si>
  <si>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</si>
  <si>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</si>
  <si>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</si>
  <si>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</si>
  <si>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</si>
  <si>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</si>
  <si>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</si>
  <si>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</si>
  <si>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</si>
  <si>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</si>
  <si>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</si>
  <si>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</si>
  <si>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</si>
  <si>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</si>
  <si>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</si>
  <si>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</si>
  <si>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</si>
  <si>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</si>
  <si>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</si>
  <si>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</si>
  <si>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</si>
  <si>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</si>
  <si>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</si>
  <si>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</si>
  <si>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</si>
  <si>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</si>
  <si>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</si>
  <si>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</si>
  <si>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</si>
  <si>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</si>
  <si>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</si>
  <si>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</si>
  <si>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</si>
  <si>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</si>
  <si>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</si>
  <si>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</si>
  <si>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</si>
  <si>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</si>
  <si>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</si>
  <si>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</si>
  <si>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</si>
  <si>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</si>
  <si>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</si>
  <si>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</si>
  <si>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</si>
  <si>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</si>
  <si>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</si>
  <si>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</si>
  <si>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</si>
  <si>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</si>
  <si>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</si>
  <si>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</si>
  <si>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</si>
  <si>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</si>
  <si>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</si>
  <si>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</si>
  <si>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</si>
  <si>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</si>
  <si>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</si>
  <si>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</si>
  <si>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</si>
  <si>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</si>
  <si>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</si>
  <si>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</si>
  <si>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</si>
  <si>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</si>
  <si>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</si>
  <si>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</si>
  <si>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</si>
  <si>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</si>
  <si>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</si>
  <si>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</si>
  <si>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</si>
  <si>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</si>
  <si>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</si>
  <si>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</si>
  <si>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</si>
  <si>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</si>
  <si>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</si>
  <si>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</si>
  <si>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</si>
  <si>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</si>
  <si>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</si>
  <si>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</si>
  <si>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</si>
  <si>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</si>
  <si>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</si>
  <si>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</si>
  <si>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</si>
  <si>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</si>
  <si>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</si>
  <si>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</si>
  <si>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</si>
  <si>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</si>
  <si>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</si>
  <si>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</si>
  <si>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</si>
  <si>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</si>
  <si>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</si>
  <si>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</si>
  <si>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</si>
  <si>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</si>
  <si>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</si>
  <si>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</si>
  <si>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</si>
  <si>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</si>
  <si>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</si>
  <si>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</si>
  <si>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</si>
  <si>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</si>
  <si>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</si>
  <si>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</si>
  <si>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</si>
  <si>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</si>
  <si>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</si>
  <si>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</si>
  <si>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</si>
  <si>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</si>
  <si>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</si>
  <si>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</si>
  <si>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</si>
  <si>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</si>
  <si>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</si>
  <si>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</si>
  <si>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</si>
  <si>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</si>
  <si>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</si>
  <si>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</si>
  <si>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</si>
  <si>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</si>
  <si>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</si>
  <si>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</si>
  <si>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</si>
  <si>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</si>
  <si>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</si>
  <si>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</si>
  <si>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</si>
  <si>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</si>
  <si>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</si>
  <si>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</si>
  <si>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</si>
  <si>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</si>
  <si>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</si>
  <si>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</si>
  <si>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</si>
  <si>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</si>
  <si>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</si>
  <si>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</si>
  <si>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</si>
  <si>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</si>
  <si>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</si>
  <si>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</si>
  <si>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</si>
  <si>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</si>
  <si>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</si>
  <si>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</si>
  <si>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</si>
  <si>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</si>
  <si>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</si>
  <si>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</si>
  <si>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</si>
  <si>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</si>
  <si>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</si>
  <si>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</si>
  <si>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</si>
  <si>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</si>
  <si>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</si>
  <si>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</si>
  <si>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</si>
  <si>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</si>
  <si>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</si>
  <si>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</si>
  <si>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</si>
  <si>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</si>
  <si>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</si>
  <si>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</si>
  <si>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</si>
  <si>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</si>
  <si>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</si>
  <si>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</si>
  <si>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</si>
  <si>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</si>
  <si>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</si>
  <si>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</si>
  <si>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</si>
  <si>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</si>
  <si>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</si>
  <si>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</si>
  <si>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</si>
  <si>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</si>
  <si>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</si>
  <si>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</si>
  <si>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</si>
  <si>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</si>
  <si>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</si>
  <si>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</si>
  <si>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</si>
  <si>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</si>
  <si>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</si>
  <si>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</si>
  <si>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</si>
  <si>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</si>
  <si>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</si>
  <si>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</si>
  <si>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</si>
  <si>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</si>
  <si>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</si>
  <si>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</si>
  <si>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</si>
  <si>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</si>
  <si>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</si>
  <si>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</si>
  <si>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</si>
  <si>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</si>
  <si>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</si>
  <si>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</si>
  <si>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</si>
  <si>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</si>
  <si>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</si>
  <si>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</si>
  <si>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</si>
  <si>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</si>
  <si>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</si>
  <si>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</si>
  <si>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</si>
  <si>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</si>
  <si>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</si>
  <si>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</si>
  <si>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44064</t>
  </si>
  <si>
    <t>SINT-MARTENS-LATEM</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</si>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</sst>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6BD1D6E4-155E-46EE-986B-CE52295B2559}"/>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86356.855244146456</c:v>
                </c:pt>
                <c:pt idx="1">
                  <c:v>39291.574175700938</c:v>
                </c:pt>
                <c:pt idx="2">
                  <c:v>586.02700000000004</c:v>
                </c:pt>
                <c:pt idx="3">
                  <c:v>1073.4059551119326</c:v>
                </c:pt>
                <c:pt idx="4">
                  <c:v>4902.6717428562142</c:v>
                </c:pt>
                <c:pt idx="5">
                  <c:v>45140.27892544002</c:v>
                </c:pt>
                <c:pt idx="6">
                  <c:v>659.74249963841567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86356.855244146456</c:v>
                </c:pt>
                <c:pt idx="1">
                  <c:v>39291.574175700938</c:v>
                </c:pt>
                <c:pt idx="2">
                  <c:v>586.02700000000004</c:v>
                </c:pt>
                <c:pt idx="3">
                  <c:v>1073.4059551119326</c:v>
                </c:pt>
                <c:pt idx="4">
                  <c:v>4902.6717428562142</c:v>
                </c:pt>
                <c:pt idx="5">
                  <c:v>45140.27892544002</c:v>
                </c:pt>
                <c:pt idx="6">
                  <c:v>659.74249963841567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18263.822601631036</c:v>
                </c:pt>
                <c:pt idx="2">
                  <c:v>8214.1355101332611</c:v>
                </c:pt>
                <c:pt idx="3">
                  <c:v>126.18848839217823</c:v>
                </c:pt>
                <c:pt idx="4">
                  <c:v>276.95976150238414</c:v>
                </c:pt>
                <c:pt idx="5">
                  <c:v>1062.3585537099573</c:v>
                </c:pt>
                <c:pt idx="6">
                  <c:v>11302.025167611726</c:v>
                </c:pt>
                <c:pt idx="7">
                  <c:v>166.31545494402587</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18263.822601631036</c:v>
                </c:pt>
                <c:pt idx="2">
                  <c:v>8214.1355101332611</c:v>
                </c:pt>
                <c:pt idx="3">
                  <c:v>126.18848839217823</c:v>
                </c:pt>
                <c:pt idx="4">
                  <c:v>276.95976150238414</c:v>
                </c:pt>
                <c:pt idx="5">
                  <c:v>1062.3585537099573</c:v>
                </c:pt>
                <c:pt idx="6">
                  <c:v>11302.025167611726</c:v>
                </c:pt>
                <c:pt idx="7">
                  <c:v>166.31545494402587</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44064</v>
      </c>
      <c r="B6" s="380"/>
      <c r="C6" s="381"/>
    </row>
    <row r="7" spans="1:7" s="378" customFormat="1" ht="15.75" customHeight="1">
      <c r="A7" s="382" t="str">
        <f>txtMunicipality</f>
        <v>SINT-MARTENS-LATEM</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0.21532879610014252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0.21532879610014252</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3512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386.42</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13</v>
      </c>
      <c r="C17" s="322"/>
      <c r="D17" s="322"/>
      <c r="E17" s="322"/>
      <c r="F17" s="322"/>
    </row>
    <row r="18" spans="1:6">
      <c r="A18" s="1248" t="s">
        <v>8</v>
      </c>
      <c r="B18" s="1249">
        <v>12</v>
      </c>
      <c r="C18" s="322"/>
      <c r="D18" s="322"/>
      <c r="E18" s="322"/>
      <c r="F18" s="322"/>
    </row>
    <row r="19" spans="1:6">
      <c r="A19" s="1248" t="s">
        <v>9</v>
      </c>
      <c r="B19" s="1249">
        <v>16</v>
      </c>
      <c r="C19" s="322"/>
      <c r="D19" s="322"/>
      <c r="E19" s="322"/>
      <c r="F19" s="322"/>
    </row>
    <row r="20" spans="1:6">
      <c r="A20" s="1248" t="s">
        <v>10</v>
      </c>
      <c r="B20" s="1249">
        <v>24</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26</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88</v>
      </c>
      <c r="C29" s="322"/>
      <c r="D29" s="322"/>
      <c r="E29" s="322"/>
      <c r="F29" s="322"/>
    </row>
    <row r="30" spans="1:6">
      <c r="A30" s="1243" t="s">
        <v>692</v>
      </c>
      <c r="B30" s="1251">
        <v>16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23261.746311941999</v>
      </c>
    </row>
    <row r="39" spans="1:6">
      <c r="A39" s="1248" t="s">
        <v>29</v>
      </c>
      <c r="B39" s="1248" t="s">
        <v>30</v>
      </c>
      <c r="C39" s="1249">
        <v>1304</v>
      </c>
      <c r="D39" s="1249">
        <v>30190890.900577899</v>
      </c>
      <c r="E39" s="1249">
        <v>3107</v>
      </c>
      <c r="F39" s="1249">
        <v>18942986.587678999</v>
      </c>
    </row>
    <row r="40" spans="1:6">
      <c r="A40" s="1248" t="s">
        <v>29</v>
      </c>
      <c r="B40" s="1248" t="s">
        <v>28</v>
      </c>
      <c r="C40" s="1249">
        <v>0</v>
      </c>
      <c r="D40" s="1249">
        <v>0</v>
      </c>
      <c r="E40" s="1249">
        <v>0</v>
      </c>
      <c r="F40" s="1249">
        <v>0</v>
      </c>
    </row>
    <row r="41" spans="1:6">
      <c r="A41" s="1248" t="s">
        <v>31</v>
      </c>
      <c r="B41" s="1248" t="s">
        <v>32</v>
      </c>
      <c r="C41" s="1249">
        <v>26</v>
      </c>
      <c r="D41" s="1249">
        <v>1119652.53974188</v>
      </c>
      <c r="E41" s="1249">
        <v>76</v>
      </c>
      <c r="F41" s="1249">
        <v>1136009.5689097799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55194.645771000804</v>
      </c>
    </row>
    <row r="48" spans="1:6">
      <c r="A48" s="1248" t="s">
        <v>31</v>
      </c>
      <c r="B48" s="1248" t="s">
        <v>28</v>
      </c>
      <c r="C48" s="1249">
        <v>21</v>
      </c>
      <c r="D48" s="1249">
        <v>517148.16197098402</v>
      </c>
      <c r="E48" s="1249">
        <v>31</v>
      </c>
      <c r="F48" s="1249">
        <v>473107.32133801002</v>
      </c>
    </row>
    <row r="49" spans="1:6">
      <c r="A49" s="1248" t="s">
        <v>31</v>
      </c>
      <c r="B49" s="1248" t="s">
        <v>39</v>
      </c>
      <c r="C49" s="1249">
        <v>0</v>
      </c>
      <c r="D49" s="1249">
        <v>0</v>
      </c>
      <c r="E49" s="1249">
        <v>3</v>
      </c>
      <c r="F49" s="1249">
        <v>90536.294996359997</v>
      </c>
    </row>
    <row r="50" spans="1:6">
      <c r="A50" s="1248" t="s">
        <v>31</v>
      </c>
      <c r="B50" s="1248" t="s">
        <v>40</v>
      </c>
      <c r="C50" s="1249">
        <v>3</v>
      </c>
      <c r="D50" s="1249">
        <v>255646.930484176</v>
      </c>
      <c r="E50" s="1249">
        <v>7</v>
      </c>
      <c r="F50" s="1249">
        <v>457977.84239005297</v>
      </c>
    </row>
    <row r="51" spans="1:6">
      <c r="A51" s="1248" t="s">
        <v>41</v>
      </c>
      <c r="B51" s="1248" t="s">
        <v>42</v>
      </c>
      <c r="C51" s="1249">
        <v>0</v>
      </c>
      <c r="D51" s="1249">
        <v>0</v>
      </c>
      <c r="E51" s="1249">
        <v>11</v>
      </c>
      <c r="F51" s="1249">
        <v>125224.959174937</v>
      </c>
    </row>
    <row r="52" spans="1:6">
      <c r="A52" s="1248" t="s">
        <v>41</v>
      </c>
      <c r="B52" s="1248" t="s">
        <v>28</v>
      </c>
      <c r="C52" s="1249">
        <v>3</v>
      </c>
      <c r="D52" s="1249">
        <v>59417.440622804097</v>
      </c>
      <c r="E52" s="1249">
        <v>11</v>
      </c>
      <c r="F52" s="1249">
        <v>79365.951774803601</v>
      </c>
    </row>
    <row r="53" spans="1:6">
      <c r="A53" s="1248" t="s">
        <v>43</v>
      </c>
      <c r="B53" s="1248" t="s">
        <v>44</v>
      </c>
      <c r="C53" s="1249">
        <v>57</v>
      </c>
      <c r="D53" s="1249">
        <v>1197596.4211684901</v>
      </c>
      <c r="E53" s="1249">
        <v>162</v>
      </c>
      <c r="F53" s="1249">
        <v>943481.64628906304</v>
      </c>
    </row>
    <row r="54" spans="1:6">
      <c r="A54" s="1248" t="s">
        <v>45</v>
      </c>
      <c r="B54" s="1248" t="s">
        <v>46</v>
      </c>
      <c r="C54" s="1249">
        <v>0</v>
      </c>
      <c r="D54" s="1249">
        <v>0</v>
      </c>
      <c r="E54" s="1249">
        <v>2</v>
      </c>
      <c r="F54" s="1249">
        <v>586027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9</v>
      </c>
      <c r="D57" s="1249">
        <v>249550.411028036</v>
      </c>
      <c r="E57" s="1249">
        <v>35</v>
      </c>
      <c r="F57" s="1249">
        <v>625234.26498495496</v>
      </c>
    </row>
    <row r="58" spans="1:6">
      <c r="A58" s="1248" t="s">
        <v>48</v>
      </c>
      <c r="B58" s="1248" t="s">
        <v>50</v>
      </c>
      <c r="C58" s="1249">
        <v>23</v>
      </c>
      <c r="D58" s="1249">
        <v>969983.41973412305</v>
      </c>
      <c r="E58" s="1249">
        <v>63</v>
      </c>
      <c r="F58" s="1249">
        <v>949868.94196333794</v>
      </c>
    </row>
    <row r="59" spans="1:6">
      <c r="A59" s="1248" t="s">
        <v>48</v>
      </c>
      <c r="B59" s="1248" t="s">
        <v>51</v>
      </c>
      <c r="C59" s="1249">
        <v>60</v>
      </c>
      <c r="D59" s="1249">
        <v>2972602.2842877898</v>
      </c>
      <c r="E59" s="1249">
        <v>156</v>
      </c>
      <c r="F59" s="1249">
        <v>3599989.1006026599</v>
      </c>
    </row>
    <row r="60" spans="1:6">
      <c r="A60" s="1248" t="s">
        <v>48</v>
      </c>
      <c r="B60" s="1248" t="s">
        <v>52</v>
      </c>
      <c r="C60" s="1249">
        <v>37</v>
      </c>
      <c r="D60" s="1249">
        <v>2956261.0543169701</v>
      </c>
      <c r="E60" s="1249">
        <v>73</v>
      </c>
      <c r="F60" s="1249">
        <v>2650165.39669907</v>
      </c>
    </row>
    <row r="61" spans="1:6">
      <c r="A61" s="1248" t="s">
        <v>48</v>
      </c>
      <c r="B61" s="1248" t="s">
        <v>53</v>
      </c>
      <c r="C61" s="1249">
        <v>166</v>
      </c>
      <c r="D61" s="1249">
        <v>6928356.7775514498</v>
      </c>
      <c r="E61" s="1249">
        <v>449</v>
      </c>
      <c r="F61" s="1249">
        <v>5700732.4059570599</v>
      </c>
    </row>
    <row r="62" spans="1:6">
      <c r="A62" s="1248" t="s">
        <v>48</v>
      </c>
      <c r="B62" s="1248" t="s">
        <v>54</v>
      </c>
      <c r="C62" s="1249">
        <v>0</v>
      </c>
      <c r="D62" s="1249">
        <v>0</v>
      </c>
      <c r="E62" s="1249">
        <v>4</v>
      </c>
      <c r="F62" s="1249">
        <v>103307.22488238</v>
      </c>
    </row>
    <row r="63" spans="1:6">
      <c r="A63" s="1248" t="s">
        <v>48</v>
      </c>
      <c r="B63" s="1248" t="s">
        <v>28</v>
      </c>
      <c r="C63" s="1249">
        <v>138</v>
      </c>
      <c r="D63" s="1249">
        <v>6100080.0555157997</v>
      </c>
      <c r="E63" s="1249">
        <v>170</v>
      </c>
      <c r="F63" s="1249">
        <v>3890773.6670347499</v>
      </c>
    </row>
    <row r="64" spans="1:6">
      <c r="A64" s="1248" t="s">
        <v>55</v>
      </c>
      <c r="B64" s="1248" t="s">
        <v>56</v>
      </c>
      <c r="C64" s="1249">
        <v>0</v>
      </c>
      <c r="D64" s="1249">
        <v>0</v>
      </c>
      <c r="E64" s="1249">
        <v>0</v>
      </c>
      <c r="F64" s="1249">
        <v>0</v>
      </c>
    </row>
    <row r="65" spans="1:6">
      <c r="A65" s="1248" t="s">
        <v>55</v>
      </c>
      <c r="B65" s="1248" t="s">
        <v>28</v>
      </c>
      <c r="C65" s="1249">
        <v>1</v>
      </c>
      <c r="D65" s="1249">
        <v>26236.714620305</v>
      </c>
      <c r="E65" s="1249">
        <v>3</v>
      </c>
      <c r="F65" s="1249">
        <v>160642.95110350699</v>
      </c>
    </row>
    <row r="66" spans="1:6">
      <c r="A66" s="1248" t="s">
        <v>55</v>
      </c>
      <c r="B66" s="1248" t="s">
        <v>57</v>
      </c>
      <c r="C66" s="1249">
        <v>0</v>
      </c>
      <c r="D66" s="1249">
        <v>0</v>
      </c>
      <c r="E66" s="1249">
        <v>3</v>
      </c>
      <c r="F66" s="1249">
        <v>18930.737646519901</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38580716</v>
      </c>
      <c r="E73" s="439"/>
      <c r="F73" s="322"/>
    </row>
    <row r="74" spans="1:6">
      <c r="A74" s="1248" t="s">
        <v>63</v>
      </c>
      <c r="B74" s="1248" t="s">
        <v>617</v>
      </c>
      <c r="C74" s="1261" t="s">
        <v>619</v>
      </c>
      <c r="D74" s="1249">
        <v>4298508.5</v>
      </c>
      <c r="E74" s="439"/>
      <c r="F74" s="322"/>
    </row>
    <row r="75" spans="1:6">
      <c r="A75" s="1248" t="s">
        <v>64</v>
      </c>
      <c r="B75" s="1248" t="s">
        <v>616</v>
      </c>
      <c r="C75" s="1261" t="s">
        <v>620</v>
      </c>
      <c r="D75" s="1249">
        <v>8434488</v>
      </c>
      <c r="E75" s="439"/>
      <c r="F75" s="322"/>
    </row>
    <row r="76" spans="1:6">
      <c r="A76" s="1248" t="s">
        <v>64</v>
      </c>
      <c r="B76" s="1248" t="s">
        <v>617</v>
      </c>
      <c r="C76" s="1261" t="s">
        <v>621</v>
      </c>
      <c r="D76" s="1249">
        <v>526232.5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179441</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1002.800353829601</v>
      </c>
      <c r="C91" s="322"/>
      <c r="D91" s="322"/>
      <c r="E91" s="322"/>
      <c r="F91" s="322"/>
    </row>
    <row r="92" spans="1:6">
      <c r="A92" s="1243" t="s">
        <v>68</v>
      </c>
      <c r="B92" s="1244">
        <v>60.716717127962063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510</v>
      </c>
      <c r="C97" s="322"/>
      <c r="D97" s="322"/>
      <c r="E97" s="322"/>
      <c r="F97" s="322"/>
    </row>
    <row r="98" spans="1:6">
      <c r="A98" s="1248" t="s">
        <v>71</v>
      </c>
      <c r="B98" s="1249">
        <v>1</v>
      </c>
      <c r="C98" s="322"/>
      <c r="D98" s="322"/>
      <c r="E98" s="322"/>
      <c r="F98" s="322"/>
    </row>
    <row r="99" spans="1:6">
      <c r="A99" s="1248" t="s">
        <v>72</v>
      </c>
      <c r="B99" s="1249">
        <v>50</v>
      </c>
      <c r="C99" s="322"/>
      <c r="D99" s="322"/>
      <c r="E99" s="322"/>
      <c r="F99" s="322"/>
    </row>
    <row r="100" spans="1:6">
      <c r="A100" s="1248" t="s">
        <v>73</v>
      </c>
      <c r="B100" s="1249">
        <v>478</v>
      </c>
      <c r="C100" s="322"/>
      <c r="D100" s="322"/>
      <c r="E100" s="322"/>
      <c r="F100" s="322"/>
    </row>
    <row r="101" spans="1:6">
      <c r="A101" s="1248" t="s">
        <v>74</v>
      </c>
      <c r="B101" s="1249">
        <v>15</v>
      </c>
      <c r="C101" s="322"/>
      <c r="D101" s="322"/>
      <c r="E101" s="322"/>
      <c r="F101" s="322"/>
    </row>
    <row r="102" spans="1:6">
      <c r="A102" s="1248" t="s">
        <v>75</v>
      </c>
      <c r="B102" s="1249">
        <v>62</v>
      </c>
      <c r="C102" s="322"/>
      <c r="D102" s="322"/>
      <c r="E102" s="322"/>
      <c r="F102" s="322"/>
    </row>
    <row r="103" spans="1:6">
      <c r="A103" s="1248" t="s">
        <v>76</v>
      </c>
      <c r="B103" s="1249">
        <v>53</v>
      </c>
      <c r="C103" s="322"/>
      <c r="D103" s="322"/>
      <c r="E103" s="322"/>
      <c r="F103" s="322"/>
    </row>
    <row r="104" spans="1:6">
      <c r="A104" s="1248" t="s">
        <v>77</v>
      </c>
      <c r="B104" s="1249">
        <v>2024</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59</v>
      </c>
      <c r="C123" s="1249">
        <v>23</v>
      </c>
      <c r="D123" s="322"/>
      <c r="E123" s="322"/>
      <c r="F123" s="322"/>
    </row>
    <row r="124" spans="1:6">
      <c r="A124" s="1248" t="s">
        <v>88</v>
      </c>
      <c r="B124" s="1249">
        <v>2</v>
      </c>
      <c r="C124" s="1249">
        <v>2</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67</v>
      </c>
      <c r="C129" s="322"/>
      <c r="D129" s="322"/>
      <c r="E129" s="322"/>
      <c r="F129" s="322"/>
    </row>
    <row r="130" spans="1:6">
      <c r="A130" s="1248" t="s">
        <v>283</v>
      </c>
      <c r="B130" s="1249">
        <v>1</v>
      </c>
      <c r="C130" s="322"/>
      <c r="D130" s="322"/>
      <c r="E130" s="322"/>
      <c r="F130" s="322"/>
    </row>
    <row r="131" spans="1:6">
      <c r="A131" s="1248" t="s">
        <v>284</v>
      </c>
      <c r="B131" s="1249">
        <v>2</v>
      </c>
      <c r="C131" s="322"/>
      <c r="D131" s="322"/>
      <c r="E131" s="322"/>
      <c r="F131" s="322"/>
    </row>
    <row r="132" spans="1:6">
      <c r="A132" s="1243" t="s">
        <v>285</v>
      </c>
      <c r="B132" s="1244">
        <v>12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41443.982059528535</v>
      </c>
      <c r="C3" s="43" t="s">
        <v>163</v>
      </c>
      <c r="D3" s="43"/>
      <c r="E3" s="153"/>
      <c r="F3" s="43"/>
      <c r="G3" s="43"/>
      <c r="H3" s="43"/>
      <c r="I3" s="43"/>
      <c r="J3" s="43"/>
      <c r="K3" s="96"/>
    </row>
    <row r="4" spans="1:11">
      <c r="A4" s="348" t="s">
        <v>164</v>
      </c>
      <c r="B4" s="49">
        <f>IF(ISERROR('SEAP template'!B78+'SEAP template'!C78),0,'SEAP template'!B78+'SEAP template'!C78)</f>
        <v>1063.5170709575632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0.21532879610014252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586.02700000000004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586.02700000000004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0.21532879610014252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126.18848839217823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18942.986587678999</v>
      </c>
      <c r="C5" s="17">
        <f>IF(ISERROR('Eigen informatie GS &amp; warmtenet'!B57),0,'Eigen informatie GS &amp; warmtenet'!B57)</f>
        <v>0</v>
      </c>
      <c r="D5" s="30">
        <f>(SUM(HH_hh_gas_kWh,HH_rest_gas_kWh)/1000)*0.902</f>
        <v>27232.183592321264</v>
      </c>
      <c r="E5" s="17">
        <f>B32*B41</f>
        <v>1311.2405783773079</v>
      </c>
      <c r="F5" s="17">
        <f>B36*B45</f>
        <v>30393.536440372958</v>
      </c>
      <c r="G5" s="18"/>
      <c r="H5" s="17"/>
      <c r="I5" s="17"/>
      <c r="J5" s="17">
        <f>B35*B44+C35*C44</f>
        <v>156.19600487547544</v>
      </c>
      <c r="K5" s="17"/>
      <c r="L5" s="17"/>
      <c r="M5" s="17"/>
      <c r="N5" s="17">
        <f>B34*B43+C34*C43</f>
        <v>5782.2183533575344</v>
      </c>
      <c r="O5" s="17">
        <f>B52*B53*B54</f>
        <v>143.82666666666668</v>
      </c>
      <c r="P5" s="17">
        <f>B60*B61*B62/1000-B60*B61*B62/1000/B63</f>
        <v>1391.8666666666668</v>
      </c>
    </row>
    <row r="6" spans="1:16">
      <c r="A6" s="16" t="s">
        <v>582</v>
      </c>
      <c r="B6" s="716">
        <f>kWh_PV_kleiner_dan_10kW</f>
        <v>1002.800353829601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19945.786941508599</v>
      </c>
      <c r="C8" s="21">
        <f>C5</f>
        <v>0</v>
      </c>
      <c r="D8" s="21">
        <f>D5</f>
        <v>27232.183592321264</v>
      </c>
      <c r="E8" s="21">
        <f>E5</f>
        <v>1311.2405783773079</v>
      </c>
      <c r="F8" s="21">
        <f>F5</f>
        <v>30393.536440372958</v>
      </c>
      <c r="G8" s="21"/>
      <c r="H8" s="21"/>
      <c r="I8" s="21"/>
      <c r="J8" s="21">
        <f>J5</f>
        <v>156.19600487547544</v>
      </c>
      <c r="K8" s="21"/>
      <c r="L8" s="21">
        <f>L5</f>
        <v>0</v>
      </c>
      <c r="M8" s="21">
        <f>M5</f>
        <v>0</v>
      </c>
      <c r="N8" s="21">
        <f>N5</f>
        <v>5782.2183533575344</v>
      </c>
      <c r="O8" s="21">
        <f>O5</f>
        <v>143.82666666666668</v>
      </c>
      <c r="P8" s="21">
        <f>P5</f>
        <v>1391.8666666666668</v>
      </c>
    </row>
    <row r="9" spans="1:16">
      <c r="B9" s="19"/>
      <c r="C9" s="19"/>
      <c r="D9" s="253"/>
      <c r="E9" s="19"/>
      <c r="F9" s="19"/>
      <c r="G9" s="19"/>
      <c r="H9" s="19"/>
      <c r="I9" s="19"/>
      <c r="J9" s="19"/>
      <c r="K9" s="19"/>
      <c r="L9" s="19"/>
      <c r="M9" s="19"/>
      <c r="N9" s="19"/>
      <c r="O9" s="19"/>
      <c r="P9" s="19"/>
    </row>
    <row r="10" spans="1:16">
      <c r="A10" s="24" t="s">
        <v>207</v>
      </c>
      <c r="B10" s="25">
        <f ca="1">'EF ele_warmte'!B12</f>
        <v>0.21532879610014252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4294.9022893849906</v>
      </c>
      <c r="C12" s="23">
        <f ca="1">C10*C8</f>
        <v>0</v>
      </c>
      <c r="D12" s="23">
        <f>D8*D10</f>
        <v>5500.9010856488958</v>
      </c>
      <c r="E12" s="23">
        <f>E10*E8</f>
        <v>297.65161129164892</v>
      </c>
      <c r="F12" s="23">
        <f>F10*F8</f>
        <v>8115.0742295795799</v>
      </c>
      <c r="G12" s="23"/>
      <c r="H12" s="23"/>
      <c r="I12" s="23"/>
      <c r="J12" s="23">
        <f>J10*J8</f>
        <v>55.293385725918306</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3512</v>
      </c>
      <c r="C26" s="36"/>
      <c r="D26" s="224"/>
    </row>
    <row r="27" spans="1:5" s="15" customFormat="1">
      <c r="A27" s="226" t="s">
        <v>736</v>
      </c>
      <c r="B27" s="37">
        <f>SUM(HH_hh_gas_aantal,HH_rest_gas_aantal)</f>
        <v>1304</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1238.8</v>
      </c>
      <c r="C31" s="34" t="s">
        <v>104</v>
      </c>
      <c r="D31" s="170"/>
    </row>
    <row r="32" spans="1:5">
      <c r="A32" s="167" t="s">
        <v>72</v>
      </c>
      <c r="B32" s="33">
        <f>IF((B21*($B$26-($B$27-0.05*$B$27)-$B$60))&lt;0,0,B21*($B$26-($B$27-0.05*$B$27)-$B$60))</f>
        <v>24.230435262423434</v>
      </c>
      <c r="C32" s="34" t="s">
        <v>104</v>
      </c>
      <c r="D32" s="170"/>
    </row>
    <row r="33" spans="1:6">
      <c r="A33" s="167" t="s">
        <v>73</v>
      </c>
      <c r="B33" s="33">
        <f>IF((B22*($B$26-($B$27-0.05*$B$27)-$B$60))&lt;0,0,B22*($B$26-($B$27-0.05*$B$27)-$B$60))</f>
        <v>503.77109708104012</v>
      </c>
      <c r="C33" s="34" t="s">
        <v>104</v>
      </c>
      <c r="D33" s="170"/>
    </row>
    <row r="34" spans="1:6">
      <c r="A34" s="167" t="s">
        <v>74</v>
      </c>
      <c r="B34" s="33">
        <f>IF((B24*($B$26-($B$27-0.05*$B$27)-$B$60))&lt;0,0,B24*($B$26-($B$27-0.05*$B$27)-$B$60))</f>
        <v>196.62013214067781</v>
      </c>
      <c r="C34" s="33">
        <f>B26*C24</f>
        <v>622.06173131512799</v>
      </c>
      <c r="D34" s="229"/>
    </row>
    <row r="35" spans="1:6">
      <c r="A35" s="167" t="s">
        <v>76</v>
      </c>
      <c r="B35" s="33">
        <f>IF((B19*($B$26-($B$27-0.05*$B$27)-$B$60))&lt;0,0,B19*($B$26-($B$27-0.05*$B$27)-$B$60))</f>
        <v>18.33982670940442</v>
      </c>
      <c r="C35" s="33">
        <f>B35/2</f>
        <v>9.16991335470221</v>
      </c>
      <c r="D35" s="229"/>
    </row>
    <row r="36" spans="1:6">
      <c r="A36" s="167" t="s">
        <v>77</v>
      </c>
      <c r="B36" s="33">
        <f>IF((B18*($B$26-($B$27-0.05*$B$27)-$B$60))&lt;0,0,B18*($B$26-($B$27-0.05*$B$27)-$B$60))</f>
        <v>1457.2385088064541</v>
      </c>
      <c r="C36" s="34" t="s">
        <v>104</v>
      </c>
      <c r="D36" s="170"/>
    </row>
    <row r="37" spans="1:6">
      <c r="A37" s="167" t="s">
        <v>78</v>
      </c>
      <c r="B37" s="33">
        <f>B60</f>
        <v>73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92</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73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17520.071002124212</v>
      </c>
      <c r="C5" s="17">
        <f>IF(ISERROR('Eigen informatie GS &amp; warmtenet'!B58),0,'Eigen informatie GS &amp; warmtenet'!B58)</f>
        <v>0</v>
      </c>
      <c r="D5" s="30">
        <f>SUM(D6:D12)</f>
        <v>18199.504270195619</v>
      </c>
      <c r="E5" s="17">
        <f>SUM(E6:E12)</f>
        <v>195.78214562749167</v>
      </c>
      <c r="F5" s="17">
        <f>SUM(F6:F12)</f>
        <v>2699.6706734067461</v>
      </c>
      <c r="G5" s="18"/>
      <c r="H5" s="17"/>
      <c r="I5" s="17"/>
      <c r="J5" s="17">
        <f>SUM(J6:J12)</f>
        <v>1.4785932993716992E-2</v>
      </c>
      <c r="K5" s="17"/>
      <c r="L5" s="17"/>
      <c r="M5" s="17"/>
      <c r="N5" s="17">
        <f>SUM(N6:N12)</f>
        <v>636.83463174720828</v>
      </c>
      <c r="O5" s="17">
        <f>B38*B39*B40</f>
        <v>1.5633333333333335</v>
      </c>
      <c r="P5" s="17">
        <f>B46*B47*B48/1000-B46*B47*B48/1000/B49</f>
        <v>38.133333333333333</v>
      </c>
      <c r="R5" s="32"/>
    </row>
    <row r="6" spans="1:18">
      <c r="A6" s="32" t="s">
        <v>53</v>
      </c>
      <c r="B6" s="37">
        <f>B26</f>
        <v>5700.7324059570601</v>
      </c>
      <c r="C6" s="33"/>
      <c r="D6" s="37">
        <f>IF(ISERROR(TER_kantoor_gas_kWh/1000),0,TER_kantoor_gas_kWh/1000)*0.902</f>
        <v>6249.3778133514079</v>
      </c>
      <c r="E6" s="33">
        <f>$C$26*'E Balans VL '!I12/100/3.6*1000000</f>
        <v>-4.6810433473537576E-4</v>
      </c>
      <c r="F6" s="33">
        <f>$C$26*('E Balans VL '!L12+'E Balans VL '!N12)/100/3.6*1000000</f>
        <v>722.46168774232945</v>
      </c>
      <c r="G6" s="34"/>
      <c r="H6" s="33"/>
      <c r="I6" s="33"/>
      <c r="J6" s="33">
        <f>$C$26*('E Balans VL '!D12+'E Balans VL '!E12)/100/3.6*1000000</f>
        <v>0</v>
      </c>
      <c r="K6" s="33"/>
      <c r="L6" s="33"/>
      <c r="M6" s="33"/>
      <c r="N6" s="33">
        <f>$C$26*'E Balans VL '!Y12/100/3.6*1000000</f>
        <v>6.9922854899035363</v>
      </c>
      <c r="O6" s="33"/>
      <c r="P6" s="33"/>
      <c r="R6" s="32"/>
    </row>
    <row r="7" spans="1:18">
      <c r="A7" s="32" t="s">
        <v>52</v>
      </c>
      <c r="B7" s="37">
        <f t="shared" ref="B7:B12" si="0">B27</f>
        <v>2650.1653966990698</v>
      </c>
      <c r="C7" s="33"/>
      <c r="D7" s="37">
        <f>IF(ISERROR(TER_horeca_gas_kWh/1000),0,TER_horeca_gas_kWh/1000)*0.902</f>
        <v>2666.5474709939067</v>
      </c>
      <c r="E7" s="33">
        <f>$C$27*'E Balans VL '!I9/100/3.6*1000000</f>
        <v>30.504701602986842</v>
      </c>
      <c r="F7" s="33">
        <f>$C$27*('E Balans VL '!L9+'E Balans VL '!N9)/100/3.6*1000000</f>
        <v>341.69599277198796</v>
      </c>
      <c r="G7" s="34"/>
      <c r="H7" s="33"/>
      <c r="I7" s="33"/>
      <c r="J7" s="33">
        <f>$C$27*('E Balans VL '!D9+'E Balans VL '!E9)/100/3.6*1000000</f>
        <v>0</v>
      </c>
      <c r="K7" s="33"/>
      <c r="L7" s="33"/>
      <c r="M7" s="33"/>
      <c r="N7" s="33">
        <f>$C$27*'E Balans VL '!Y9/100/3.6*1000000</f>
        <v>27.971888448887874</v>
      </c>
      <c r="O7" s="33"/>
      <c r="P7" s="33"/>
      <c r="R7" s="32"/>
    </row>
    <row r="8" spans="1:18">
      <c r="A8" s="6" t="s">
        <v>51</v>
      </c>
      <c r="B8" s="37">
        <f t="shared" si="0"/>
        <v>3599.9891006026601</v>
      </c>
      <c r="C8" s="33"/>
      <c r="D8" s="37">
        <f>IF(ISERROR(TER_handel_gas_kWh/1000),0,TER_handel_gas_kWh/1000)*0.902</f>
        <v>2681.2872604275863</v>
      </c>
      <c r="E8" s="33">
        <f>$C$28*'E Balans VL '!I13/100/3.6*1000000</f>
        <v>101.57155043195593</v>
      </c>
      <c r="F8" s="33">
        <f>$C$28*('E Balans VL '!L13+'E Balans VL '!N13)/100/3.6*1000000</f>
        <v>362.08172406784416</v>
      </c>
      <c r="G8" s="34"/>
      <c r="H8" s="33"/>
      <c r="I8" s="33"/>
      <c r="J8" s="33">
        <f>$C$28*('E Balans VL '!D13+'E Balans VL '!E13)/100/3.6*1000000</f>
        <v>0</v>
      </c>
      <c r="K8" s="33"/>
      <c r="L8" s="33"/>
      <c r="M8" s="33"/>
      <c r="N8" s="33">
        <f>$C$28*'E Balans VL '!Y13/100/3.6*1000000</f>
        <v>4.9693817139337089</v>
      </c>
      <c r="O8" s="33"/>
      <c r="P8" s="33"/>
      <c r="R8" s="32"/>
    </row>
    <row r="9" spans="1:18">
      <c r="A9" s="32" t="s">
        <v>50</v>
      </c>
      <c r="B9" s="37">
        <f t="shared" si="0"/>
        <v>949.86894196333799</v>
      </c>
      <c r="C9" s="33"/>
      <c r="D9" s="37">
        <f>IF(ISERROR(TER_gezond_gas_kWh/1000),0,TER_gezond_gas_kWh/1000)*0.902</f>
        <v>874.92504460017892</v>
      </c>
      <c r="E9" s="33">
        <f>$C$29*'E Balans VL '!I10/100/3.6*1000000</f>
        <v>1.8975457135938665</v>
      </c>
      <c r="F9" s="33">
        <f>$C$29*('E Balans VL '!L10+'E Balans VL '!N10)/100/3.6*1000000</f>
        <v>83.227572760667002</v>
      </c>
      <c r="G9" s="34"/>
      <c r="H9" s="33"/>
      <c r="I9" s="33"/>
      <c r="J9" s="33">
        <f>$C$29*('E Balans VL '!D10+'E Balans VL '!E10)/100/3.6*1000000</f>
        <v>0</v>
      </c>
      <c r="K9" s="33"/>
      <c r="L9" s="33"/>
      <c r="M9" s="33"/>
      <c r="N9" s="33">
        <f>$C$29*'E Balans VL '!Y10/100/3.6*1000000</f>
        <v>14.368133110208753</v>
      </c>
      <c r="O9" s="33"/>
      <c r="P9" s="33"/>
      <c r="R9" s="32"/>
    </row>
    <row r="10" spans="1:18">
      <c r="A10" s="32" t="s">
        <v>49</v>
      </c>
      <c r="B10" s="37">
        <f t="shared" si="0"/>
        <v>625.23426498495496</v>
      </c>
      <c r="C10" s="33"/>
      <c r="D10" s="37">
        <f>IF(ISERROR(TER_ander_gas_kWh/1000),0,TER_ander_gas_kWh/1000)*0.902</f>
        <v>225.09447074728848</v>
      </c>
      <c r="E10" s="33">
        <f>$C$30*'E Balans VL '!I14/100/3.6*1000000</f>
        <v>8.8080420377169713</v>
      </c>
      <c r="F10" s="33">
        <f>$C$30*('E Balans VL '!L14+'E Balans VL '!N14)/100/3.6*1000000</f>
        <v>379.27512118062862</v>
      </c>
      <c r="G10" s="34"/>
      <c r="H10" s="33"/>
      <c r="I10" s="33"/>
      <c r="J10" s="33">
        <f>$C$30*('E Balans VL '!D14+'E Balans VL '!E14)/100/3.6*1000000</f>
        <v>6.8638702947469406E-3</v>
      </c>
      <c r="K10" s="33"/>
      <c r="L10" s="33"/>
      <c r="M10" s="33"/>
      <c r="N10" s="33">
        <f>$C$30*'E Balans VL '!Y14/100/3.6*1000000</f>
        <v>264.43110682602418</v>
      </c>
      <c r="O10" s="33"/>
      <c r="P10" s="33"/>
      <c r="R10" s="32"/>
    </row>
    <row r="11" spans="1:18">
      <c r="A11" s="32" t="s">
        <v>54</v>
      </c>
      <c r="B11" s="37">
        <f t="shared" si="0"/>
        <v>103.30722488238</v>
      </c>
      <c r="C11" s="33"/>
      <c r="D11" s="37">
        <f>IF(ISERROR(TER_onderwijs_gas_kWh/1000),0,TER_onderwijs_gas_kWh/1000)*0.902</f>
        <v>0</v>
      </c>
      <c r="E11" s="33">
        <f>$C$31*'E Balans VL '!I11/100/3.6*1000000</f>
        <v>2.6963693483620221</v>
      </c>
      <c r="F11" s="33">
        <f>$C$31*('E Balans VL '!L11+'E Balans VL '!N11)/100/3.6*1000000</f>
        <v>12.712822119325933</v>
      </c>
      <c r="G11" s="34"/>
      <c r="H11" s="33"/>
      <c r="I11" s="33"/>
      <c r="J11" s="33">
        <f>$C$31*('E Balans VL '!D11+'E Balans VL '!E11)/100/3.6*1000000</f>
        <v>0</v>
      </c>
      <c r="K11" s="33"/>
      <c r="L11" s="33"/>
      <c r="M11" s="33"/>
      <c r="N11" s="33">
        <f>$C$31*'E Balans VL '!Y11/100/3.6*1000000</f>
        <v>0.3271435028363136</v>
      </c>
      <c r="O11" s="33"/>
      <c r="P11" s="33"/>
      <c r="R11" s="32"/>
    </row>
    <row r="12" spans="1:18">
      <c r="A12" s="32" t="s">
        <v>248</v>
      </c>
      <c r="B12" s="37">
        <f t="shared" si="0"/>
        <v>3890.7736670347499</v>
      </c>
      <c r="C12" s="33"/>
      <c r="D12" s="37">
        <f>IF(ISERROR(TER_rest_gas_kWh/1000),0,TER_rest_gas_kWh/1000)*0.902</f>
        <v>5502.2722100752508</v>
      </c>
      <c r="E12" s="33">
        <f>$C$32*'E Balans VL '!I8/100/3.6*1000000</f>
        <v>50.304404597210784</v>
      </c>
      <c r="F12" s="33">
        <f>$C$32*('E Balans VL '!L8+'E Balans VL '!N8)/100/3.6*1000000</f>
        <v>798.21575276396311</v>
      </c>
      <c r="G12" s="34"/>
      <c r="H12" s="33"/>
      <c r="I12" s="33"/>
      <c r="J12" s="33">
        <f>$C$32*('E Balans VL '!D8+'E Balans VL '!E8)/100/3.6*1000000</f>
        <v>7.9220626989700525E-3</v>
      </c>
      <c r="K12" s="33"/>
      <c r="L12" s="33"/>
      <c r="M12" s="33"/>
      <c r="N12" s="33">
        <f>$C$32*'E Balans VL '!Y8/100/3.6*1000000</f>
        <v>317.7746926554139</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17520.071002124212</v>
      </c>
      <c r="C16" s="21">
        <f t="shared" ca="1" si="1"/>
        <v>0</v>
      </c>
      <c r="D16" s="21">
        <f t="shared" ca="1" si="1"/>
        <v>18199.504270195619</v>
      </c>
      <c r="E16" s="21">
        <f t="shared" si="1"/>
        <v>195.78214562749167</v>
      </c>
      <c r="F16" s="21">
        <f t="shared" ca="1" si="1"/>
        <v>2699.6706734067461</v>
      </c>
      <c r="G16" s="21">
        <f t="shared" si="1"/>
        <v>0</v>
      </c>
      <c r="H16" s="21">
        <f t="shared" si="1"/>
        <v>0</v>
      </c>
      <c r="I16" s="21">
        <f t="shared" si="1"/>
        <v>0</v>
      </c>
      <c r="J16" s="21">
        <f t="shared" si="1"/>
        <v>1.4785932993716992E-2</v>
      </c>
      <c r="K16" s="21">
        <f t="shared" si="1"/>
        <v>0</v>
      </c>
      <c r="L16" s="21">
        <f t="shared" ca="1" si="1"/>
        <v>0</v>
      </c>
      <c r="M16" s="21">
        <f t="shared" si="1"/>
        <v>0</v>
      </c>
      <c r="N16" s="21">
        <f t="shared" ca="1" si="1"/>
        <v>636.83463174720828</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0.21532879610014252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3772.5757964764243</v>
      </c>
      <c r="C20" s="23">
        <f t="shared" ref="C20:P20" ca="1" si="2">C16*C18</f>
        <v>0</v>
      </c>
      <c r="D20" s="23">
        <f t="shared" ca="1" si="2"/>
        <v>3676.2998625795153</v>
      </c>
      <c r="E20" s="23">
        <f t="shared" si="2"/>
        <v>44.442547057440613</v>
      </c>
      <c r="F20" s="23">
        <f t="shared" ca="1" si="2"/>
        <v>720.8120697996012</v>
      </c>
      <c r="G20" s="23">
        <f t="shared" si="2"/>
        <v>0</v>
      </c>
      <c r="H20" s="23">
        <f t="shared" si="2"/>
        <v>0</v>
      </c>
      <c r="I20" s="23">
        <f t="shared" si="2"/>
        <v>0</v>
      </c>
      <c r="J20" s="23">
        <f t="shared" si="2"/>
        <v>5.2342202797758149E-3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5700.7324059570601</v>
      </c>
      <c r="C26" s="39">
        <f>IF(ISERROR(B26*3.6/1000000/'E Balans VL '!Z12*100),0,B26*3.6/1000000/'E Balans VL '!Z12*100)</f>
        <v>0.1545517547245483</v>
      </c>
      <c r="D26" s="232" t="s">
        <v>700</v>
      </c>
      <c r="F26" s="6"/>
    </row>
    <row r="27" spans="1:18">
      <c r="A27" s="227" t="s">
        <v>52</v>
      </c>
      <c r="B27" s="33">
        <f>IF(ISERROR(TER_horeca_ele_kWh/1000),0,TER_horeca_ele_kWh/1000)</f>
        <v>2650.1653966990698</v>
      </c>
      <c r="C27" s="39">
        <f>IF(ISERROR(B27*3.6/1000000/'E Balans VL '!Z9*100),0,B27*3.6/1000000/'E Balans VL '!Z9*100)</f>
        <v>0.20499307340632933</v>
      </c>
      <c r="D27" s="232" t="s">
        <v>700</v>
      </c>
      <c r="F27" s="6"/>
    </row>
    <row r="28" spans="1:18">
      <c r="A28" s="167" t="s">
        <v>51</v>
      </c>
      <c r="B28" s="33">
        <f>IF(ISERROR(TER_handel_ele_kWh/1000),0,TER_handel_ele_kWh/1000)</f>
        <v>3599.9891006026601</v>
      </c>
      <c r="C28" s="39">
        <f>IF(ISERROR(B28*3.6/1000000/'E Balans VL '!Z13*100),0,B28*3.6/1000000/'E Balans VL '!Z13*100)</f>
        <v>0.10412099546412018</v>
      </c>
      <c r="D28" s="232" t="s">
        <v>700</v>
      </c>
      <c r="F28" s="6"/>
    </row>
    <row r="29" spans="1:18">
      <c r="A29" s="227" t="s">
        <v>50</v>
      </c>
      <c r="B29" s="33">
        <f>IF(ISERROR(TER_gezond_ele_kWh/1000),0,TER_gezond_ele_kWh/1000)</f>
        <v>949.86894196333799</v>
      </c>
      <c r="C29" s="39">
        <f>IF(ISERROR(B29*3.6/1000000/'E Balans VL '!Z10*100),0,B29*3.6/1000000/'E Balans VL '!Z10*100)</f>
        <v>9.7827185671178638E-2</v>
      </c>
      <c r="D29" s="232" t="s">
        <v>700</v>
      </c>
      <c r="F29" s="6"/>
    </row>
    <row r="30" spans="1:18">
      <c r="A30" s="227" t="s">
        <v>49</v>
      </c>
      <c r="B30" s="33">
        <f>IF(ISERROR(TER_ander_ele_kWh/1000),0,TER_ander_ele_kWh/1000)</f>
        <v>625.23426498495496</v>
      </c>
      <c r="C30" s="39">
        <f>IF(ISERROR(B30*3.6/1000000/'E Balans VL '!Z14*100),0,B30*3.6/1000000/'E Balans VL '!Z14*100)</f>
        <v>2.811141417643798E-2</v>
      </c>
      <c r="D30" s="232" t="s">
        <v>700</v>
      </c>
      <c r="F30" s="6"/>
    </row>
    <row r="31" spans="1:18">
      <c r="A31" s="227" t="s">
        <v>54</v>
      </c>
      <c r="B31" s="33">
        <f>IF(ISERROR(TER_onderwijs_ele_kWh/1000),0,TER_onderwijs_ele_kWh/1000)</f>
        <v>103.30722488238</v>
      </c>
      <c r="C31" s="39">
        <f>IF(ISERROR(B31*3.6/1000000/'E Balans VL '!Z11*100),0,B31*3.6/1000000/'E Balans VL '!Z11*100)</f>
        <v>2.887095280916584E-2</v>
      </c>
      <c r="D31" s="232" t="s">
        <v>700</v>
      </c>
    </row>
    <row r="32" spans="1:18">
      <c r="A32" s="227" t="s">
        <v>248</v>
      </c>
      <c r="B32" s="33">
        <f>IF(ISERROR(TER_rest_ele_kWh/1000),0,TER_rest_ele_kWh/1000)</f>
        <v>3890.7736670347499</v>
      </c>
      <c r="C32" s="39">
        <f>IF(ISERROR(B32*3.6/1000000/'E Balans VL '!Z8*100),0,B32*3.6/1000000/'E Balans VL '!Z8*100)</f>
        <v>3.2445307982129905E-2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2212.8256734052038</v>
      </c>
      <c r="C5" s="17">
        <f>IF(ISERROR('Eigen informatie GS &amp; warmtenet'!B59),0,'Eigen informatie GS &amp; warmtenet'!B59)</f>
        <v>0</v>
      </c>
      <c r="D5" s="30">
        <f>SUM(D6:D15)</f>
        <v>1706.9877642417302</v>
      </c>
      <c r="E5" s="17">
        <f>SUM(E6:E15)</f>
        <v>33.524124678894857</v>
      </c>
      <c r="F5" s="17">
        <f>SUM(F6:F15)</f>
        <v>872.13116729612943</v>
      </c>
      <c r="G5" s="18"/>
      <c r="H5" s="17"/>
      <c r="I5" s="17"/>
      <c r="J5" s="17">
        <f>SUM(J6:J15)</f>
        <v>1.6749692913061915</v>
      </c>
      <c r="K5" s="17"/>
      <c r="L5" s="17"/>
      <c r="M5" s="17"/>
      <c r="N5" s="17">
        <f>SUM(N6:N15)</f>
        <v>75.528043942949253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1136.00956890978</v>
      </c>
      <c r="C9" s="33"/>
      <c r="D9" s="37">
        <f>IF( ISERROR(IND_andere_gas_kWh/1000),0,IND_andere_gas_kWh/1000)*0.902</f>
        <v>1009.9265908471758</v>
      </c>
      <c r="E9" s="33">
        <f>C31*'E Balans VL '!I19/100/3.6*1000000</f>
        <v>6.5936562718918639</v>
      </c>
      <c r="F9" s="33">
        <f>C31*'E Balans VL '!L19/100/3.6*1000000+C31*'E Balans VL '!N19/100/3.6*1000000</f>
        <v>749.18555473437959</v>
      </c>
      <c r="G9" s="34"/>
      <c r="H9" s="33"/>
      <c r="I9" s="33"/>
      <c r="J9" s="40">
        <f>C31*'E Balans VL '!D19/100/3.6*1000000+C31*'E Balans VL '!E19/100/3.6*1000000</f>
        <v>0</v>
      </c>
      <c r="K9" s="33"/>
      <c r="L9" s="33"/>
      <c r="M9" s="33"/>
      <c r="N9" s="33">
        <f>C31*'E Balans VL '!Y19/100/3.6*1000000</f>
        <v>52.609590622404696</v>
      </c>
      <c r="O9" s="33"/>
      <c r="P9" s="33"/>
      <c r="R9" s="32"/>
    </row>
    <row r="10" spans="1:18">
      <c r="A10" s="6" t="s">
        <v>40</v>
      </c>
      <c r="B10" s="37">
        <f t="shared" si="0"/>
        <v>457.97784239005296</v>
      </c>
      <c r="C10" s="33"/>
      <c r="D10" s="37">
        <f>IF( ISERROR(IND_voed_gas_kWh/1000),0,IND_voed_gas_kWh/1000)*0.902</f>
        <v>230.59353129672678</v>
      </c>
      <c r="E10" s="33">
        <f>C32*'E Balans VL '!I20/100/3.6*1000000</f>
        <v>0.97056187462937904</v>
      </c>
      <c r="F10" s="33">
        <f>C32*'E Balans VL '!L20/100/3.6*1000000+C32*'E Balans VL '!N20/100/3.6*1000000</f>
        <v>29.106383715545299</v>
      </c>
      <c r="G10" s="34"/>
      <c r="H10" s="33"/>
      <c r="I10" s="33"/>
      <c r="J10" s="40">
        <f>C32*'E Balans VL '!D20/100/3.6*1000000+C32*'E Balans VL '!E20/100/3.6*1000000</f>
        <v>0</v>
      </c>
      <c r="K10" s="33"/>
      <c r="L10" s="33"/>
      <c r="M10" s="33"/>
      <c r="N10" s="33">
        <f>C32*'E Balans VL '!Y20/100/3.6*1000000</f>
        <v>13.276270400421289</v>
      </c>
      <c r="O10" s="33"/>
      <c r="P10" s="33"/>
      <c r="R10" s="32"/>
    </row>
    <row r="11" spans="1:18">
      <c r="A11" s="6" t="s">
        <v>39</v>
      </c>
      <c r="B11" s="37">
        <f t="shared" si="0"/>
        <v>90.536294996359999</v>
      </c>
      <c r="C11" s="33"/>
      <c r="D11" s="37">
        <f>IF( ISERROR(IND_textiel_gas_kWh/1000),0,IND_textiel_gas_kWh/1000)*0.902</f>
        <v>0</v>
      </c>
      <c r="E11" s="33">
        <f>C33*'E Balans VL '!I21/100/3.6*1000000</f>
        <v>0.28341586360128074</v>
      </c>
      <c r="F11" s="33">
        <f>C33*'E Balans VL '!L21/100/3.6*1000000+C33*'E Balans VL '!N21/100/3.6*1000000</f>
        <v>9.2543003574982396</v>
      </c>
      <c r="G11" s="34"/>
      <c r="H11" s="33"/>
      <c r="I11" s="33"/>
      <c r="J11" s="40">
        <f>C33*'E Balans VL '!D21/100/3.6*1000000+C33*'E Balans VL '!E21/100/3.6*1000000</f>
        <v>0</v>
      </c>
      <c r="K11" s="33"/>
      <c r="L11" s="33"/>
      <c r="M11" s="33"/>
      <c r="N11" s="33">
        <f>C33*'E Balans VL '!Y21/100/3.6*1000000</f>
        <v>1.2499607701408622E-2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55.1946457710008</v>
      </c>
      <c r="C13" s="33"/>
      <c r="D13" s="37">
        <f>IF( ISERROR(IND_papier_gas_kWh/1000),0,IND_papier_gas_kWh/1000)*0.902</f>
        <v>0</v>
      </c>
      <c r="E13" s="33">
        <f>C35*'E Balans VL '!I23/100/3.6*1000000</f>
        <v>8.1470836760562187E-2</v>
      </c>
      <c r="F13" s="33">
        <f>C35*'E Balans VL '!L23/100/3.6*1000000+C35*'E Balans VL '!N23/100/3.6*1000000</f>
        <v>1.4293746983735176</v>
      </c>
      <c r="G13" s="34"/>
      <c r="H13" s="33"/>
      <c r="I13" s="33"/>
      <c r="J13" s="40">
        <f>C35*'E Balans VL '!D23/100/3.6*1000000+C35*'E Balans VL '!E23/100/3.6*1000000</f>
        <v>8.8810858974098881E-3</v>
      </c>
      <c r="K13" s="33"/>
      <c r="L13" s="33"/>
      <c r="M13" s="33"/>
      <c r="N13" s="33">
        <f>C35*'E Balans VL '!Y23/100/3.6*1000000</f>
        <v>-2.506773469727126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473.10732133801002</v>
      </c>
      <c r="C15" s="33"/>
      <c r="D15" s="37">
        <f>IF( ISERROR(IND_rest_gas_kWh/1000),0,IND_rest_gas_kWh/1000)*0.902</f>
        <v>466.46764209782759</v>
      </c>
      <c r="E15" s="33">
        <f>C37*'E Balans VL '!I15/100/3.6*1000000</f>
        <v>25.595019832011772</v>
      </c>
      <c r="F15" s="33">
        <f>C37*'E Balans VL '!L15/100/3.6*1000000+C37*'E Balans VL '!N15/100/3.6*1000000</f>
        <v>83.155553790332775</v>
      </c>
      <c r="G15" s="34"/>
      <c r="H15" s="33"/>
      <c r="I15" s="33"/>
      <c r="J15" s="40">
        <f>C37*'E Balans VL '!D15/100/3.6*1000000+C37*'E Balans VL '!E15/100/3.6*1000000</f>
        <v>1.6660882054087816</v>
      </c>
      <c r="K15" s="33"/>
      <c r="L15" s="33"/>
      <c r="M15" s="33"/>
      <c r="N15" s="33">
        <f>C37*'E Balans VL '!Y15/100/3.6*1000000</f>
        <v>12.136456782148974</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2212.8256734052038</v>
      </c>
      <c r="C18" s="21">
        <f>C5+C16</f>
        <v>0</v>
      </c>
      <c r="D18" s="21">
        <f>MAX((D5+D16),0)</f>
        <v>1706.9877642417302</v>
      </c>
      <c r="E18" s="21">
        <f>MAX((E5+E16),0)</f>
        <v>33.524124678894857</v>
      </c>
      <c r="F18" s="21">
        <f>MAX((F5+F16),0)</f>
        <v>872.13116729612943</v>
      </c>
      <c r="G18" s="21"/>
      <c r="H18" s="21"/>
      <c r="I18" s="21"/>
      <c r="J18" s="21">
        <f>MAX((J5+J16),0)</f>
        <v>1.6749692913061915</v>
      </c>
      <c r="K18" s="21"/>
      <c r="L18" s="21">
        <f>MAX((L5+L16),0)</f>
        <v>0</v>
      </c>
      <c r="M18" s="21"/>
      <c r="N18" s="21">
        <f>MAX((N5+N16),0)</f>
        <v>75.528043942949253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0.21532879610014252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476.48508823382969</v>
      </c>
      <c r="C22" s="23">
        <f ca="1">C18*C20</f>
        <v>0</v>
      </c>
      <c r="D22" s="23">
        <f>D18*D20</f>
        <v>344.81152837682953</v>
      </c>
      <c r="E22" s="23">
        <f>E18*E20</f>
        <v>7.6099763021091329</v>
      </c>
      <c r="F22" s="23">
        <f>F18*F20</f>
        <v>232.85902166806656</v>
      </c>
      <c r="G22" s="23"/>
      <c r="H22" s="23"/>
      <c r="I22" s="23"/>
      <c r="J22" s="23">
        <f>J18*J20</f>
        <v>0.59293912912239177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0</v>
      </c>
      <c r="C30" s="39">
        <f>IF(ISERROR(B30*3.6/1000000/'E Balans VL '!Z18*100),0,B30*3.6/1000000/'E Balans VL '!Z18*100)</f>
        <v>0</v>
      </c>
      <c r="D30" s="232" t="s">
        <v>700</v>
      </c>
    </row>
    <row r="31" spans="1:18">
      <c r="A31" s="6" t="s">
        <v>32</v>
      </c>
      <c r="B31" s="37">
        <f>IF( ISERROR(IND_ander_ele_kWh/1000),0,IND_ander_ele_kWh/1000)</f>
        <v>1136.00956890978</v>
      </c>
      <c r="C31" s="39">
        <f>IF(ISERROR(B31*3.6/1000000/'E Balans VL '!Z19*100),0,B31*3.6/1000000/'E Balans VL '!Z19*100)</f>
        <v>4.7444034495613331E-2</v>
      </c>
      <c r="D31" s="232" t="s">
        <v>700</v>
      </c>
    </row>
    <row r="32" spans="1:18">
      <c r="A32" s="167" t="s">
        <v>40</v>
      </c>
      <c r="B32" s="37">
        <f>IF( ISERROR(IND_voed_ele_kWh/1000),0,IND_voed_ele_kWh/1000)</f>
        <v>457.97784239005296</v>
      </c>
      <c r="C32" s="39">
        <f>IF(ISERROR(B32*3.6/1000000/'E Balans VL '!Z20*100),0,B32*3.6/1000000/'E Balans VL '!Z20*100)</f>
        <v>1.4204668187417342E-2</v>
      </c>
      <c r="D32" s="232" t="s">
        <v>700</v>
      </c>
    </row>
    <row r="33" spans="1:5">
      <c r="A33" s="167" t="s">
        <v>39</v>
      </c>
      <c r="B33" s="37">
        <f>IF( ISERROR(IND_textiel_ele_kWh/1000),0,IND_textiel_ele_kWh/1000)</f>
        <v>90.536294996359999</v>
      </c>
      <c r="C33" s="39">
        <f>IF(ISERROR(B33*3.6/1000000/'E Balans VL '!Z21*100),0,B33*3.6/1000000/'E Balans VL '!Z21*100)</f>
        <v>1.2548407062206089E-2</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55.1946457710008</v>
      </c>
      <c r="C35" s="39">
        <f>IF(ISERROR(B35*3.6/1000000/'E Balans VL '!Z22*100),0,B35*3.6/1000000/'E Balans VL '!Z22*100)</f>
        <v>1.0328698962302974E-2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473.10732133801002</v>
      </c>
      <c r="C37" s="39">
        <f>IF(ISERROR(B37*3.6/1000000/'E Balans VL '!Z15*100),0,B37*3.6/1000000/'E Balans VL '!Z15*100)</f>
        <v>3.6887891964865645E-3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204.59091094974062</v>
      </c>
      <c r="C5" s="17">
        <f>'Eigen informatie GS &amp; warmtenet'!B60</f>
        <v>0</v>
      </c>
      <c r="D5" s="30">
        <f>IF(ISERROR(SUM(LB_lb_gas_kWh,LB_rest_gas_kWh)/1000),0,SUM(LB_lb_gas_kWh,LB_rest_gas_kWh)/1000)*0.902</f>
        <v>53.594531441769291</v>
      </c>
      <c r="E5" s="17">
        <f>B17*'E Balans VL '!I25/3.6*1000000/100</f>
        <v>6.639647604743792</v>
      </c>
      <c r="F5" s="17">
        <f>B17*('E Balans VL '!L25/3.6*1000000+'E Balans VL '!N25/3.6*1000000)/100</f>
        <v>754.77557073470814</v>
      </c>
      <c r="G5" s="18"/>
      <c r="H5" s="17"/>
      <c r="I5" s="17"/>
      <c r="J5" s="17">
        <f>('E Balans VL '!D25+'E Balans VL '!E25)/3.6*1000000*landbouw!B17/100</f>
        <v>53.805294380970778</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204.59091094974062</v>
      </c>
      <c r="C8" s="21">
        <f>C5+C6</f>
        <v>0</v>
      </c>
      <c r="D8" s="21">
        <f>MAX((D5+D6),0)</f>
        <v>53.594531441769291</v>
      </c>
      <c r="E8" s="21">
        <f>MAX((E5+E6),0)</f>
        <v>6.639647604743792</v>
      </c>
      <c r="F8" s="21">
        <f>MAX((F5+F6),0)</f>
        <v>754.77557073470814</v>
      </c>
      <c r="G8" s="21"/>
      <c r="H8" s="21"/>
      <c r="I8" s="21"/>
      <c r="J8" s="21">
        <f>MAX((J5+J6),0)</f>
        <v>53.805294380970778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0.21532879610014252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44.054314547839112</v>
      </c>
      <c r="C12" s="23">
        <f ca="1">C8*C10</f>
        <v>0</v>
      </c>
      <c r="D12" s="23">
        <f>D8*D10</f>
        <v>10.826095351237397</v>
      </c>
      <c r="E12" s="23">
        <f>E8*E10</f>
        <v>1.5072000062768409</v>
      </c>
      <c r="F12" s="23">
        <f>F8*F10</f>
        <v>201.52507738616708</v>
      </c>
      <c r="G12" s="23"/>
      <c r="H12" s="23"/>
      <c r="I12" s="23"/>
      <c r="J12" s="23">
        <f>J8*J10</f>
        <v>19.047074210863656</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2.9032092148175825E-2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4.9923458372156722</v>
      </c>
      <c r="C26" s="242">
        <f>B26*'GWP N2O_CH4'!B5</f>
        <v>104.83926258152911</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0.35487598319982333</v>
      </c>
      <c r="C27" s="242">
        <f>B27*'GWP N2O_CH4'!B5</f>
        <v>7.4523956471962896</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6.7841614862612351E-2</v>
      </c>
      <c r="C28" s="242">
        <f>B28*'GWP N2O_CH4'!B4</f>
        <v>21.03090060740983</v>
      </c>
      <c r="D28" s="50"/>
    </row>
    <row r="29" spans="1:4">
      <c r="A29" s="41" t="s">
        <v>265</v>
      </c>
      <c r="B29" s="242">
        <f>B34*'ha_N2O bodem landbouw'!B4</f>
        <v>2.5141414095791386</v>
      </c>
      <c r="C29" s="242">
        <f>B29*'GWP N2O_CH4'!B4</f>
        <v>779.38383696953292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5.737184055492208E-4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8.8648048021360497E-5</v>
      </c>
      <c r="C5" s="427" t="s">
        <v>204</v>
      </c>
      <c r="D5" s="412">
        <f>SUM(D6:D11)</f>
        <v>1.566670370886338E-4</v>
      </c>
      <c r="E5" s="412">
        <f>SUM(E6:E11)</f>
        <v>2.6899877996821502E-4</v>
      </c>
      <c r="F5" s="425" t="s">
        <v>204</v>
      </c>
      <c r="G5" s="412">
        <f>SUM(G6:G11)</f>
        <v>0.12679331442534011</v>
      </c>
      <c r="H5" s="412">
        <f>SUM(H6:H11)</f>
        <v>2.6994689597729504E-2</v>
      </c>
      <c r="I5" s="427" t="s">
        <v>204</v>
      </c>
      <c r="J5" s="427" t="s">
        <v>204</v>
      </c>
      <c r="K5" s="427" t="s">
        <v>204</v>
      </c>
      <c r="L5" s="427" t="s">
        <v>204</v>
      </c>
      <c r="M5" s="412">
        <f>SUM(M6:M11)</f>
        <v>8.2026862434362562E-3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6.7672325836427323E-5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1.1434332512143268E-4</v>
      </c>
      <c r="E6" s="818">
        <f>vkm_GW_PW*SUMIFS(TableVerdeelsleutelVkm[LPG],TableVerdeelsleutelVkm[Voertuigtype],"Lichte voertuigen")*SUMIFS(TableECFTransport[EnergieConsumptieFactor (PJ per km)],TableECFTransport[Index],CONCATENATE($A6,"_LPG_LPG"))</f>
        <v>1.9876306389485555E-4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6.0200060662691991E-2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1.9824984375418742E-2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4.1008803980713427E-3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1.2572510940203172E-6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4.0383207842668703E-2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8.0568200379371287E-7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2.3594152036876055E-3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1.9564555753457073E-5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4.2323711967201111E-5</v>
      </c>
      <c r="E8" s="415">
        <f>vkm_NGW_PW*SUMIFS(TableVerdeelsleutelVkm[LPG],TableVerdeelsleutelVkm[Voertuigtype],"Lichte voertuigen")*SUMIFS(TableECFTransport[EnergieConsumptieFactor (PJ per km)],TableECFTransport[Index],CONCATENATE($A8,"_LPG_LPG"))</f>
        <v>7.0235716073359497E-5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1.9866826165626787E-2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7.1687804874050092E-3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1.3717841195393021E-3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1.5391533745578183E-7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6.3432197543526305E-3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1.1905290196033602E-7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3.7060652213800763E-4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24.62445778371125</v>
      </c>
      <c r="C14" s="21"/>
      <c r="D14" s="21">
        <f t="shared" ref="D14:M14" si="0">((D5)*10^9/3600)+D12</f>
        <v>43.518621413509393</v>
      </c>
      <c r="E14" s="21">
        <f t="shared" si="0"/>
        <v>74.721883324504176</v>
      </c>
      <c r="F14" s="21"/>
      <c r="G14" s="21">
        <f t="shared" si="0"/>
        <v>35220.365118150032</v>
      </c>
      <c r="H14" s="21">
        <f t="shared" si="0"/>
        <v>7498.5248882581955</v>
      </c>
      <c r="I14" s="21"/>
      <c r="J14" s="21"/>
      <c r="K14" s="21"/>
      <c r="L14" s="21"/>
      <c r="M14" s="21">
        <f t="shared" si="0"/>
        <v>2278.523956510071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0.21532879610014252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5.3023548491853276</v>
      </c>
      <c r="C18" s="23"/>
      <c r="D18" s="23">
        <f t="shared" ref="D18:M18" si="1">D14*D16</f>
        <v>8.7907615255288984</v>
      </c>
      <c r="E18" s="23">
        <f t="shared" si="1"/>
        <v>16.961867514662448</v>
      </c>
      <c r="F18" s="23"/>
      <c r="G18" s="23">
        <f t="shared" si="1"/>
        <v>9403.8374865460592</v>
      </c>
      <c r="H18" s="23">
        <f t="shared" si="1"/>
        <v>1867.1326971762908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2.3667938884788077E-5</v>
      </c>
      <c r="C50" s="311">
        <f t="shared" ref="C50:P50" si="2">SUM(C51:C52)</f>
        <v>0</v>
      </c>
      <c r="D50" s="311">
        <f t="shared" si="2"/>
        <v>0</v>
      </c>
      <c r="E50" s="311">
        <f t="shared" si="2"/>
        <v>0</v>
      </c>
      <c r="F50" s="311">
        <f t="shared" si="2"/>
        <v>0</v>
      </c>
      <c r="G50" s="311">
        <f t="shared" si="2"/>
        <v>2.2233679738286891E-3</v>
      </c>
      <c r="H50" s="311">
        <f t="shared" si="2"/>
        <v>0</v>
      </c>
      <c r="I50" s="311">
        <f t="shared" si="2"/>
        <v>0</v>
      </c>
      <c r="J50" s="311">
        <f t="shared" si="2"/>
        <v>0</v>
      </c>
      <c r="K50" s="311">
        <f t="shared" si="2"/>
        <v>0</v>
      </c>
      <c r="L50" s="311">
        <f t="shared" si="2"/>
        <v>0</v>
      </c>
      <c r="M50" s="311">
        <f t="shared" si="2"/>
        <v>1.2803708598481945E-4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2.3667938884788077E-5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2.2233679738286891E-3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1.2803708598481945E-4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6.5744274679966876</v>
      </c>
      <c r="C54" s="21">
        <f t="shared" ref="C54:P54" si="3">(C50)*10^9/3600</f>
        <v>0</v>
      </c>
      <c r="D54" s="21">
        <f t="shared" si="3"/>
        <v>0</v>
      </c>
      <c r="E54" s="21">
        <f t="shared" si="3"/>
        <v>0</v>
      </c>
      <c r="F54" s="21">
        <f t="shared" si="3"/>
        <v>0</v>
      </c>
      <c r="G54" s="21">
        <f t="shared" si="3"/>
        <v>617.60221495241365</v>
      </c>
      <c r="H54" s="21">
        <f t="shared" si="3"/>
        <v>0</v>
      </c>
      <c r="I54" s="21">
        <f t="shared" si="3"/>
        <v>0</v>
      </c>
      <c r="J54" s="21">
        <f t="shared" si="3"/>
        <v>0</v>
      </c>
      <c r="K54" s="21">
        <f t="shared" si="3"/>
        <v>0</v>
      </c>
      <c r="L54" s="21">
        <f t="shared" si="3"/>
        <v>0</v>
      </c>
      <c r="M54" s="21">
        <f t="shared" si="3"/>
        <v>35.565857218005405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0.21532879610014252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1.4156635517314351</v>
      </c>
      <c r="C58" s="23">
        <f t="shared" ref="C58:P58" ca="1" si="4">C54*C56</f>
        <v>0</v>
      </c>
      <c r="D58" s="23">
        <f t="shared" si="4"/>
        <v>0</v>
      </c>
      <c r="E58" s="23">
        <f t="shared" si="4"/>
        <v>0</v>
      </c>
      <c r="F58" s="23">
        <f t="shared" si="4"/>
        <v>0</v>
      </c>
      <c r="G58" s="23">
        <f t="shared" si="4"/>
        <v>164.89979139229445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1063.5170709575632</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1063.5170709575632</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18106.098002124214</v>
      </c>
      <c r="D10" s="931">
        <f ca="1">tertiair!C16</f>
        <v>0</v>
      </c>
      <c r="E10" s="931">
        <f ca="1">tertiair!D16</f>
        <v>18199.504270195619</v>
      </c>
      <c r="F10" s="931">
        <f>tertiair!E16</f>
        <v>195.78214562749167</v>
      </c>
      <c r="G10" s="931">
        <f ca="1">tertiair!F16</f>
        <v>2699.6706734067461</v>
      </c>
      <c r="H10" s="931">
        <f>tertiair!G16</f>
        <v>0</v>
      </c>
      <c r="I10" s="931">
        <f>tertiair!H16</f>
        <v>0</v>
      </c>
      <c r="J10" s="931">
        <f>tertiair!I16</f>
        <v>0</v>
      </c>
      <c r="K10" s="931">
        <f>tertiair!J16</f>
        <v>1.4785932993716992E-2</v>
      </c>
      <c r="L10" s="931">
        <f>tertiair!K16</f>
        <v>0</v>
      </c>
      <c r="M10" s="931">
        <f ca="1">tertiair!L16</f>
        <v>0</v>
      </c>
      <c r="N10" s="931">
        <f>tertiair!M16</f>
        <v>0</v>
      </c>
      <c r="O10" s="931">
        <f ca="1">tertiair!N16</f>
        <v>636.83463174720828</v>
      </c>
      <c r="P10" s="931">
        <f>tertiair!O16</f>
        <v>1.5633333333333335</v>
      </c>
      <c r="Q10" s="932">
        <f>tertiair!P16</f>
        <v>38.133333333333333</v>
      </c>
      <c r="R10" s="628">
        <f ca="1">SUM(C10:Q10)</f>
        <v>39877.60117570094</v>
      </c>
      <c r="S10" s="67"/>
    </row>
    <row r="11" spans="1:19" s="437" customFormat="1">
      <c r="A11" s="736" t="s">
        <v>213</v>
      </c>
      <c r="B11" s="741"/>
      <c r="C11" s="931">
        <f>huishoudens!B8</f>
        <v>19945.786941508599</v>
      </c>
      <c r="D11" s="931">
        <f>huishoudens!C8</f>
        <v>0</v>
      </c>
      <c r="E11" s="931">
        <f>huishoudens!D8</f>
        <v>27232.183592321264</v>
      </c>
      <c r="F11" s="931">
        <f>huishoudens!E8</f>
        <v>1311.2405783773079</v>
      </c>
      <c r="G11" s="931">
        <f>huishoudens!F8</f>
        <v>30393.536440372958</v>
      </c>
      <c r="H11" s="931">
        <f>huishoudens!G8</f>
        <v>0</v>
      </c>
      <c r="I11" s="931">
        <f>huishoudens!H8</f>
        <v>0</v>
      </c>
      <c r="J11" s="931">
        <f>huishoudens!I8</f>
        <v>0</v>
      </c>
      <c r="K11" s="931">
        <f>huishoudens!J8</f>
        <v>156.19600487547544</v>
      </c>
      <c r="L11" s="931">
        <f>huishoudens!K8</f>
        <v>0</v>
      </c>
      <c r="M11" s="931">
        <f>huishoudens!L8</f>
        <v>0</v>
      </c>
      <c r="N11" s="931">
        <f>huishoudens!M8</f>
        <v>0</v>
      </c>
      <c r="O11" s="931">
        <f>huishoudens!N8</f>
        <v>5782.2183533575344</v>
      </c>
      <c r="P11" s="931">
        <f>huishoudens!O8</f>
        <v>143.82666666666668</v>
      </c>
      <c r="Q11" s="932">
        <f>huishoudens!P8</f>
        <v>1391.8666666666668</v>
      </c>
      <c r="R11" s="628">
        <f>SUM(C11:Q11)</f>
        <v>86356.855244146456</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2212.8256734052038</v>
      </c>
      <c r="D13" s="931">
        <f>industrie!C18</f>
        <v>0</v>
      </c>
      <c r="E13" s="931">
        <f>industrie!D18</f>
        <v>1706.9877642417302</v>
      </c>
      <c r="F13" s="931">
        <f>industrie!E18</f>
        <v>33.524124678894857</v>
      </c>
      <c r="G13" s="931">
        <f>industrie!F18</f>
        <v>872.13116729612943</v>
      </c>
      <c r="H13" s="931">
        <f>industrie!G18</f>
        <v>0</v>
      </c>
      <c r="I13" s="931">
        <f>industrie!H18</f>
        <v>0</v>
      </c>
      <c r="J13" s="931">
        <f>industrie!I18</f>
        <v>0</v>
      </c>
      <c r="K13" s="931">
        <f>industrie!J18</f>
        <v>1.6749692913061915</v>
      </c>
      <c r="L13" s="931">
        <f>industrie!K18</f>
        <v>0</v>
      </c>
      <c r="M13" s="931">
        <f>industrie!L18</f>
        <v>0</v>
      </c>
      <c r="N13" s="931">
        <f>industrie!M18</f>
        <v>0</v>
      </c>
      <c r="O13" s="931">
        <f>industrie!N18</f>
        <v>75.528043942949253</v>
      </c>
      <c r="P13" s="931">
        <f>industrie!O18</f>
        <v>0</v>
      </c>
      <c r="Q13" s="932">
        <f>industrie!P18</f>
        <v>0</v>
      </c>
      <c r="R13" s="628">
        <f>SUM(C13:Q13)</f>
        <v>4902.6717428562142</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40264.710617038021</v>
      </c>
      <c r="D16" s="660">
        <f t="shared" ref="D16:R16" ca="1" si="0">SUM(D9:D15)</f>
        <v>0</v>
      </c>
      <c r="E16" s="660">
        <f t="shared" ca="1" si="0"/>
        <v>47138.67562675861</v>
      </c>
      <c r="F16" s="660">
        <f t="shared" si="0"/>
        <v>1540.5468486836944</v>
      </c>
      <c r="G16" s="660">
        <f t="shared" ca="1" si="0"/>
        <v>33965.338281075834</v>
      </c>
      <c r="H16" s="660">
        <f t="shared" si="0"/>
        <v>0</v>
      </c>
      <c r="I16" s="660">
        <f t="shared" si="0"/>
        <v>0</v>
      </c>
      <c r="J16" s="660">
        <f t="shared" si="0"/>
        <v>0</v>
      </c>
      <c r="K16" s="660">
        <f t="shared" si="0"/>
        <v>157.88576009977533</v>
      </c>
      <c r="L16" s="660">
        <f t="shared" si="0"/>
        <v>0</v>
      </c>
      <c r="M16" s="660">
        <f t="shared" ca="1" si="0"/>
        <v>0</v>
      </c>
      <c r="N16" s="660">
        <f t="shared" si="0"/>
        <v>0</v>
      </c>
      <c r="O16" s="660">
        <f t="shared" ca="1" si="0"/>
        <v>6494.581029047692</v>
      </c>
      <c r="P16" s="660">
        <f t="shared" si="0"/>
        <v>145.39000000000001</v>
      </c>
      <c r="Q16" s="660">
        <f t="shared" si="0"/>
        <v>1430.0000000000002</v>
      </c>
      <c r="R16" s="660">
        <f t="shared" ca="1" si="0"/>
        <v>131137.12816270362</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6.5744274679966876</v>
      </c>
      <c r="D19" s="931">
        <f>transport!C54</f>
        <v>0</v>
      </c>
      <c r="E19" s="931">
        <f>transport!D54</f>
        <v>0</v>
      </c>
      <c r="F19" s="931">
        <f>transport!E54</f>
        <v>0</v>
      </c>
      <c r="G19" s="931">
        <f>transport!F54</f>
        <v>0</v>
      </c>
      <c r="H19" s="931">
        <f>transport!G54</f>
        <v>617.60221495241365</v>
      </c>
      <c r="I19" s="931">
        <f>transport!H54</f>
        <v>0</v>
      </c>
      <c r="J19" s="931">
        <f>transport!I54</f>
        <v>0</v>
      </c>
      <c r="K19" s="931">
        <f>transport!J54</f>
        <v>0</v>
      </c>
      <c r="L19" s="931">
        <f>transport!K54</f>
        <v>0</v>
      </c>
      <c r="M19" s="931">
        <f>transport!L54</f>
        <v>0</v>
      </c>
      <c r="N19" s="931">
        <f>transport!M54</f>
        <v>35.565857218005405</v>
      </c>
      <c r="O19" s="931">
        <f>transport!N54</f>
        <v>0</v>
      </c>
      <c r="P19" s="931">
        <f>transport!O54</f>
        <v>0</v>
      </c>
      <c r="Q19" s="932">
        <f>transport!P54</f>
        <v>0</v>
      </c>
      <c r="R19" s="628">
        <f>SUM(C19:Q19)</f>
        <v>659.74249963841567</v>
      </c>
      <c r="S19" s="67"/>
    </row>
    <row r="20" spans="1:19" s="437" customFormat="1">
      <c r="A20" s="736" t="s">
        <v>295</v>
      </c>
      <c r="B20" s="741"/>
      <c r="C20" s="931">
        <f>transport!B14</f>
        <v>24.62445778371125</v>
      </c>
      <c r="D20" s="931">
        <f>transport!C14</f>
        <v>0</v>
      </c>
      <c r="E20" s="931">
        <f>transport!D14</f>
        <v>43.518621413509393</v>
      </c>
      <c r="F20" s="931">
        <f>transport!E14</f>
        <v>74.721883324504176</v>
      </c>
      <c r="G20" s="931">
        <f>transport!F14</f>
        <v>0</v>
      </c>
      <c r="H20" s="931">
        <f>transport!G14</f>
        <v>35220.365118150032</v>
      </c>
      <c r="I20" s="931">
        <f>transport!H14</f>
        <v>7498.5248882581955</v>
      </c>
      <c r="J20" s="931">
        <f>transport!I14</f>
        <v>0</v>
      </c>
      <c r="K20" s="931">
        <f>transport!J14</f>
        <v>0</v>
      </c>
      <c r="L20" s="931">
        <f>transport!K14</f>
        <v>0</v>
      </c>
      <c r="M20" s="931">
        <f>transport!L14</f>
        <v>0</v>
      </c>
      <c r="N20" s="931">
        <f>transport!M14</f>
        <v>2278.523956510071</v>
      </c>
      <c r="O20" s="931">
        <f>transport!N14</f>
        <v>0</v>
      </c>
      <c r="P20" s="931">
        <f>transport!O14</f>
        <v>0</v>
      </c>
      <c r="Q20" s="932">
        <f>transport!P14</f>
        <v>0</v>
      </c>
      <c r="R20" s="628">
        <f>SUM(C20:Q20)</f>
        <v>45140.27892544002</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31.198885251707939</v>
      </c>
      <c r="D22" s="739">
        <f t="shared" ref="D22:R22" si="1">SUM(D18:D21)</f>
        <v>0</v>
      </c>
      <c r="E22" s="739">
        <f t="shared" si="1"/>
        <v>43.518621413509393</v>
      </c>
      <c r="F22" s="739">
        <f t="shared" si="1"/>
        <v>74.721883324504176</v>
      </c>
      <c r="G22" s="739">
        <f t="shared" si="1"/>
        <v>0</v>
      </c>
      <c r="H22" s="739">
        <f t="shared" si="1"/>
        <v>35837.967333102446</v>
      </c>
      <c r="I22" s="739">
        <f t="shared" si="1"/>
        <v>7498.5248882581955</v>
      </c>
      <c r="J22" s="739">
        <f t="shared" si="1"/>
        <v>0</v>
      </c>
      <c r="K22" s="739">
        <f t="shared" si="1"/>
        <v>0</v>
      </c>
      <c r="L22" s="739">
        <f t="shared" si="1"/>
        <v>0</v>
      </c>
      <c r="M22" s="739">
        <f t="shared" si="1"/>
        <v>0</v>
      </c>
      <c r="N22" s="739">
        <f t="shared" si="1"/>
        <v>2314.0898137280765</v>
      </c>
      <c r="O22" s="739">
        <f t="shared" si="1"/>
        <v>0</v>
      </c>
      <c r="P22" s="739">
        <f t="shared" si="1"/>
        <v>0</v>
      </c>
      <c r="Q22" s="739">
        <f t="shared" si="1"/>
        <v>0</v>
      </c>
      <c r="R22" s="739">
        <f t="shared" si="1"/>
        <v>45800.021425078434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204.59091094974062</v>
      </c>
      <c r="D24" s="931">
        <f>+landbouw!C8</f>
        <v>0</v>
      </c>
      <c r="E24" s="931">
        <f>+landbouw!D8</f>
        <v>53.594531441769291</v>
      </c>
      <c r="F24" s="931">
        <f>+landbouw!E8</f>
        <v>6.639647604743792</v>
      </c>
      <c r="G24" s="931">
        <f>+landbouw!F8</f>
        <v>754.77557073470814</v>
      </c>
      <c r="H24" s="931">
        <f>+landbouw!G8</f>
        <v>0</v>
      </c>
      <c r="I24" s="931">
        <f>+landbouw!H8</f>
        <v>0</v>
      </c>
      <c r="J24" s="931">
        <f>+landbouw!I8</f>
        <v>0</v>
      </c>
      <c r="K24" s="931">
        <f>+landbouw!J8</f>
        <v>53.805294380970778</v>
      </c>
      <c r="L24" s="931">
        <f>+landbouw!K8</f>
        <v>0</v>
      </c>
      <c r="M24" s="931">
        <f>+landbouw!L8</f>
        <v>0</v>
      </c>
      <c r="N24" s="931">
        <f>+landbouw!M8</f>
        <v>0</v>
      </c>
      <c r="O24" s="931">
        <f>+landbouw!N8</f>
        <v>0</v>
      </c>
      <c r="P24" s="931">
        <f>+landbouw!O8</f>
        <v>0</v>
      </c>
      <c r="Q24" s="932">
        <f>+landbouw!P8</f>
        <v>0</v>
      </c>
      <c r="R24" s="628">
        <f>SUM(C24:Q24)</f>
        <v>1073.4059551119326</v>
      </c>
      <c r="S24" s="67"/>
    </row>
    <row r="25" spans="1:19" s="437" customFormat="1" ht="15" thickBot="1">
      <c r="A25" s="758" t="s">
        <v>775</v>
      </c>
      <c r="B25" s="934"/>
      <c r="C25" s="935">
        <f>IF(Onbekend_ele_kWh="---",0,Onbekend_ele_kWh)/1000+IF(REST_rest_ele_kWh="---",0,REST_rest_ele_kWh)/1000</f>
        <v>943.48164628906306</v>
      </c>
      <c r="D25" s="935"/>
      <c r="E25" s="935">
        <f>IF(onbekend_gas_kWh="---",0,onbekend_gas_kWh)/1000+IF(REST_rest_gas_kWh="---",0,REST_rest_gas_kWh)/1000</f>
        <v>1197.59642116849</v>
      </c>
      <c r="F25" s="935"/>
      <c r="G25" s="935"/>
      <c r="H25" s="935"/>
      <c r="I25" s="935"/>
      <c r="J25" s="935"/>
      <c r="K25" s="935"/>
      <c r="L25" s="935"/>
      <c r="M25" s="935"/>
      <c r="N25" s="935"/>
      <c r="O25" s="935"/>
      <c r="P25" s="935"/>
      <c r="Q25" s="936"/>
      <c r="R25" s="628">
        <f>SUM(C25:Q25)</f>
        <v>2141.0780674575531</v>
      </c>
      <c r="S25" s="67"/>
    </row>
    <row r="26" spans="1:19" s="437" customFormat="1" ht="15.75" thickBot="1">
      <c r="A26" s="633" t="s">
        <v>776</v>
      </c>
      <c r="B26" s="744"/>
      <c r="C26" s="739">
        <f>SUM(C24:C25)</f>
        <v>1148.0725572388037</v>
      </c>
      <c r="D26" s="739">
        <f t="shared" ref="D26:R26" si="2">SUM(D24:D25)</f>
        <v>0</v>
      </c>
      <c r="E26" s="739">
        <f t="shared" si="2"/>
        <v>1251.1909526102593</v>
      </c>
      <c r="F26" s="739">
        <f t="shared" si="2"/>
        <v>6.639647604743792</v>
      </c>
      <c r="G26" s="739">
        <f t="shared" si="2"/>
        <v>754.77557073470814</v>
      </c>
      <c r="H26" s="739">
        <f t="shared" si="2"/>
        <v>0</v>
      </c>
      <c r="I26" s="739">
        <f t="shared" si="2"/>
        <v>0</v>
      </c>
      <c r="J26" s="739">
        <f t="shared" si="2"/>
        <v>0</v>
      </c>
      <c r="K26" s="739">
        <f t="shared" si="2"/>
        <v>53.805294380970778</v>
      </c>
      <c r="L26" s="739">
        <f t="shared" si="2"/>
        <v>0</v>
      </c>
      <c r="M26" s="739">
        <f t="shared" si="2"/>
        <v>0</v>
      </c>
      <c r="N26" s="739">
        <f t="shared" si="2"/>
        <v>0</v>
      </c>
      <c r="O26" s="739">
        <f t="shared" si="2"/>
        <v>0</v>
      </c>
      <c r="P26" s="739">
        <f t="shared" si="2"/>
        <v>0</v>
      </c>
      <c r="Q26" s="739">
        <f t="shared" si="2"/>
        <v>0</v>
      </c>
      <c r="R26" s="739">
        <f t="shared" si="2"/>
        <v>3214.4840225694857</v>
      </c>
      <c r="S26" s="67"/>
    </row>
    <row r="27" spans="1:19" s="437" customFormat="1" ht="17.25" thickTop="1" thickBot="1">
      <c r="A27" s="634" t="s">
        <v>109</v>
      </c>
      <c r="B27" s="732"/>
      <c r="C27" s="635">
        <f ca="1">C22+C16+C26</f>
        <v>41443.982059528535</v>
      </c>
      <c r="D27" s="635">
        <f t="shared" ref="D27:R27" ca="1" si="3">D22+D16+D26</f>
        <v>0</v>
      </c>
      <c r="E27" s="635">
        <f t="shared" ca="1" si="3"/>
        <v>48433.385200782381</v>
      </c>
      <c r="F27" s="635">
        <f t="shared" si="3"/>
        <v>1621.9083796129423</v>
      </c>
      <c r="G27" s="635">
        <f t="shared" ca="1" si="3"/>
        <v>34720.113851810544</v>
      </c>
      <c r="H27" s="635">
        <f t="shared" si="3"/>
        <v>35837.967333102446</v>
      </c>
      <c r="I27" s="635">
        <f t="shared" si="3"/>
        <v>7498.5248882581955</v>
      </c>
      <c r="J27" s="635">
        <f t="shared" si="3"/>
        <v>0</v>
      </c>
      <c r="K27" s="635">
        <f t="shared" si="3"/>
        <v>211.69105448074612</v>
      </c>
      <c r="L27" s="635">
        <f t="shared" si="3"/>
        <v>0</v>
      </c>
      <c r="M27" s="635">
        <f t="shared" ca="1" si="3"/>
        <v>0</v>
      </c>
      <c r="N27" s="635">
        <f t="shared" si="3"/>
        <v>2314.0898137280765</v>
      </c>
      <c r="O27" s="635">
        <f t="shared" ca="1" si="3"/>
        <v>6494.581029047692</v>
      </c>
      <c r="P27" s="635">
        <f t="shared" si="3"/>
        <v>145.39000000000001</v>
      </c>
      <c r="Q27" s="635">
        <f t="shared" si="3"/>
        <v>1430.0000000000002</v>
      </c>
      <c r="R27" s="635">
        <f t="shared" ca="1" si="3"/>
        <v>180151.63361035154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3898.7642848686028</v>
      </c>
      <c r="D40" s="931">
        <f ca="1">tertiair!C20</f>
        <v>0</v>
      </c>
      <c r="E40" s="931">
        <f ca="1">tertiair!D20</f>
        <v>3676.2998625795153</v>
      </c>
      <c r="F40" s="931">
        <f>tertiair!E20</f>
        <v>44.442547057440613</v>
      </c>
      <c r="G40" s="931">
        <f ca="1">tertiair!F20</f>
        <v>720.8120697996012</v>
      </c>
      <c r="H40" s="931">
        <f>tertiair!G20</f>
        <v>0</v>
      </c>
      <c r="I40" s="931">
        <f>tertiair!H20</f>
        <v>0</v>
      </c>
      <c r="J40" s="931">
        <f>tertiair!I20</f>
        <v>0</v>
      </c>
      <c r="K40" s="931">
        <f>tertiair!J20</f>
        <v>5.2342202797758149E-3</v>
      </c>
      <c r="L40" s="931">
        <f>tertiair!K20</f>
        <v>0</v>
      </c>
      <c r="M40" s="931">
        <f ca="1">tertiair!L20</f>
        <v>0</v>
      </c>
      <c r="N40" s="931">
        <f>tertiair!M20</f>
        <v>0</v>
      </c>
      <c r="O40" s="931">
        <f ca="1">tertiair!N20</f>
        <v>0</v>
      </c>
      <c r="P40" s="931">
        <f>tertiair!O20</f>
        <v>0</v>
      </c>
      <c r="Q40" s="702">
        <f>tertiair!P20</f>
        <v>0</v>
      </c>
      <c r="R40" s="777">
        <f t="shared" ca="1" si="4"/>
        <v>8340.3239985254404</v>
      </c>
    </row>
    <row r="41" spans="1:18">
      <c r="A41" s="749" t="s">
        <v>213</v>
      </c>
      <c r="B41" s="756"/>
      <c r="C41" s="931">
        <f ca="1">huishoudens!B12</f>
        <v>4294.9022893849906</v>
      </c>
      <c r="D41" s="931">
        <f ca="1">huishoudens!C12</f>
        <v>0</v>
      </c>
      <c r="E41" s="931">
        <f>huishoudens!D12</f>
        <v>5500.9010856488958</v>
      </c>
      <c r="F41" s="931">
        <f>huishoudens!E12</f>
        <v>297.65161129164892</v>
      </c>
      <c r="G41" s="931">
        <f>huishoudens!F12</f>
        <v>8115.0742295795799</v>
      </c>
      <c r="H41" s="931">
        <f>huishoudens!G12</f>
        <v>0</v>
      </c>
      <c r="I41" s="931">
        <f>huishoudens!H12</f>
        <v>0</v>
      </c>
      <c r="J41" s="931">
        <f>huishoudens!I12</f>
        <v>0</v>
      </c>
      <c r="K41" s="931">
        <f>huishoudens!J12</f>
        <v>55.293385725918306</v>
      </c>
      <c r="L41" s="931">
        <f>huishoudens!K12</f>
        <v>0</v>
      </c>
      <c r="M41" s="931">
        <f>huishoudens!L12</f>
        <v>0</v>
      </c>
      <c r="N41" s="931">
        <f>huishoudens!M12</f>
        <v>0</v>
      </c>
      <c r="O41" s="931">
        <f>huishoudens!N12</f>
        <v>0</v>
      </c>
      <c r="P41" s="931">
        <f>huishoudens!O12</f>
        <v>0</v>
      </c>
      <c r="Q41" s="702">
        <f>huishoudens!P12</f>
        <v>0</v>
      </c>
      <c r="R41" s="777">
        <f t="shared" ca="1" si="4"/>
        <v>18263.822601631036</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476.48508823382969</v>
      </c>
      <c r="D43" s="931">
        <f ca="1">industrie!C22</f>
        <v>0</v>
      </c>
      <c r="E43" s="931">
        <f>industrie!D22</f>
        <v>344.81152837682953</v>
      </c>
      <c r="F43" s="931">
        <f>industrie!E22</f>
        <v>7.6099763021091329</v>
      </c>
      <c r="G43" s="931">
        <f>industrie!F22</f>
        <v>232.85902166806656</v>
      </c>
      <c r="H43" s="931">
        <f>industrie!G22</f>
        <v>0</v>
      </c>
      <c r="I43" s="931">
        <f>industrie!H22</f>
        <v>0</v>
      </c>
      <c r="J43" s="931">
        <f>industrie!I22</f>
        <v>0</v>
      </c>
      <c r="K43" s="931">
        <f>industrie!J22</f>
        <v>0.59293912912239177</v>
      </c>
      <c r="L43" s="931">
        <f>industrie!K22</f>
        <v>0</v>
      </c>
      <c r="M43" s="931">
        <f>industrie!L22</f>
        <v>0</v>
      </c>
      <c r="N43" s="931">
        <f>industrie!M22</f>
        <v>0</v>
      </c>
      <c r="O43" s="931">
        <f>industrie!N22</f>
        <v>0</v>
      </c>
      <c r="P43" s="931">
        <f>industrie!O22</f>
        <v>0</v>
      </c>
      <c r="Q43" s="702">
        <f>industrie!P22</f>
        <v>0</v>
      </c>
      <c r="R43" s="776">
        <f t="shared" ca="1" si="4"/>
        <v>1062.3585537099573</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8670.1516624874239</v>
      </c>
      <c r="D46" s="660">
        <f t="shared" ref="D46:Q46" ca="1" si="5">SUM(D39:D45)</f>
        <v>0</v>
      </c>
      <c r="E46" s="660">
        <f t="shared" ca="1" si="5"/>
        <v>9522.0124766052413</v>
      </c>
      <c r="F46" s="660">
        <f t="shared" si="5"/>
        <v>349.70413465119867</v>
      </c>
      <c r="G46" s="660">
        <f t="shared" ca="1" si="5"/>
        <v>9068.7453210472468</v>
      </c>
      <c r="H46" s="660">
        <f t="shared" si="5"/>
        <v>0</v>
      </c>
      <c r="I46" s="660">
        <f t="shared" si="5"/>
        <v>0</v>
      </c>
      <c r="J46" s="660">
        <f t="shared" si="5"/>
        <v>0</v>
      </c>
      <c r="K46" s="660">
        <f t="shared" si="5"/>
        <v>55.891559075320473</v>
      </c>
      <c r="L46" s="660">
        <f t="shared" si="5"/>
        <v>0</v>
      </c>
      <c r="M46" s="660">
        <f t="shared" ca="1" si="5"/>
        <v>0</v>
      </c>
      <c r="N46" s="660">
        <f t="shared" si="5"/>
        <v>0</v>
      </c>
      <c r="O46" s="660">
        <f t="shared" ca="1" si="5"/>
        <v>0</v>
      </c>
      <c r="P46" s="660">
        <f t="shared" si="5"/>
        <v>0</v>
      </c>
      <c r="Q46" s="660">
        <f t="shared" si="5"/>
        <v>0</v>
      </c>
      <c r="R46" s="660">
        <f ca="1">SUM(R39:R45)</f>
        <v>27666.505153866434</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1.4156635517314351</v>
      </c>
      <c r="D49" s="931">
        <f ca="1">transport!C58</f>
        <v>0</v>
      </c>
      <c r="E49" s="931">
        <f>transport!D58</f>
        <v>0</v>
      </c>
      <c r="F49" s="931">
        <f>transport!E58</f>
        <v>0</v>
      </c>
      <c r="G49" s="931">
        <f>transport!F58</f>
        <v>0</v>
      </c>
      <c r="H49" s="931">
        <f>transport!G58</f>
        <v>164.89979139229445</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166.31545494402587</v>
      </c>
    </row>
    <row r="50" spans="1:18">
      <c r="A50" s="752" t="s">
        <v>295</v>
      </c>
      <c r="B50" s="762"/>
      <c r="C50" s="631">
        <f ca="1">transport!B18</f>
        <v>5.3023548491853276</v>
      </c>
      <c r="D50" s="631">
        <f>transport!C18</f>
        <v>0</v>
      </c>
      <c r="E50" s="631">
        <f>transport!D18</f>
        <v>8.7907615255288984</v>
      </c>
      <c r="F50" s="631">
        <f>transport!E18</f>
        <v>16.961867514662448</v>
      </c>
      <c r="G50" s="631">
        <f>transport!F18</f>
        <v>0</v>
      </c>
      <c r="H50" s="631">
        <f>transport!G18</f>
        <v>9403.8374865460592</v>
      </c>
      <c r="I50" s="631">
        <f>transport!H18</f>
        <v>1867.1326971762908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11302.025167611726</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6.7180184009167627</v>
      </c>
      <c r="D52" s="660">
        <f t="shared" ref="D52:Q52" ca="1" si="6">SUM(D48:D51)</f>
        <v>0</v>
      </c>
      <c r="E52" s="660">
        <f t="shared" si="6"/>
        <v>8.7907615255288984</v>
      </c>
      <c r="F52" s="660">
        <f t="shared" si="6"/>
        <v>16.961867514662448</v>
      </c>
      <c r="G52" s="660">
        <f t="shared" si="6"/>
        <v>0</v>
      </c>
      <c r="H52" s="660">
        <f t="shared" si="6"/>
        <v>9568.7372779383531</v>
      </c>
      <c r="I52" s="660">
        <f t="shared" si="6"/>
        <v>1867.1326971762908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11468.340622555752</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44.054314547839112</v>
      </c>
      <c r="D54" s="631">
        <f ca="1">+landbouw!C12</f>
        <v>0</v>
      </c>
      <c r="E54" s="631">
        <f>+landbouw!D12</f>
        <v>10.826095351237397</v>
      </c>
      <c r="F54" s="631">
        <f>+landbouw!E12</f>
        <v>1.5072000062768409</v>
      </c>
      <c r="G54" s="631">
        <f>+landbouw!F12</f>
        <v>201.52507738616708</v>
      </c>
      <c r="H54" s="631">
        <f>+landbouw!G12</f>
        <v>0</v>
      </c>
      <c r="I54" s="631">
        <f>+landbouw!H12</f>
        <v>0</v>
      </c>
      <c r="J54" s="631">
        <f>+landbouw!I12</f>
        <v>0</v>
      </c>
      <c r="K54" s="631">
        <f>+landbouw!J12</f>
        <v>19.047074210863656</v>
      </c>
      <c r="L54" s="631">
        <f>+landbouw!K12</f>
        <v>0</v>
      </c>
      <c r="M54" s="631">
        <f>+landbouw!L12</f>
        <v>0</v>
      </c>
      <c r="N54" s="631">
        <f>+landbouw!M12</f>
        <v>0</v>
      </c>
      <c r="O54" s="631">
        <f>+landbouw!N12</f>
        <v>0</v>
      </c>
      <c r="P54" s="631">
        <f>+landbouw!O12</f>
        <v>0</v>
      </c>
      <c r="Q54" s="632">
        <f>+landbouw!P12</f>
        <v>0</v>
      </c>
      <c r="R54" s="659">
        <f ca="1">SUM(C54:Q54)</f>
        <v>276.95976150238414</v>
      </c>
    </row>
    <row r="55" spans="1:18" ht="15" thickBot="1">
      <c r="A55" s="752" t="s">
        <v>775</v>
      </c>
      <c r="B55" s="762"/>
      <c r="C55" s="631">
        <f ca="1">C25*'EF ele_warmte'!B12</f>
        <v>203.15876703800444</v>
      </c>
      <c r="D55" s="631"/>
      <c r="E55" s="631">
        <f>E25*EF_CO2_aardgas</f>
        <v>241.91447707603498</v>
      </c>
      <c r="F55" s="631"/>
      <c r="G55" s="631"/>
      <c r="H55" s="631"/>
      <c r="I55" s="631"/>
      <c r="J55" s="631"/>
      <c r="K55" s="631"/>
      <c r="L55" s="631"/>
      <c r="M55" s="631"/>
      <c r="N55" s="631"/>
      <c r="O55" s="631"/>
      <c r="P55" s="631"/>
      <c r="Q55" s="632"/>
      <c r="R55" s="659">
        <f ca="1">SUM(C55:Q55)</f>
        <v>445.07324411403943</v>
      </c>
    </row>
    <row r="56" spans="1:18" ht="15.75" thickBot="1">
      <c r="A56" s="750" t="s">
        <v>776</v>
      </c>
      <c r="B56" s="763"/>
      <c r="C56" s="660">
        <f ca="1">SUM(C54:C55)</f>
        <v>247.21308158584355</v>
      </c>
      <c r="D56" s="660">
        <f t="shared" ref="D56:Q56" ca="1" si="7">SUM(D54:D55)</f>
        <v>0</v>
      </c>
      <c r="E56" s="660">
        <f t="shared" si="7"/>
        <v>252.74057242727238</v>
      </c>
      <c r="F56" s="660">
        <f t="shared" si="7"/>
        <v>1.5072000062768409</v>
      </c>
      <c r="G56" s="660">
        <f t="shared" si="7"/>
        <v>201.52507738616708</v>
      </c>
      <c r="H56" s="660">
        <f t="shared" si="7"/>
        <v>0</v>
      </c>
      <c r="I56" s="660">
        <f t="shared" si="7"/>
        <v>0</v>
      </c>
      <c r="J56" s="660">
        <f t="shared" si="7"/>
        <v>0</v>
      </c>
      <c r="K56" s="660">
        <f t="shared" si="7"/>
        <v>19.047074210863656</v>
      </c>
      <c r="L56" s="660">
        <f t="shared" si="7"/>
        <v>0</v>
      </c>
      <c r="M56" s="660">
        <f t="shared" si="7"/>
        <v>0</v>
      </c>
      <c r="N56" s="660">
        <f t="shared" si="7"/>
        <v>0</v>
      </c>
      <c r="O56" s="660">
        <f t="shared" si="7"/>
        <v>0</v>
      </c>
      <c r="P56" s="660">
        <f t="shared" si="7"/>
        <v>0</v>
      </c>
      <c r="Q56" s="661">
        <f t="shared" si="7"/>
        <v>0</v>
      </c>
      <c r="R56" s="662">
        <f ca="1">SUM(R54:R55)</f>
        <v>722.03300561642357</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8924.0827624741851</v>
      </c>
      <c r="D61" s="668">
        <f t="shared" ref="D61:Q61" ca="1" si="8">D46+D52+D56</f>
        <v>0</v>
      </c>
      <c r="E61" s="668">
        <f t="shared" ca="1" si="8"/>
        <v>9783.5438105580415</v>
      </c>
      <c r="F61" s="668">
        <f t="shared" si="8"/>
        <v>368.17320217213796</v>
      </c>
      <c r="G61" s="668">
        <f t="shared" ca="1" si="8"/>
        <v>9270.270398433413</v>
      </c>
      <c r="H61" s="668">
        <f t="shared" si="8"/>
        <v>9568.7372779383531</v>
      </c>
      <c r="I61" s="668">
        <f t="shared" si="8"/>
        <v>1867.1326971762908</v>
      </c>
      <c r="J61" s="668">
        <f t="shared" si="8"/>
        <v>0</v>
      </c>
      <c r="K61" s="668">
        <f t="shared" si="8"/>
        <v>74.938633286184128</v>
      </c>
      <c r="L61" s="668">
        <f t="shared" si="8"/>
        <v>0</v>
      </c>
      <c r="M61" s="668">
        <f t="shared" ca="1" si="8"/>
        <v>0</v>
      </c>
      <c r="N61" s="668">
        <f t="shared" si="8"/>
        <v>0</v>
      </c>
      <c r="O61" s="668">
        <f t="shared" ca="1" si="8"/>
        <v>0</v>
      </c>
      <c r="P61" s="668">
        <f t="shared" si="8"/>
        <v>0</v>
      </c>
      <c r="Q61" s="668">
        <f t="shared" si="8"/>
        <v>0</v>
      </c>
      <c r="R61" s="668">
        <f ca="1">R46+R52+R56</f>
        <v>39856.878782038606</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0.21532879610014252</v>
      </c>
      <c r="D63" s="709">
        <f t="shared" ca="1" si="9"/>
        <v>0</v>
      </c>
      <c r="E63" s="942">
        <f t="shared" ca="1" si="9"/>
        <v>0.20200000000000001</v>
      </c>
      <c r="F63" s="709">
        <f t="shared" si="9"/>
        <v>0.22700000000000004</v>
      </c>
      <c r="G63" s="709">
        <f t="shared" ca="1" si="9"/>
        <v>0.26699999999999996</v>
      </c>
      <c r="H63" s="709">
        <f t="shared" si="9"/>
        <v>0.26700000000000002</v>
      </c>
      <c r="I63" s="709">
        <f t="shared" si="9"/>
        <v>0.24900000000000003</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1063.5170709575632</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1063.5170709575632</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19945.786941508599</v>
      </c>
      <c r="C4" s="441">
        <f>huishoudens!C8</f>
        <v>0</v>
      </c>
      <c r="D4" s="441">
        <f>huishoudens!D8</f>
        <v>27232.183592321264</v>
      </c>
      <c r="E4" s="441">
        <f>huishoudens!E8</f>
        <v>1311.2405783773079</v>
      </c>
      <c r="F4" s="441">
        <f>huishoudens!F8</f>
        <v>30393.536440372958</v>
      </c>
      <c r="G4" s="441">
        <f>huishoudens!G8</f>
        <v>0</v>
      </c>
      <c r="H4" s="441">
        <f>huishoudens!H8</f>
        <v>0</v>
      </c>
      <c r="I4" s="441">
        <f>huishoudens!I8</f>
        <v>0</v>
      </c>
      <c r="J4" s="441">
        <f>huishoudens!J8</f>
        <v>156.19600487547544</v>
      </c>
      <c r="K4" s="441">
        <f>huishoudens!K8</f>
        <v>0</v>
      </c>
      <c r="L4" s="441">
        <f>huishoudens!L8</f>
        <v>0</v>
      </c>
      <c r="M4" s="441">
        <f>huishoudens!M8</f>
        <v>0</v>
      </c>
      <c r="N4" s="441">
        <f>huishoudens!N8</f>
        <v>5782.2183533575344</v>
      </c>
      <c r="O4" s="441">
        <f>huishoudens!O8</f>
        <v>143.82666666666668</v>
      </c>
      <c r="P4" s="442">
        <f>huishoudens!P8</f>
        <v>1391.8666666666668</v>
      </c>
      <c r="Q4" s="443">
        <f>SUM(B4:P4)</f>
        <v>86356.855244146456</v>
      </c>
    </row>
    <row r="5" spans="1:17">
      <c r="A5" s="440" t="s">
        <v>149</v>
      </c>
      <c r="B5" s="441">
        <f ca="1">tertiair!B16</f>
        <v>17520.071002124212</v>
      </c>
      <c r="C5" s="441">
        <f ca="1">tertiair!C16</f>
        <v>0</v>
      </c>
      <c r="D5" s="441">
        <f ca="1">tertiair!D16</f>
        <v>18199.504270195619</v>
      </c>
      <c r="E5" s="441">
        <f>tertiair!E16</f>
        <v>195.78214562749167</v>
      </c>
      <c r="F5" s="441">
        <f ca="1">tertiair!F16</f>
        <v>2699.6706734067461</v>
      </c>
      <c r="G5" s="441">
        <f>tertiair!G16</f>
        <v>0</v>
      </c>
      <c r="H5" s="441">
        <f>tertiair!H16</f>
        <v>0</v>
      </c>
      <c r="I5" s="441">
        <f>tertiair!I16</f>
        <v>0</v>
      </c>
      <c r="J5" s="441">
        <f>tertiair!J16</f>
        <v>1.4785932993716992E-2</v>
      </c>
      <c r="K5" s="441">
        <f>tertiair!K16</f>
        <v>0</v>
      </c>
      <c r="L5" s="441">
        <f ca="1">tertiair!L16</f>
        <v>0</v>
      </c>
      <c r="M5" s="441">
        <f>tertiair!M16</f>
        <v>0</v>
      </c>
      <c r="N5" s="441">
        <f ca="1">tertiair!N16</f>
        <v>636.83463174720828</v>
      </c>
      <c r="O5" s="441">
        <f>tertiair!O16</f>
        <v>1.5633333333333335</v>
      </c>
      <c r="P5" s="442">
        <f>tertiair!P16</f>
        <v>38.133333333333333</v>
      </c>
      <c r="Q5" s="440">
        <f t="shared" ref="Q5:Q14" ca="1" si="0">SUM(B5:P5)</f>
        <v>39291.574175700938</v>
      </c>
    </row>
    <row r="6" spans="1:17">
      <c r="A6" s="440" t="s">
        <v>187</v>
      </c>
      <c r="B6" s="441">
        <f>'openbare verlichting'!B8</f>
        <v>586.02700000000004</v>
      </c>
      <c r="C6" s="441"/>
      <c r="D6" s="441"/>
      <c r="E6" s="441"/>
      <c r="F6" s="441"/>
      <c r="G6" s="441"/>
      <c r="H6" s="441"/>
      <c r="I6" s="441"/>
      <c r="J6" s="441"/>
      <c r="K6" s="441"/>
      <c r="L6" s="441"/>
      <c r="M6" s="441"/>
      <c r="N6" s="441"/>
      <c r="O6" s="441"/>
      <c r="P6" s="442"/>
      <c r="Q6" s="440">
        <f t="shared" si="0"/>
        <v>586.02700000000004</v>
      </c>
    </row>
    <row r="7" spans="1:17">
      <c r="A7" s="440" t="s">
        <v>105</v>
      </c>
      <c r="B7" s="441">
        <f>landbouw!B8</f>
        <v>204.59091094974062</v>
      </c>
      <c r="C7" s="441">
        <f>landbouw!C8</f>
        <v>0</v>
      </c>
      <c r="D7" s="441">
        <f>landbouw!D8</f>
        <v>53.594531441769291</v>
      </c>
      <c r="E7" s="441">
        <f>landbouw!E8</f>
        <v>6.639647604743792</v>
      </c>
      <c r="F7" s="441">
        <f>landbouw!F8</f>
        <v>754.77557073470814</v>
      </c>
      <c r="G7" s="441">
        <f>landbouw!G8</f>
        <v>0</v>
      </c>
      <c r="H7" s="441">
        <f>landbouw!H8</f>
        <v>0</v>
      </c>
      <c r="I7" s="441">
        <f>landbouw!I8</f>
        <v>0</v>
      </c>
      <c r="J7" s="441">
        <f>landbouw!J8</f>
        <v>53.805294380970778</v>
      </c>
      <c r="K7" s="441">
        <f>landbouw!K8</f>
        <v>0</v>
      </c>
      <c r="L7" s="441">
        <f>landbouw!L8</f>
        <v>0</v>
      </c>
      <c r="M7" s="441">
        <f>landbouw!M8</f>
        <v>0</v>
      </c>
      <c r="N7" s="441">
        <f>landbouw!N8</f>
        <v>0</v>
      </c>
      <c r="O7" s="441">
        <f>landbouw!O8</f>
        <v>0</v>
      </c>
      <c r="P7" s="442">
        <f>landbouw!P8</f>
        <v>0</v>
      </c>
      <c r="Q7" s="440">
        <f t="shared" si="0"/>
        <v>1073.4059551119326</v>
      </c>
    </row>
    <row r="8" spans="1:17">
      <c r="A8" s="440" t="s">
        <v>596</v>
      </c>
      <c r="B8" s="441">
        <f>industrie!B18</f>
        <v>2212.8256734052038</v>
      </c>
      <c r="C8" s="441">
        <f>industrie!C18</f>
        <v>0</v>
      </c>
      <c r="D8" s="441">
        <f>industrie!D18</f>
        <v>1706.9877642417302</v>
      </c>
      <c r="E8" s="441">
        <f>industrie!E18</f>
        <v>33.524124678894857</v>
      </c>
      <c r="F8" s="441">
        <f>industrie!F18</f>
        <v>872.13116729612943</v>
      </c>
      <c r="G8" s="441">
        <f>industrie!G18</f>
        <v>0</v>
      </c>
      <c r="H8" s="441">
        <f>industrie!H18</f>
        <v>0</v>
      </c>
      <c r="I8" s="441">
        <f>industrie!I18</f>
        <v>0</v>
      </c>
      <c r="J8" s="441">
        <f>industrie!J18</f>
        <v>1.6749692913061915</v>
      </c>
      <c r="K8" s="441">
        <f>industrie!K18</f>
        <v>0</v>
      </c>
      <c r="L8" s="441">
        <f>industrie!L18</f>
        <v>0</v>
      </c>
      <c r="M8" s="441">
        <f>industrie!M18</f>
        <v>0</v>
      </c>
      <c r="N8" s="441">
        <f>industrie!N18</f>
        <v>75.528043942949253</v>
      </c>
      <c r="O8" s="441">
        <f>industrie!O18</f>
        <v>0</v>
      </c>
      <c r="P8" s="442">
        <f>industrie!P18</f>
        <v>0</v>
      </c>
      <c r="Q8" s="440">
        <f t="shared" si="0"/>
        <v>4902.6717428562142</v>
      </c>
    </row>
    <row r="9" spans="1:17" s="446" customFormat="1">
      <c r="A9" s="444" t="s">
        <v>545</v>
      </c>
      <c r="B9" s="445">
        <f>transport!B14</f>
        <v>24.62445778371125</v>
      </c>
      <c r="C9" s="445">
        <f>transport!C14</f>
        <v>0</v>
      </c>
      <c r="D9" s="445">
        <f>transport!D14</f>
        <v>43.518621413509393</v>
      </c>
      <c r="E9" s="445">
        <f>transport!E14</f>
        <v>74.721883324504176</v>
      </c>
      <c r="F9" s="445">
        <f>transport!F14</f>
        <v>0</v>
      </c>
      <c r="G9" s="445">
        <f>transport!G14</f>
        <v>35220.365118150032</v>
      </c>
      <c r="H9" s="445">
        <f>transport!H14</f>
        <v>7498.5248882581955</v>
      </c>
      <c r="I9" s="445">
        <f>transport!I14</f>
        <v>0</v>
      </c>
      <c r="J9" s="445">
        <f>transport!J14</f>
        <v>0</v>
      </c>
      <c r="K9" s="445">
        <f>transport!K14</f>
        <v>0</v>
      </c>
      <c r="L9" s="445">
        <f>transport!L14</f>
        <v>0</v>
      </c>
      <c r="M9" s="445">
        <f>transport!M14</f>
        <v>2278.523956510071</v>
      </c>
      <c r="N9" s="445">
        <f>transport!N14</f>
        <v>0</v>
      </c>
      <c r="O9" s="445">
        <f>transport!O14</f>
        <v>0</v>
      </c>
      <c r="P9" s="445">
        <f>transport!P14</f>
        <v>0</v>
      </c>
      <c r="Q9" s="444">
        <f>SUM(B9:P9)</f>
        <v>45140.27892544002</v>
      </c>
    </row>
    <row r="10" spans="1:17">
      <c r="A10" s="440" t="s">
        <v>535</v>
      </c>
      <c r="B10" s="441">
        <f>transport!B54</f>
        <v>6.5744274679966876</v>
      </c>
      <c r="C10" s="441">
        <f>transport!C54</f>
        <v>0</v>
      </c>
      <c r="D10" s="441">
        <f>transport!D54</f>
        <v>0</v>
      </c>
      <c r="E10" s="441">
        <f>transport!E54</f>
        <v>0</v>
      </c>
      <c r="F10" s="441">
        <f>transport!F54</f>
        <v>0</v>
      </c>
      <c r="G10" s="441">
        <f>transport!G54</f>
        <v>617.60221495241365</v>
      </c>
      <c r="H10" s="441">
        <f>transport!H54</f>
        <v>0</v>
      </c>
      <c r="I10" s="441">
        <f>transport!I54</f>
        <v>0</v>
      </c>
      <c r="J10" s="441">
        <f>transport!J54</f>
        <v>0</v>
      </c>
      <c r="K10" s="441">
        <f>transport!K54</f>
        <v>0</v>
      </c>
      <c r="L10" s="441">
        <f>transport!L54</f>
        <v>0</v>
      </c>
      <c r="M10" s="441">
        <f>transport!M54</f>
        <v>35.565857218005405</v>
      </c>
      <c r="N10" s="441">
        <f>transport!N54</f>
        <v>0</v>
      </c>
      <c r="O10" s="441">
        <f>transport!O54</f>
        <v>0</v>
      </c>
      <c r="P10" s="442">
        <f>transport!P54</f>
        <v>0</v>
      </c>
      <c r="Q10" s="440">
        <f t="shared" si="0"/>
        <v>659.74249963841567</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943.48164628906306</v>
      </c>
      <c r="C14" s="448"/>
      <c r="D14" s="448">
        <f>'SEAP template'!E25</f>
        <v>1197.59642116849</v>
      </c>
      <c r="E14" s="448"/>
      <c r="F14" s="448"/>
      <c r="G14" s="448"/>
      <c r="H14" s="448"/>
      <c r="I14" s="448"/>
      <c r="J14" s="448"/>
      <c r="K14" s="448"/>
      <c r="L14" s="448"/>
      <c r="M14" s="448"/>
      <c r="N14" s="448"/>
      <c r="O14" s="448"/>
      <c r="P14" s="449"/>
      <c r="Q14" s="440">
        <f t="shared" si="0"/>
        <v>2141.0780674575531</v>
      </c>
    </row>
    <row r="15" spans="1:17" s="450" customFormat="1">
      <c r="A15" s="957" t="s">
        <v>539</v>
      </c>
      <c r="B15" s="905">
        <f ca="1">SUM(B4:B14)</f>
        <v>41443.982059528527</v>
      </c>
      <c r="C15" s="905">
        <f t="shared" ref="C15:Q15" ca="1" si="1">SUM(C4:C14)</f>
        <v>0</v>
      </c>
      <c r="D15" s="905">
        <f t="shared" ca="1" si="1"/>
        <v>48433.385200782381</v>
      </c>
      <c r="E15" s="905">
        <f t="shared" si="1"/>
        <v>1621.9083796129423</v>
      </c>
      <c r="F15" s="905">
        <f t="shared" ca="1" si="1"/>
        <v>34720.113851810544</v>
      </c>
      <c r="G15" s="905">
        <f t="shared" si="1"/>
        <v>35837.967333102446</v>
      </c>
      <c r="H15" s="905">
        <f t="shared" si="1"/>
        <v>7498.5248882581955</v>
      </c>
      <c r="I15" s="905">
        <f t="shared" si="1"/>
        <v>0</v>
      </c>
      <c r="J15" s="905">
        <f t="shared" si="1"/>
        <v>211.69105448074612</v>
      </c>
      <c r="K15" s="905">
        <f t="shared" si="1"/>
        <v>0</v>
      </c>
      <c r="L15" s="905">
        <f t="shared" ca="1" si="1"/>
        <v>0</v>
      </c>
      <c r="M15" s="905">
        <f t="shared" si="1"/>
        <v>2314.0898137280765</v>
      </c>
      <c r="N15" s="905">
        <f t="shared" ca="1" si="1"/>
        <v>6494.581029047692</v>
      </c>
      <c r="O15" s="905">
        <f t="shared" si="1"/>
        <v>145.39000000000001</v>
      </c>
      <c r="P15" s="905">
        <f t="shared" si="1"/>
        <v>1430.0000000000002</v>
      </c>
      <c r="Q15" s="905">
        <f t="shared" ca="1" si="1"/>
        <v>180151.63361035154</v>
      </c>
    </row>
    <row r="17" spans="1:17">
      <c r="A17" s="451" t="s">
        <v>540</v>
      </c>
      <c r="B17" s="714">
        <f ca="1">huishoudens!B10</f>
        <v>0.21532879610014252</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4294.9022893849906</v>
      </c>
      <c r="C22" s="441">
        <f t="shared" ref="C22:C32" ca="1" si="3">C4*$C$17</f>
        <v>0</v>
      </c>
      <c r="D22" s="441">
        <f t="shared" ref="D22:D32" si="4">D4*$D$17</f>
        <v>5500.9010856488958</v>
      </c>
      <c r="E22" s="441">
        <f t="shared" ref="E22:E32" si="5">E4*$E$17</f>
        <v>297.65161129164892</v>
      </c>
      <c r="F22" s="441">
        <f t="shared" ref="F22:F32" si="6">F4*$F$17</f>
        <v>8115.0742295795799</v>
      </c>
      <c r="G22" s="441">
        <f t="shared" ref="G22:G32" si="7">G4*$G$17</f>
        <v>0</v>
      </c>
      <c r="H22" s="441">
        <f t="shared" ref="H22:H32" si="8">H4*$H$17</f>
        <v>0</v>
      </c>
      <c r="I22" s="441">
        <f t="shared" ref="I22:I32" si="9">I4*$I$17</f>
        <v>0</v>
      </c>
      <c r="J22" s="441">
        <f t="shared" ref="J22:J32" si="10">J4*$J$17</f>
        <v>55.293385725918306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18263.822601631036</v>
      </c>
    </row>
    <row r="23" spans="1:17">
      <c r="A23" s="440" t="s">
        <v>149</v>
      </c>
      <c r="B23" s="441">
        <f t="shared" ca="1" si="2"/>
        <v>3772.5757964764243</v>
      </c>
      <c r="C23" s="441">
        <f t="shared" ca="1" si="3"/>
        <v>0</v>
      </c>
      <c r="D23" s="441">
        <f t="shared" ca="1" si="4"/>
        <v>3676.2998625795153</v>
      </c>
      <c r="E23" s="441">
        <f t="shared" si="5"/>
        <v>44.442547057440613</v>
      </c>
      <c r="F23" s="441">
        <f t="shared" ca="1" si="6"/>
        <v>720.8120697996012</v>
      </c>
      <c r="G23" s="441">
        <f t="shared" si="7"/>
        <v>0</v>
      </c>
      <c r="H23" s="441">
        <f t="shared" si="8"/>
        <v>0</v>
      </c>
      <c r="I23" s="441">
        <f t="shared" si="9"/>
        <v>0</v>
      </c>
      <c r="J23" s="441">
        <f t="shared" si="10"/>
        <v>5.2342202797758149E-3</v>
      </c>
      <c r="K23" s="441">
        <f t="shared" si="11"/>
        <v>0</v>
      </c>
      <c r="L23" s="441">
        <f t="shared" ca="1" si="12"/>
        <v>0</v>
      </c>
      <c r="M23" s="441">
        <f t="shared" si="13"/>
        <v>0</v>
      </c>
      <c r="N23" s="441">
        <f t="shared" ca="1" si="14"/>
        <v>0</v>
      </c>
      <c r="O23" s="441">
        <f t="shared" si="15"/>
        <v>0</v>
      </c>
      <c r="P23" s="442">
        <f t="shared" si="16"/>
        <v>0</v>
      </c>
      <c r="Q23" s="440">
        <f t="shared" ref="Q23:Q32" ca="1" si="17">SUM(B23:P23)</f>
        <v>8214.1355101332611</v>
      </c>
    </row>
    <row r="24" spans="1:17">
      <c r="A24" s="440" t="s">
        <v>187</v>
      </c>
      <c r="B24" s="441">
        <f t="shared" ca="1" si="2"/>
        <v>126.18848839217823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126.18848839217823</v>
      </c>
    </row>
    <row r="25" spans="1:17">
      <c r="A25" s="440" t="s">
        <v>105</v>
      </c>
      <c r="B25" s="441">
        <f t="shared" ca="1" si="2"/>
        <v>44.054314547839112</v>
      </c>
      <c r="C25" s="441">
        <f t="shared" ca="1" si="3"/>
        <v>0</v>
      </c>
      <c r="D25" s="441">
        <f t="shared" si="4"/>
        <v>10.826095351237397</v>
      </c>
      <c r="E25" s="441">
        <f t="shared" si="5"/>
        <v>1.5072000062768409</v>
      </c>
      <c r="F25" s="441">
        <f t="shared" si="6"/>
        <v>201.52507738616708</v>
      </c>
      <c r="G25" s="441">
        <f t="shared" si="7"/>
        <v>0</v>
      </c>
      <c r="H25" s="441">
        <f t="shared" si="8"/>
        <v>0</v>
      </c>
      <c r="I25" s="441">
        <f t="shared" si="9"/>
        <v>0</v>
      </c>
      <c r="J25" s="441">
        <f t="shared" si="10"/>
        <v>19.047074210863656</v>
      </c>
      <c r="K25" s="441">
        <f t="shared" si="11"/>
        <v>0</v>
      </c>
      <c r="L25" s="441">
        <f t="shared" si="12"/>
        <v>0</v>
      </c>
      <c r="M25" s="441">
        <f t="shared" si="13"/>
        <v>0</v>
      </c>
      <c r="N25" s="441">
        <f t="shared" si="14"/>
        <v>0</v>
      </c>
      <c r="O25" s="441">
        <f t="shared" si="15"/>
        <v>0</v>
      </c>
      <c r="P25" s="442">
        <f t="shared" si="16"/>
        <v>0</v>
      </c>
      <c r="Q25" s="440">
        <f t="shared" ca="1" si="17"/>
        <v>276.95976150238414</v>
      </c>
    </row>
    <row r="26" spans="1:17">
      <c r="A26" s="440" t="s">
        <v>596</v>
      </c>
      <c r="B26" s="441">
        <f t="shared" ca="1" si="2"/>
        <v>476.48508823382969</v>
      </c>
      <c r="C26" s="441">
        <f t="shared" ca="1" si="3"/>
        <v>0</v>
      </c>
      <c r="D26" s="441">
        <f t="shared" si="4"/>
        <v>344.81152837682953</v>
      </c>
      <c r="E26" s="441">
        <f t="shared" si="5"/>
        <v>7.6099763021091329</v>
      </c>
      <c r="F26" s="441">
        <f t="shared" si="6"/>
        <v>232.85902166806656</v>
      </c>
      <c r="G26" s="441">
        <f t="shared" si="7"/>
        <v>0</v>
      </c>
      <c r="H26" s="441">
        <f t="shared" si="8"/>
        <v>0</v>
      </c>
      <c r="I26" s="441">
        <f t="shared" si="9"/>
        <v>0</v>
      </c>
      <c r="J26" s="441">
        <f t="shared" si="10"/>
        <v>0.59293912912239177</v>
      </c>
      <c r="K26" s="441">
        <f t="shared" si="11"/>
        <v>0</v>
      </c>
      <c r="L26" s="441">
        <f t="shared" si="12"/>
        <v>0</v>
      </c>
      <c r="M26" s="441">
        <f t="shared" si="13"/>
        <v>0</v>
      </c>
      <c r="N26" s="441">
        <f t="shared" si="14"/>
        <v>0</v>
      </c>
      <c r="O26" s="441">
        <f t="shared" si="15"/>
        <v>0</v>
      </c>
      <c r="P26" s="442">
        <f t="shared" si="16"/>
        <v>0</v>
      </c>
      <c r="Q26" s="440">
        <f t="shared" ca="1" si="17"/>
        <v>1062.3585537099573</v>
      </c>
    </row>
    <row r="27" spans="1:17" s="446" customFormat="1">
      <c r="A27" s="444" t="s">
        <v>545</v>
      </c>
      <c r="B27" s="708">
        <f t="shared" ca="1" si="2"/>
        <v>5.3023548491853276</v>
      </c>
      <c r="C27" s="445">
        <f t="shared" ca="1" si="3"/>
        <v>0</v>
      </c>
      <c r="D27" s="445">
        <f t="shared" si="4"/>
        <v>8.7907615255288984</v>
      </c>
      <c r="E27" s="445">
        <f t="shared" si="5"/>
        <v>16.961867514662448</v>
      </c>
      <c r="F27" s="445">
        <f t="shared" si="6"/>
        <v>0</v>
      </c>
      <c r="G27" s="445">
        <f t="shared" si="7"/>
        <v>9403.8374865460592</v>
      </c>
      <c r="H27" s="445">
        <f t="shared" si="8"/>
        <v>1867.1326971762908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11302.025167611726</v>
      </c>
    </row>
    <row r="28" spans="1:17">
      <c r="A28" s="440" t="s">
        <v>535</v>
      </c>
      <c r="B28" s="441">
        <f t="shared" ca="1" si="2"/>
        <v>1.4156635517314351</v>
      </c>
      <c r="C28" s="441">
        <f t="shared" ca="1" si="3"/>
        <v>0</v>
      </c>
      <c r="D28" s="441">
        <f t="shared" si="4"/>
        <v>0</v>
      </c>
      <c r="E28" s="441">
        <f t="shared" si="5"/>
        <v>0</v>
      </c>
      <c r="F28" s="441">
        <f t="shared" si="6"/>
        <v>0</v>
      </c>
      <c r="G28" s="441">
        <f t="shared" si="7"/>
        <v>164.89979139229445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166.31545494402587</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203.15876703800444</v>
      </c>
      <c r="C32" s="441">
        <f t="shared" ca="1" si="3"/>
        <v>0</v>
      </c>
      <c r="D32" s="441">
        <f t="shared" si="4"/>
        <v>241.91447707603498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445.07324411403943</v>
      </c>
    </row>
    <row r="33" spans="1:17" s="450" customFormat="1">
      <c r="A33" s="957" t="s">
        <v>539</v>
      </c>
      <c r="B33" s="905">
        <f ca="1">SUM(B22:B32)</f>
        <v>8924.0827624741851</v>
      </c>
      <c r="C33" s="905">
        <f t="shared" ref="C33:Q33" ca="1" si="18">SUM(C22:C32)</f>
        <v>0</v>
      </c>
      <c r="D33" s="905">
        <f t="shared" ca="1" si="18"/>
        <v>9783.5438105580433</v>
      </c>
      <c r="E33" s="905">
        <f t="shared" si="18"/>
        <v>368.17320217213796</v>
      </c>
      <c r="F33" s="905">
        <f t="shared" ca="1" si="18"/>
        <v>9270.270398433413</v>
      </c>
      <c r="G33" s="905">
        <f t="shared" si="18"/>
        <v>9568.7372779383531</v>
      </c>
      <c r="H33" s="905">
        <f t="shared" si="18"/>
        <v>1867.1326971762908</v>
      </c>
      <c r="I33" s="905">
        <f t="shared" si="18"/>
        <v>0</v>
      </c>
      <c r="J33" s="905">
        <f t="shared" si="18"/>
        <v>74.938633286184114</v>
      </c>
      <c r="K33" s="905">
        <f t="shared" si="18"/>
        <v>0</v>
      </c>
      <c r="L33" s="905">
        <f t="shared" ca="1" si="18"/>
        <v>0</v>
      </c>
      <c r="M33" s="905">
        <f t="shared" si="18"/>
        <v>0</v>
      </c>
      <c r="N33" s="905">
        <f t="shared" ca="1" si="18"/>
        <v>0</v>
      </c>
      <c r="O33" s="905">
        <f t="shared" si="18"/>
        <v>0</v>
      </c>
      <c r="P33" s="905">
        <f t="shared" si="18"/>
        <v>0</v>
      </c>
      <c r="Q33" s="905">
        <f t="shared" ca="1" si="18"/>
        <v>39856.878782038606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1063.5170709575632</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1063.5170709575632</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0.21532879610014252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0.21532879610014252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2022-07-26T10:49:14Z</dcterms:modified>
</cp:coreProperties>
</file>