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FE2D897-9E94-40F6-AE79-70D5FF457D4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Q38" i="18"/>
  <c r="R38" i="18"/>
  <c r="J9" i="18"/>
  <c r="J77" i="14"/>
  <c r="J9" i="61"/>
  <c r="U38" i="18"/>
  <c r="T38" i="18"/>
  <c r="I9" i="18"/>
  <c r="S38" i="18"/>
  <c r="E9" i="18"/>
  <c r="P38" i="18"/>
  <c r="C9" i="18"/>
  <c r="O38" i="18"/>
  <c r="N38" i="18"/>
  <c r="B9" i="18"/>
  <c r="M38" i="18"/>
  <c r="W34" i="18"/>
  <c r="V34" i="18"/>
  <c r="U34" i="18"/>
  <c r="T34" i="18"/>
  <c r="S34" i="18"/>
  <c r="R34" i="18"/>
  <c r="Q34" i="18"/>
  <c r="P34" i="18"/>
  <c r="O34" i="18"/>
  <c r="N34" i="18"/>
  <c r="M34" i="18"/>
  <c r="W33" i="18"/>
  <c r="V33" i="18"/>
  <c r="U33" i="18"/>
  <c r="T33" i="18"/>
  <c r="S33" i="18"/>
  <c r="F13" i="15"/>
  <c r="R33" i="18"/>
  <c r="Q33" i="18"/>
  <c r="P33" i="18"/>
  <c r="D13" i="15"/>
  <c r="O33" i="18"/>
  <c r="C13" i="15"/>
  <c r="N33" i="18"/>
  <c r="M33" i="18"/>
  <c r="W32" i="18"/>
  <c r="V32" i="18"/>
  <c r="U32" i="18"/>
  <c r="T32" i="18"/>
  <c r="S32" i="18"/>
  <c r="R32" i="18"/>
  <c r="Q32" i="18"/>
  <c r="P32" i="18"/>
  <c r="O32" i="18"/>
  <c r="N32" i="18"/>
  <c r="M32" i="18"/>
  <c r="W31" i="18"/>
  <c r="V31" i="18"/>
  <c r="U31" i="18"/>
  <c r="T31" i="18"/>
  <c r="S31" i="18"/>
  <c r="R31" i="18"/>
  <c r="Q31" i="18"/>
  <c r="P31" i="18"/>
  <c r="O31" i="18"/>
  <c r="N31" i="18"/>
  <c r="B47" i="18"/>
  <c r="M3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7"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0" i="18"/>
  <c r="H8" i="18"/>
  <c r="E50" i="18"/>
  <c r="E8" i="18"/>
  <c r="G50" i="18"/>
  <c r="F50" i="18"/>
  <c r="H50" i="18"/>
  <c r="D50" i="18"/>
  <c r="C50" i="18"/>
  <c r="B50" i="18"/>
  <c r="C8" i="18"/>
  <c r="I51" i="18"/>
  <c r="H17" i="18"/>
  <c r="E51" i="18"/>
  <c r="E17" i="18"/>
  <c r="C51" i="18"/>
  <c r="B51" i="18"/>
  <c r="C17" i="18"/>
  <c r="H51" i="18"/>
  <c r="D51" i="18"/>
  <c r="G51" i="18"/>
  <c r="F51"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<sst xmlns="http://schemas.openxmlformats.org/spreadsheetml/2006/main" count="2412" uniqueCount="881">
  <si>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</si>
  <si>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</si>
  <si>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</si>
  <si>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</si>
  <si>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</si>
  <si>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</si>
  <si>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</si>
  <si>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</si>
  <si>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</si>
  <si>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</si>
  <si>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</si>
  <si>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</si>
  <si>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</si>
  <si>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</si>
  <si>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</si>
  <si>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</si>
  <si>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</si>
  <si>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</si>
  <si>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</si>
  <si>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</si>
  <si>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</si>
  <si>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</si>
  <si>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</si>
  <si>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</si>
  <si>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</si>
  <si>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</si>
  <si>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</si>
  <si>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</si>
  <si>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</si>
  <si>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</si>
  <si>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</si>
  <si>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</si>
  <si>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</si>
  <si>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</si>
  <si>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</si>
  <si>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</si>
  <si>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</si>
  <si>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</si>
  <si>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</si>
  <si>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</si>
  <si>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</si>
  <si>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</si>
  <si>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</si>
  <si>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</si>
  <si>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</si>
  <si>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</si>
  <si>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</si>
  <si>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</si>
  <si>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</si>
  <si>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</si>
  <si>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</si>
  <si>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</si>
  <si>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</si>
  <si>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</si>
  <si>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</si>
  <si>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</si>
  <si>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</si>
  <si>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</si>
  <si>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</si>
  <si>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</si>
  <si>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</si>
  <si>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</si>
  <si>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</si>
  <si>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</si>
  <si>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</si>
  <si>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</si>
  <si>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</si>
  <si>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</si>
  <si>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</si>
  <si>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</si>
  <si>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</si>
  <si>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</si>
  <si>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</si>
  <si>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</si>
  <si>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</si>
  <si>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</si>
  <si>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</si>
  <si>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</si>
  <si>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</si>
  <si>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</si>
  <si>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</si>
  <si>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</si>
  <si>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</si>
  <si>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</si>
  <si>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</si>
  <si>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</si>
  <si>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</si>
  <si>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</si>
  <si>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</si>
  <si>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</si>
  <si>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</si>
  <si>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</si>
  <si>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</si>
  <si>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</si>
  <si>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</si>
  <si>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</si>
  <si>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</si>
  <si>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</si>
  <si>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</si>
  <si>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</si>
  <si>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</si>
  <si>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</si>
  <si>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</si>
  <si>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</si>
  <si>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</si>
  <si>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</si>
  <si>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</si>
  <si>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</si>
  <si>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</si>
  <si>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</si>
  <si>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</si>
  <si>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</si>
  <si>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</si>
  <si>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</si>
  <si>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</si>
  <si>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</si>
  <si>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</si>
  <si>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</si>
  <si>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</si>
  <si>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</si>
  <si>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</si>
  <si>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</si>
  <si>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</si>
  <si>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</si>
  <si>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</si>
  <si>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</si>
  <si>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</si>
  <si>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</si>
  <si>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</si>
  <si>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</si>
  <si>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</si>
  <si>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</si>
  <si>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</si>
  <si>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</si>
  <si>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</si>
  <si>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</si>
  <si>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</si>
  <si>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</si>
  <si>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</si>
  <si>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</si>
  <si>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</si>
  <si>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</si>
  <si>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</si>
  <si>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</si>
  <si>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</si>
  <si>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</si>
  <si>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</si>
  <si>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</si>
  <si>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</si>
  <si>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</si>
  <si>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</si>
  <si>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</si>
  <si>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</si>
  <si>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</si>
  <si>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</si>
  <si>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</si>
  <si>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</si>
  <si>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</si>
  <si>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</si>
  <si>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</si>
  <si>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</si>
  <si>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</si>
  <si>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</si>
  <si>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</si>
  <si>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</si>
  <si>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</si>
  <si>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</si>
  <si>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</si>
  <si>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</si>
  <si>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</si>
  <si>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</si>
  <si>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</si>
  <si>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</si>
  <si>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</si>
  <si>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</si>
  <si>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</si>
  <si>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</si>
  <si>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</si>
  <si>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</si>
  <si>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</si>
  <si>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</si>
  <si>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</si>
  <si>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</si>
  <si>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</si>
  <si>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</si>
  <si>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</si>
  <si>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</si>
  <si>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</si>
  <si>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</si>
  <si>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</si>
  <si>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</si>
  <si>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</si>
  <si>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</si>
  <si>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</si>
  <si>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</si>
  <si>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</si>
  <si>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</si>
  <si>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</si>
  <si>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</si>
  <si>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</si>
  <si>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</si>
  <si>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</si>
  <si>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</si>
  <si>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</si>
  <si>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</si>
  <si>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</si>
  <si>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</si>
  <si>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</si>
  <si>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</si>
  <si>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</si>
  <si>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</si>
  <si>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</si>
  <si>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</si>
  <si>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</si>
  <si>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</si>
  <si>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</si>
  <si>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</si>
  <si>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</si>
  <si>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</si>
  <si>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</si>
  <si>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</si>
  <si>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</si>
  <si>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</si>
  <si>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</si>
  <si>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</si>
  <si>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</si>
  <si>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</si>
  <si>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</si>
  <si>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</si>
  <si>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</si>
  <si>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</si>
  <si>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</si>
  <si>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</si>
  <si>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</si>
  <si>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</si>
  <si>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</si>
  <si>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</si>
  <si>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</si>
  <si>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</si>
  <si>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</si>
  <si>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</si>
  <si>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</si>
  <si>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</si>
  <si>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</si>
  <si>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</si>
  <si>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</si>
  <si>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</si>
  <si>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</si>
  <si>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</si>
  <si>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</si>
  <si>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</si>
  <si>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</si>
  <si>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</si>
  <si>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</si>
  <si>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</si>
  <si>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</si>
  <si>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</si>
  <si>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</si>
  <si>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</si>
  <si>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</si>
  <si>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</si>
  <si>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</si>
  <si>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</si>
  <si>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</si>
  <si>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</si>
  <si>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</si>
  <si>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</si>
  <si>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</si>
  <si>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</si>
  <si>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</si>
  <si>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</si>
  <si>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</si>
  <si>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</si>
  <si>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</si>
  <si>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</si>
  <si>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</si>
  <si>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</si>
  <si>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</si>
  <si>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</si>
  <si>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</si>
  <si>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</si>
  <si>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</si>
  <si>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</si>
  <si>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</si>
  <si>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</si>
  <si>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</si>
  <si>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</si>
  <si>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</si>
  <si>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</si>
  <si>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</si>
  <si>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</si>
  <si>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</si>
  <si>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</si>
  <si>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</si>
  <si>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</si>
  <si>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</si>
  <si>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</si>
  <si>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</si>
  <si>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</si>
  <si>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</si>
  <si>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</si>
  <si>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</si>
  <si>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</si>
  <si>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</si>
  <si>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</si>
  <si>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</si>
  <si>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</si>
  <si>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</si>
  <si>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</si>
  <si>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</si>
  <si>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</si>
  <si>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</si>
  <si>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</si>
  <si>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</si>
  <si>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</si>
  <si>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</si>
  <si>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</si>
  <si>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</si>
  <si>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</si>
  <si>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</si>
  <si>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</si>
  <si>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</si>
  <si>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</si>
  <si>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</si>
  <si>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</si>
  <si>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</si>
  <si>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</si>
  <si>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</si>
  <si>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</si>
  <si>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</si>
  <si>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</si>
  <si>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</si>
  <si>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</si>
  <si>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</si>
  <si>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</si>
  <si>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</si>
  <si>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</si>
  <si>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</si>
  <si>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</si>
  <si>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</si>
  <si>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</si>
  <si>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</si>
  <si>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</si>
  <si>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</si>
  <si>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</si>
  <si>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</si>
  <si>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</si>
  <si>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</si>
  <si>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</si>
  <si>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</si>
  <si>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</si>
  <si>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</si>
  <si>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</si>
  <si>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</si>
  <si>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</si>
  <si>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</si>
  <si>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</si>
  <si>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</si>
  <si>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</si>
  <si>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</si>
  <si>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</si>
  <si>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</si>
  <si>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</si>
  <si>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</si>
  <si>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</si>
  <si>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</si>
  <si>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</si>
  <si>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</si>
  <si>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</si>
  <si>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</si>
  <si>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</si>
  <si>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</si>
  <si>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</si>
  <si>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</si>
  <si>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</si>
  <si>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</si>
  <si>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</si>
  <si>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</si>
  <si>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</si>
  <si>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</si>
  <si>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</si>
  <si>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</si>
  <si>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</si>
  <si>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</si>
  <si>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</si>
  <si>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</si>
  <si>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</si>
  <si>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</si>
  <si>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</si>
  <si>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</si>
  <si>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</si>
  <si>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</si>
  <si>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</si>
  <si>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</si>
  <si>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</si>
  <si>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</si>
  <si>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</si>
  <si>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</si>
  <si>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</si>
  <si>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</si>
  <si>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</si>
  <si>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</si>
  <si>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</si>
  <si>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</si>
  <si>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</si>
  <si>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</si>
  <si>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</si>
  <si>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</si>
  <si>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</si>
  <si>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</si>
  <si>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</si>
  <si>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</si>
  <si>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</si>
  <si>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</si>
  <si>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</si>
  <si>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</si>
  <si>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</si>
  <si>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</si>
  <si>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</si>
  <si>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</si>
  <si>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</si>
  <si>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</si>
  <si>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</si>
  <si>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</si>
  <si>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</si>
  <si>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</si>
  <si>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</si>
  <si>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</si>
  <si>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</si>
  <si>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</si>
  <si>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</si>
  <si>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</si>
  <si>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</si>
  <si>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</si>
  <si>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</si>
  <si>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</si>
  <si>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</si>
  <si>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</si>
  <si>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</si>
  <si>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</si>
  <si>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</si>
  <si>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</si>
  <si>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</si>
  <si>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</si>
  <si>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</si>
  <si>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</si>
  <si>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</si>
  <si>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</si>
  <si>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</si>
  <si>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</si>
  <si>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</si>
  <si>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</si>
  <si>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</si>
  <si>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</si>
  <si>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</si>
  <si>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</si>
  <si>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</si>
  <si>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</si>
  <si>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</si>
  <si>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</si>
  <si>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</si>
  <si>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</si>
  <si>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</si>
  <si>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</si>
  <si>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</si>
  <si>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</si>
  <si>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</si>
  <si>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</si>
  <si>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</si>
  <si>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</si>
  <si>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</si>
  <si>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</si>
  <si>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</si>
  <si>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</si>
  <si>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</si>
  <si>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</si>
  <si>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</si>
  <si>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</si>
  <si>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</si>
  <si>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</si>
  <si>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</si>
  <si>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</si>
  <si>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</si>
  <si>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</si>
  <si>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</si>
  <si>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</si>
  <si>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</si>
  <si>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</si>
  <si>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</si>
  <si>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</si>
  <si>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</si>
  <si>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</si>
  <si>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</si>
  <si>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</si>
  <si>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</si>
  <si>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</si>
  <si>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</si>
  <si>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</si>
  <si>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</si>
  <si>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</si>
  <si>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</si>
  <si>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</si>
  <si>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</si>
  <si>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</si>
  <si>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</si>
  <si>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</si>
  <si>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</si>
  <si>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</si>
  <si>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</si>
  <si>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</si>
  <si>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</si>
  <si>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</si>
  <si>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</si>
  <si>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</si>
  <si>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</si>
  <si>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</si>
  <si>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</si>
  <si>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</si>
  <si>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</si>
  <si>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</si>
  <si>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</si>
  <si>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</si>
  <si>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</si>
  <si>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</si>
  <si>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</si>
  <si>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</si>
  <si>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</si>
  <si>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</si>
  <si>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</si>
  <si>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</si>
  <si>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</si>
  <si>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</si>
  <si>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</si>
  <si>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</si>
  <si>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</si>
  <si>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</si>
  <si>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</si>
  <si>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</si>
  <si>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</si>
  <si>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</si>
  <si>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</si>
  <si>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</si>
  <si>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</si>
  <si>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</si>
  <si>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</si>
  <si>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</si>
  <si>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</si>
  <si>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</si>
  <si>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</si>
  <si>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</si>
  <si>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</si>
  <si>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</si>
  <si>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</si>
  <si>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</si>
  <si>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</si>
  <si>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</si>
  <si>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</si>
  <si>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</si>
  <si>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</si>
  <si>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</si>
  <si>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</si>
  <si>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</si>
  <si>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</si>
  <si>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</si>
  <si>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</si>
  <si>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</si>
  <si>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</si>
  <si>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</si>
  <si>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</si>
  <si>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</si>
  <si>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</si>
  <si>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</si>
  <si>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</si>
  <si>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</si>
  <si>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</si>
  <si>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</si>
  <si>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</si>
  <si>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</si>
  <si>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</si>
  <si>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</si>
  <si>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</si>
  <si>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</si>
  <si>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</si>
  <si>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</si>
  <si>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</si>
  <si>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</si>
  <si>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</si>
  <si>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</si>
  <si>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</si>
  <si>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</si>
  <si>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</si>
  <si>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</si>
  <si>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</si>
  <si>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</si>
  <si>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</si>
  <si>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</si>
  <si>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</si>
  <si>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</si>
  <si>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</si>
  <si>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</si>
  <si>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</si>
  <si>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</si>
  <si>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</si>
  <si>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</si>
  <si>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</si>
  <si>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</si>
  <si>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</si>
  <si>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</si>
  <si>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</si>
  <si>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</si>
  <si>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</si>
  <si>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</si>
  <si>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</si>
  <si>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</si>
  <si>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</si>
  <si>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</si>
  <si>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</si>
  <si>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</si>
  <si>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</si>
  <si>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</si>
  <si>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</si>
  <si>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</si>
  <si>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</si>
  <si>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</si>
  <si>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</si>
  <si>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</si>
  <si>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</si>
  <si>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</si>
  <si>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</si>
  <si>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</si>
  <si>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</si>
  <si>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</si>
  <si>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</si>
  <si>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</si>
  <si>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</si>
  <si>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</si>
  <si>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</si>
  <si>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</si>
  <si>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</si>
  <si>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</si>
  <si>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</si>
  <si>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</si>
  <si>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</si>
  <si>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</si>
  <si>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</si>
  <si>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</si>
  <si>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</si>
  <si>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</si>
  <si>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</si>
  <si>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</si>
  <si>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</si>
  <si>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</si>
  <si>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</si>
  <si>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</si>
  <si>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</si>
  <si>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</si>
  <si>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</si>
  <si>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</si>
  <si>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</si>
  <si>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</si>
  <si>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</si>
  <si>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</si>
  <si>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</si>
  <si>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</si>
  <si>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</si>
  <si>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</si>
  <si>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</si>
  <si>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</si>
  <si>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</si>
  <si>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</si>
  <si>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</si>
  <si>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</si>
  <si>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</si>
  <si>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</si>
  <si>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</si>
  <si>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</si>
  <si>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</si>
  <si>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</si>
  <si>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</si>
  <si>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</si>
  <si>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</si>
  <si>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</si>
  <si>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</si>
  <si>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</si>
  <si>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</si>
  <si>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</si>
  <si>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</si>
  <si>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</si>
  <si>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</si>
  <si>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</si>
  <si>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</si>
  <si>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</si>
  <si>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</si>
  <si>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</si>
  <si>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</si>
  <si>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</si>
  <si>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</si>
  <si>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</si>
  <si>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</si>
  <si>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</si>
  <si>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</si>
  <si>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</si>
  <si>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</si>
  <si>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</si>
  <si>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</si>
  <si>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</si>
  <si>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</si>
  <si>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</si>
  <si>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</si>
  <si>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</si>
  <si>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</si>
  <si>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</si>
  <si>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</si>
  <si>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</si>
  <si>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</si>
  <si>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</si>
  <si>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</si>
  <si>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</si>
  <si>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</si>
  <si>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</si>
  <si>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</si>
  <si>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</si>
  <si>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</si>
  <si>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</si>
  <si>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</si>
  <si>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</si>
  <si>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</si>
  <si>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</si>
  <si>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</si>
  <si>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</si>
  <si>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</si>
  <si>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</si>
  <si>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</si>
  <si>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</si>
  <si>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</si>
  <si>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</si>
  <si>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</si>
  <si>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</si>
  <si>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</si>
  <si>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</si>
  <si>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</si>
  <si>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</si>
  <si>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</si>
  <si>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</si>
  <si>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</si>
  <si>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</si>
  <si>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</si>
  <si>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</si>
  <si>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</si>
  <si>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</si>
  <si>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</si>
  <si>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</si>
  <si>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</si>
  <si>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</si>
  <si>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</si>
  <si>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</si>
  <si>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</si>
  <si>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</si>
  <si>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</si>
  <si>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</si>
  <si>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</si>
  <si>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</si>
  <si>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</si>
  <si>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</si>
  <si>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</si>
  <si>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</si>
  <si>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</si>
  <si>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</si>
  <si>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</si>
  <si>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</si>
  <si>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</si>
  <si>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</si>
  <si>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</si>
  <si>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</si>
  <si>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</si>
  <si>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</si>
  <si>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</si>
  <si>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</si>
  <si>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</si>
  <si>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</si>
  <si>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</si>
  <si>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</si>
  <si>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</si>
  <si>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</si>
  <si>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</si>
  <si>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</si>
  <si>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</si>
  <si>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</si>
  <si>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</si>
  <si>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</si>
  <si>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</si>
  <si>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</si>
  <si>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</si>
  <si>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</si>
  <si>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</si>
  <si>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</si>
  <si>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</si>
  <si>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</si>
  <si>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</si>
  <si>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</si>
  <si>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</si>
  <si>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</si>
  <si>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</si>
  <si>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</si>
  <si>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</si>
  <si>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</si>
  <si>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</si>
  <si>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</si>
  <si>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</si>
  <si>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</si>
  <si>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</si>
  <si>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</si>
  <si>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</si>
  <si>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</si>
  <si>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</si>
  <si>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</si>
  <si>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</si>
  <si>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</si>
  <si>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</si>
  <si>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</si>
  <si>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</si>
  <si>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</si>
  <si>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</si>
  <si>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</si>
  <si>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</si>
  <si>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</si>
  <si>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</si>
  <si>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</si>
  <si>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</si>
  <si>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</si>
  <si>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</si>
  <si>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</si>
  <si>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</si>
  <si>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</si>
  <si>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</si>
  <si>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</si>
  <si>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</si>
  <si>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</si>
  <si>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</si>
  <si>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</si>
  <si>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</si>
  <si>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</si>
  <si>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</si>
  <si>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</si>
  <si>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</si>
  <si>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</si>
  <si>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</si>
  <si>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</si>
  <si>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</si>
  <si>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</si>
  <si>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</si>
  <si>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</si>
  <si>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</si>
  <si>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</si>
  <si>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</si>
  <si>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</si>
  <si>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</si>
  <si>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</si>
  <si>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</si>
  <si>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</si>
  <si>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</si>
  <si>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</si>
  <si>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</si>
  <si>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</si>
  <si>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</si>
  <si>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</si>
  <si>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</si>
  <si>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</si>
  <si>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</si>
  <si>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</si>
  <si>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</si>
  <si>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</si>
  <si>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</si>
  <si>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</si>
  <si>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</si>
  <si>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43002</t>
  </si>
  <si>
    <t>ASSENEDE</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</si>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</sst>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00A4D272-3B95-4CEF-88DA-0A50D399EF7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125170.50578910558</c:v>
                </c:pt>
                <c:pt idx="1">
                  <c:v>20811.57747367979</c:v>
                </c:pt>
                <c:pt idx="2">
                  <c:v>1022.98</c:v>
                </c:pt>
                <c:pt idx="3">
                  <c:v>45607.718386739885</c:v>
                </c:pt>
                <c:pt idx="4">
                  <c:v>8837.6381353330726</c:v>
                </c:pt>
                <c:pt idx="5">
                  <c:v>92145.101784398081</c:v>
                </c:pt>
                <c:pt idx="6">
                  <c:v>1505.9759283797641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125170.50578910558</c:v>
                </c:pt>
                <c:pt idx="1">
                  <c:v>20811.57747367979</c:v>
                </c:pt>
                <c:pt idx="2">
                  <c:v>1022.98</c:v>
                </c:pt>
                <c:pt idx="3">
                  <c:v>45607.718386739885</c:v>
                </c:pt>
                <c:pt idx="4">
                  <c:v>8837.6381353330726</c:v>
                </c:pt>
                <c:pt idx="5">
                  <c:v>92145.101784398081</c:v>
                </c:pt>
                <c:pt idx="6">
                  <c:v>1505.9759283797641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23541.833190407106</c:v>
                </c:pt>
                <c:pt idx="2">
                  <c:v>3342.2704876591429</c:v>
                </c:pt>
                <c:pt idx="3">
                  <c:v>106.60349881847125</c:v>
                </c:pt>
                <c:pt idx="4">
                  <c:v>10711.397872946503</c:v>
                </c:pt>
                <c:pt idx="5">
                  <c:v>1422.1390739295484</c:v>
                </c:pt>
                <c:pt idx="6">
                  <c:v>23050.905546112775</c:v>
                </c:pt>
                <c:pt idx="7">
                  <c:v>377.97607454966459</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23541.833190407106</c:v>
                </c:pt>
                <c:pt idx="2">
                  <c:v>3342.2704876591429</c:v>
                </c:pt>
                <c:pt idx="3">
                  <c:v>106.60349881847125</c:v>
                </c:pt>
                <c:pt idx="4">
                  <c:v>10711.397872946503</c:v>
                </c:pt>
                <c:pt idx="5">
                  <c:v>1422.1390739295484</c:v>
                </c:pt>
                <c:pt idx="6">
                  <c:v>23050.905546112775</c:v>
                </c:pt>
                <c:pt idx="7">
                  <c:v>377.97607454966459</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43002</v>
      </c>
      <c r="B6" s="380"/>
      <c r="C6" s="381"/>
    </row>
    <row r="7" spans="1:7" s="378" customFormat="1" ht="15.75" customHeight="1">
      <c r="A7" s="382" t="str">
        <f>txtMunicipality</f>
        <v>ASSENEDE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0.10420878103039283</v>
      </c>
      <c r="C17" s="488">
        <f ca="1">'EF ele_warmte'!B22</f>
        <v>0.23439895896360519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0.10420878103039283</v>
      </c>
      <c r="C29" s="489">
        <f ca="1">'EF ele_warmte'!B22</f>
        <v>0.23439895896360519</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5971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6795.95</v>
      </c>
      <c r="C14" s="322"/>
      <c r="D14" s="322"/>
      <c r="E14" s="322"/>
      <c r="F14" s="322"/>
    </row>
    <row r="15" spans="1:6">
      <c r="A15" s="1248" t="s">
        <v>177</v>
      </c>
      <c r="B15" s="1249">
        <v>98</v>
      </c>
      <c r="C15" s="322"/>
      <c r="D15" s="322"/>
      <c r="E15" s="322"/>
      <c r="F15" s="322"/>
    </row>
    <row r="16" spans="1:6">
      <c r="A16" s="1248" t="s">
        <v>6</v>
      </c>
      <c r="B16" s="1249">
        <v>3875</v>
      </c>
      <c r="C16" s="322"/>
      <c r="D16" s="322"/>
      <c r="E16" s="322"/>
      <c r="F16" s="322"/>
    </row>
    <row r="17" spans="1:6">
      <c r="A17" s="1248" t="s">
        <v>7</v>
      </c>
      <c r="B17" s="1249">
        <v>2212</v>
      </c>
      <c r="C17" s="322"/>
      <c r="D17" s="322"/>
      <c r="E17" s="322"/>
      <c r="F17" s="322"/>
    </row>
    <row r="18" spans="1:6">
      <c r="A18" s="1248" t="s">
        <v>8</v>
      </c>
      <c r="B18" s="1249">
        <v>4016</v>
      </c>
      <c r="C18" s="322"/>
      <c r="D18" s="322"/>
      <c r="E18" s="322"/>
      <c r="F18" s="322"/>
    </row>
    <row r="19" spans="1:6">
      <c r="A19" s="1248" t="s">
        <v>9</v>
      </c>
      <c r="B19" s="1249">
        <v>3532</v>
      </c>
      <c r="C19" s="322"/>
      <c r="D19" s="322"/>
      <c r="E19" s="322"/>
      <c r="F19" s="322"/>
    </row>
    <row r="20" spans="1:6">
      <c r="A20" s="1248" t="s">
        <v>10</v>
      </c>
      <c r="B20" s="1249">
        <v>2086</v>
      </c>
      <c r="C20" s="322"/>
      <c r="D20" s="322"/>
      <c r="E20" s="322"/>
      <c r="F20" s="322"/>
    </row>
    <row r="21" spans="1:6">
      <c r="A21" s="1248" t="s">
        <v>11</v>
      </c>
      <c r="B21" s="1249">
        <v>21145</v>
      </c>
      <c r="C21" s="322"/>
      <c r="D21" s="322"/>
      <c r="E21" s="322"/>
      <c r="F21" s="322"/>
    </row>
    <row r="22" spans="1:6">
      <c r="A22" s="1248" t="s">
        <v>12</v>
      </c>
      <c r="B22" s="1249">
        <v>36187</v>
      </c>
      <c r="C22" s="322"/>
      <c r="D22" s="322"/>
      <c r="E22" s="322"/>
      <c r="F22" s="322"/>
    </row>
    <row r="23" spans="1:6">
      <c r="A23" s="1248" t="s">
        <v>13</v>
      </c>
      <c r="B23" s="1249">
        <v>901</v>
      </c>
      <c r="C23" s="322"/>
      <c r="D23" s="322"/>
      <c r="E23" s="322"/>
      <c r="F23" s="322"/>
    </row>
    <row r="24" spans="1:6">
      <c r="A24" s="1248" t="s">
        <v>14</v>
      </c>
      <c r="B24" s="1249">
        <v>38</v>
      </c>
      <c r="C24" s="322"/>
      <c r="D24" s="322"/>
      <c r="E24" s="322"/>
      <c r="F24" s="322"/>
    </row>
    <row r="25" spans="1:6">
      <c r="A25" s="1248" t="s">
        <v>15</v>
      </c>
      <c r="B25" s="1249">
        <v>4910</v>
      </c>
      <c r="C25" s="322"/>
      <c r="D25" s="322"/>
      <c r="E25" s="322"/>
      <c r="F25" s="322"/>
    </row>
    <row r="26" spans="1:6">
      <c r="A26" s="1248" t="s">
        <v>16</v>
      </c>
      <c r="B26" s="1249">
        <v>145</v>
      </c>
      <c r="C26" s="322"/>
      <c r="D26" s="322"/>
      <c r="E26" s="322"/>
      <c r="F26" s="322"/>
    </row>
    <row r="27" spans="1:6">
      <c r="A27" s="1248" t="s">
        <v>17</v>
      </c>
      <c r="B27" s="1249">
        <v>1771</v>
      </c>
      <c r="C27" s="322"/>
      <c r="D27" s="322"/>
      <c r="E27" s="322"/>
      <c r="F27" s="322"/>
    </row>
    <row r="28" spans="1:6">
      <c r="A28" s="1248" t="s">
        <v>18</v>
      </c>
      <c r="B28" s="1250">
        <v>339002</v>
      </c>
      <c r="C28" s="322"/>
      <c r="D28" s="322"/>
      <c r="E28" s="322"/>
      <c r="F28" s="322"/>
    </row>
    <row r="29" spans="1:6">
      <c r="A29" s="1248" t="s">
        <v>691</v>
      </c>
      <c r="B29" s="1250">
        <v>189</v>
      </c>
      <c r="C29" s="322"/>
      <c r="D29" s="322"/>
      <c r="E29" s="322"/>
      <c r="F29" s="322"/>
    </row>
    <row r="30" spans="1:6">
      <c r="A30" s="1243" t="s">
        <v>692</v>
      </c>
      <c r="B30" s="1251">
        <v>48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6</v>
      </c>
      <c r="F38" s="1249">
        <v>32769.320024949797</v>
      </c>
    </row>
    <row r="39" spans="1:6">
      <c r="A39" s="1248" t="s">
        <v>29</v>
      </c>
      <c r="B39" s="1248" t="s">
        <v>30</v>
      </c>
      <c r="C39" s="1249">
        <v>2771</v>
      </c>
      <c r="D39" s="1249">
        <v>44059857.931278102</v>
      </c>
      <c r="E39" s="1249">
        <v>5606</v>
      </c>
      <c r="F39" s="1249">
        <v>23533475.288249899</v>
      </c>
    </row>
    <row r="40" spans="1:6">
      <c r="A40" s="1248" t="s">
        <v>29</v>
      </c>
      <c r="B40" s="1248" t="s">
        <v>28</v>
      </c>
      <c r="C40" s="1249">
        <v>0</v>
      </c>
      <c r="D40" s="1249">
        <v>0</v>
      </c>
      <c r="E40" s="1249">
        <v>0</v>
      </c>
      <c r="F40" s="1249">
        <v>0</v>
      </c>
    </row>
    <row r="41" spans="1:6">
      <c r="A41" s="1248" t="s">
        <v>31</v>
      </c>
      <c r="B41" s="1248" t="s">
        <v>32</v>
      </c>
      <c r="C41" s="1249">
        <v>32</v>
      </c>
      <c r="D41" s="1249">
        <v>717155.60174360103</v>
      </c>
      <c r="E41" s="1249">
        <v>114</v>
      </c>
      <c r="F41" s="1249">
        <v>701593.68147505401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2859207.7515005101</v>
      </c>
      <c r="E44" s="1249">
        <v>17</v>
      </c>
      <c r="F44" s="1249">
        <v>2643781.8486586502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33</v>
      </c>
      <c r="D48" s="1249">
        <v>494117.27141860698</v>
      </c>
      <c r="E48" s="1249">
        <v>58</v>
      </c>
      <c r="F48" s="1249">
        <v>566403.12031106197</v>
      </c>
    </row>
    <row r="49" spans="1:6">
      <c r="A49" s="1248" t="s">
        <v>31</v>
      </c>
      <c r="B49" s="1248" t="s">
        <v>39</v>
      </c>
      <c r="C49" s="1249">
        <v>0</v>
      </c>
      <c r="D49" s="1249">
        <v>0</v>
      </c>
      <c r="E49" s="1249">
        <v>0</v>
      </c>
      <c r="F49" s="1249">
        <v>0</v>
      </c>
    </row>
    <row r="50" spans="1:6">
      <c r="A50" s="1248" t="s">
        <v>31</v>
      </c>
      <c r="B50" s="1248" t="s">
        <v>40</v>
      </c>
      <c r="C50" s="1249">
        <v>4</v>
      </c>
      <c r="D50" s="1249">
        <v>123349.961555507</v>
      </c>
      <c r="E50" s="1249">
        <v>4</v>
      </c>
      <c r="F50" s="1249">
        <v>174590.58379515499</v>
      </c>
    </row>
    <row r="51" spans="1:6">
      <c r="A51" s="1248" t="s">
        <v>41</v>
      </c>
      <c r="B51" s="1248" t="s">
        <v>42</v>
      </c>
      <c r="C51" s="1249">
        <v>12</v>
      </c>
      <c r="D51" s="1249">
        <v>1000158.76733955</v>
      </c>
      <c r="E51" s="1249">
        <v>265</v>
      </c>
      <c r="F51" s="1249">
        <v>5456379.2628719201</v>
      </c>
    </row>
    <row r="52" spans="1:6">
      <c r="A52" s="1248" t="s">
        <v>41</v>
      </c>
      <c r="B52" s="1248" t="s">
        <v>28</v>
      </c>
      <c r="C52" s="1249">
        <v>12</v>
      </c>
      <c r="D52" s="1249">
        <v>23032746.586657301</v>
      </c>
      <c r="E52" s="1249">
        <v>24</v>
      </c>
      <c r="F52" s="1249">
        <v>1124907.0978218999</v>
      </c>
    </row>
    <row r="53" spans="1:6">
      <c r="A53" s="1248" t="s">
        <v>43</v>
      </c>
      <c r="B53" s="1248" t="s">
        <v>44</v>
      </c>
      <c r="C53" s="1249">
        <v>86</v>
      </c>
      <c r="D53" s="1249">
        <v>2325059.6842784202</v>
      </c>
      <c r="E53" s="1249">
        <v>221</v>
      </c>
      <c r="F53" s="1249">
        <v>782791.69254183304</v>
      </c>
    </row>
    <row r="54" spans="1:6">
      <c r="A54" s="1248" t="s">
        <v>45</v>
      </c>
      <c r="B54" s="1248" t="s">
        <v>46</v>
      </c>
      <c r="C54" s="1249">
        <v>0</v>
      </c>
      <c r="D54" s="1249">
        <v>0</v>
      </c>
      <c r="E54" s="1249">
        <v>4</v>
      </c>
      <c r="F54" s="1249">
        <v>1022980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26</v>
      </c>
      <c r="D57" s="1249">
        <v>1212822.3092715801</v>
      </c>
      <c r="E57" s="1249">
        <v>97</v>
      </c>
      <c r="F57" s="1249">
        <v>879555.19924327102</v>
      </c>
    </row>
    <row r="58" spans="1:6">
      <c r="A58" s="1248" t="s">
        <v>48</v>
      </c>
      <c r="B58" s="1248" t="s">
        <v>50</v>
      </c>
      <c r="C58" s="1249">
        <v>0</v>
      </c>
      <c r="D58" s="1249">
        <v>0</v>
      </c>
      <c r="E58" s="1249">
        <v>8</v>
      </c>
      <c r="F58" s="1249">
        <v>40802.497681534602</v>
      </c>
    </row>
    <row r="59" spans="1:6">
      <c r="A59" s="1248" t="s">
        <v>48</v>
      </c>
      <c r="B59" s="1248" t="s">
        <v>51</v>
      </c>
      <c r="C59" s="1249">
        <v>17</v>
      </c>
      <c r="D59" s="1249">
        <v>635266.912350956</v>
      </c>
      <c r="E59" s="1249">
        <v>88</v>
      </c>
      <c r="F59" s="1249">
        <v>1897909.1903981599</v>
      </c>
    </row>
    <row r="60" spans="1:6">
      <c r="A60" s="1248" t="s">
        <v>48</v>
      </c>
      <c r="B60" s="1248" t="s">
        <v>52</v>
      </c>
      <c r="C60" s="1249">
        <v>25</v>
      </c>
      <c r="D60" s="1249">
        <v>1028467.82530149</v>
      </c>
      <c r="E60" s="1249">
        <v>51</v>
      </c>
      <c r="F60" s="1249">
        <v>673765.86756301799</v>
      </c>
    </row>
    <row r="61" spans="1:6">
      <c r="A61" s="1248" t="s">
        <v>48</v>
      </c>
      <c r="B61" s="1248" t="s">
        <v>53</v>
      </c>
      <c r="C61" s="1249">
        <v>35</v>
      </c>
      <c r="D61" s="1249">
        <v>1183009.0510233601</v>
      </c>
      <c r="E61" s="1249">
        <v>132</v>
      </c>
      <c r="F61" s="1249">
        <v>1360496.3310698001</v>
      </c>
    </row>
    <row r="62" spans="1:6">
      <c r="A62" s="1248" t="s">
        <v>48</v>
      </c>
      <c r="B62" s="1248" t="s">
        <v>54</v>
      </c>
      <c r="C62" s="1249">
        <v>0</v>
      </c>
      <c r="D62" s="1249">
        <v>0</v>
      </c>
      <c r="E62" s="1249">
        <v>0</v>
      </c>
      <c r="F62" s="1249">
        <v>0</v>
      </c>
    </row>
    <row r="63" spans="1:6">
      <c r="A63" s="1248" t="s">
        <v>48</v>
      </c>
      <c r="B63" s="1248" t="s">
        <v>28</v>
      </c>
      <c r="C63" s="1249">
        <v>150</v>
      </c>
      <c r="D63" s="1249">
        <v>6658703.8546677995</v>
      </c>
      <c r="E63" s="1249">
        <v>199</v>
      </c>
      <c r="F63" s="1249">
        <v>3726027.41157238</v>
      </c>
    </row>
    <row r="64" spans="1:6">
      <c r="A64" s="1248" t="s">
        <v>55</v>
      </c>
      <c r="B64" s="1248" t="s">
        <v>56</v>
      </c>
      <c r="C64" s="1249">
        <v>0</v>
      </c>
      <c r="D64" s="1249">
        <v>0</v>
      </c>
      <c r="E64" s="1249">
        <v>0</v>
      </c>
      <c r="F64" s="1249">
        <v>0</v>
      </c>
    </row>
    <row r="65" spans="1:6">
      <c r="A65" s="1248" t="s">
        <v>55</v>
      </c>
      <c r="B65" s="1248" t="s">
        <v>28</v>
      </c>
      <c r="C65" s="1249">
        <v>4</v>
      </c>
      <c r="D65" s="1249">
        <v>60624.672837603503</v>
      </c>
      <c r="E65" s="1249">
        <v>2</v>
      </c>
      <c r="F65" s="1249">
        <v>8701.4924848559003</v>
      </c>
    </row>
    <row r="66" spans="1:6">
      <c r="A66" s="1248" t="s">
        <v>55</v>
      </c>
      <c r="B66" s="1248" t="s">
        <v>57</v>
      </c>
      <c r="C66" s="1249">
        <v>0</v>
      </c>
      <c r="D66" s="1249">
        <v>0</v>
      </c>
      <c r="E66" s="1249">
        <v>7</v>
      </c>
      <c r="F66" s="1249">
        <v>171458.91148729299</v>
      </c>
    </row>
    <row r="67" spans="1:6">
      <c r="A67" s="1248" t="s">
        <v>55</v>
      </c>
      <c r="B67" s="1248" t="s">
        <v>58</v>
      </c>
      <c r="C67" s="1249">
        <v>0</v>
      </c>
      <c r="D67" s="1249">
        <v>0</v>
      </c>
      <c r="E67" s="1249">
        <v>0</v>
      </c>
      <c r="F67" s="1249">
        <v>0</v>
      </c>
    </row>
    <row r="68" spans="1:6">
      <c r="A68" s="1243" t="s">
        <v>55</v>
      </c>
      <c r="B68" s="1243" t="s">
        <v>59</v>
      </c>
      <c r="C68" s="1251">
        <v>3</v>
      </c>
      <c r="D68" s="1251">
        <v>52164.743617036598</v>
      </c>
      <c r="E68" s="1251">
        <v>20</v>
      </c>
      <c r="F68" s="1251">
        <v>143626.674092781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75454976</v>
      </c>
      <c r="E73" s="439"/>
      <c r="F73" s="322"/>
    </row>
    <row r="74" spans="1:6">
      <c r="A74" s="1248" t="s">
        <v>63</v>
      </c>
      <c r="B74" s="1248" t="s">
        <v>617</v>
      </c>
      <c r="C74" s="1261" t="s">
        <v>619</v>
      </c>
      <c r="D74" s="1249">
        <v>7049812.5</v>
      </c>
      <c r="E74" s="439"/>
      <c r="F74" s="322"/>
    </row>
    <row r="75" spans="1:6">
      <c r="A75" s="1248" t="s">
        <v>64</v>
      </c>
      <c r="B75" s="1248" t="s">
        <v>616</v>
      </c>
      <c r="C75" s="1261" t="s">
        <v>620</v>
      </c>
      <c r="D75" s="1249">
        <v>24477348</v>
      </c>
      <c r="E75" s="439"/>
      <c r="F75" s="322"/>
    </row>
    <row r="76" spans="1:6">
      <c r="A76" s="1248" t="s">
        <v>64</v>
      </c>
      <c r="B76" s="1248" t="s">
        <v>617</v>
      </c>
      <c r="C76" s="1261" t="s">
        <v>621</v>
      </c>
      <c r="D76" s="1249">
        <v>1059633.5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409605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20669.377503055584</v>
      </c>
      <c r="C90" s="322"/>
      <c r="D90" s="322"/>
      <c r="E90" s="322"/>
      <c r="F90" s="322"/>
    </row>
    <row r="91" spans="1:6">
      <c r="A91" s="1248" t="s">
        <v>67</v>
      </c>
      <c r="B91" s="1249">
        <v>3588.565480890149</v>
      </c>
      <c r="C91" s="322"/>
      <c r="D91" s="322"/>
      <c r="E91" s="322"/>
      <c r="F91" s="322"/>
    </row>
    <row r="92" spans="1:6">
      <c r="A92" s="1243" t="s">
        <v>68</v>
      </c>
      <c r="B92" s="1244">
        <v>1623.738492336357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1118</v>
      </c>
      <c r="C97" s="322"/>
      <c r="D97" s="322"/>
      <c r="E97" s="322"/>
      <c r="F97" s="322"/>
    </row>
    <row r="98" spans="1:6">
      <c r="A98" s="1248" t="s">
        <v>71</v>
      </c>
      <c r="B98" s="1249">
        <v>0</v>
      </c>
      <c r="C98" s="322"/>
      <c r="D98" s="322"/>
      <c r="E98" s="322"/>
      <c r="F98" s="322"/>
    </row>
    <row r="99" spans="1:6">
      <c r="A99" s="1248" t="s">
        <v>72</v>
      </c>
      <c r="B99" s="1249">
        <v>182</v>
      </c>
      <c r="C99" s="322"/>
      <c r="D99" s="322"/>
      <c r="E99" s="322"/>
      <c r="F99" s="322"/>
    </row>
    <row r="100" spans="1:6">
      <c r="A100" s="1248" t="s">
        <v>73</v>
      </c>
      <c r="B100" s="1249">
        <v>600</v>
      </c>
      <c r="C100" s="322"/>
      <c r="D100" s="322"/>
      <c r="E100" s="322"/>
      <c r="F100" s="322"/>
    </row>
    <row r="101" spans="1:6">
      <c r="A101" s="1248" t="s">
        <v>74</v>
      </c>
      <c r="B101" s="1249">
        <v>133</v>
      </c>
      <c r="C101" s="322"/>
      <c r="D101" s="322"/>
      <c r="E101" s="322"/>
      <c r="F101" s="322"/>
    </row>
    <row r="102" spans="1:6">
      <c r="A102" s="1248" t="s">
        <v>75</v>
      </c>
      <c r="B102" s="1249">
        <v>98</v>
      </c>
      <c r="C102" s="322"/>
      <c r="D102" s="322"/>
      <c r="E102" s="322"/>
      <c r="F102" s="322"/>
    </row>
    <row r="103" spans="1:6">
      <c r="A103" s="1248" t="s">
        <v>76</v>
      </c>
      <c r="B103" s="1249">
        <v>340</v>
      </c>
      <c r="C103" s="322"/>
      <c r="D103" s="322"/>
      <c r="E103" s="322"/>
      <c r="F103" s="322"/>
    </row>
    <row r="104" spans="1:6">
      <c r="A104" s="1248" t="s">
        <v>77</v>
      </c>
      <c r="B104" s="1249">
        <v>2839</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2</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22</v>
      </c>
      <c r="C123" s="1249">
        <v>20</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202</v>
      </c>
      <c r="C129" s="322"/>
      <c r="D129" s="322"/>
      <c r="E129" s="322"/>
      <c r="F129" s="322"/>
    </row>
    <row r="130" spans="1:6">
      <c r="A130" s="1248" t="s">
        <v>283</v>
      </c>
      <c r="B130" s="1249">
        <v>2</v>
      </c>
      <c r="C130" s="322"/>
      <c r="D130" s="322"/>
      <c r="E130" s="322"/>
      <c r="F130" s="322"/>
    </row>
    <row r="131" spans="1:6">
      <c r="A131" s="1248" t="s">
        <v>284</v>
      </c>
      <c r="B131" s="1249">
        <v>0</v>
      </c>
      <c r="C131" s="322"/>
      <c r="D131" s="322"/>
      <c r="E131" s="322"/>
      <c r="F131" s="322"/>
    </row>
    <row r="132" spans="1:6">
      <c r="A132" s="1243" t="s">
        <v>285</v>
      </c>
      <c r="B132" s="1244">
        <v>19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48242.226473689982</v>
      </c>
      <c r="C3" s="43" t="s">
        <v>163</v>
      </c>
      <c r="D3" s="43"/>
      <c r="E3" s="153"/>
      <c r="F3" s="43"/>
      <c r="G3" s="43"/>
      <c r="H3" s="43"/>
      <c r="I3" s="43"/>
      <c r="J3" s="43"/>
      <c r="K3" s="96"/>
    </row>
    <row r="4" spans="1:11">
      <c r="A4" s="348" t="s">
        <v>164</v>
      </c>
      <c r="B4" s="49">
        <f>IF(ISERROR('SEAP template'!B78+'SEAP template'!C78),0,'SEAP template'!B78+'SEAP template'!C78)</f>
        <v>32268.98147628209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1497.1764705882354</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0.10420878103039283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2138.8235294117649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9124.7142857142862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0.23439895896360519</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1022.98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1022.98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0.10420878103039283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106.60349881847125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23533.475288249898</v>
      </c>
      <c r="C5" s="17">
        <f>IF(ISERROR('Eigen informatie GS &amp; warmtenet'!B57),0,'Eigen informatie GS &amp; warmtenet'!B57)</f>
        <v>0</v>
      </c>
      <c r="D5" s="30">
        <f>(SUM(HH_hh_gas_kWh,HH_rest_gas_kWh)/1000)*0.902</f>
        <v>39741.991854012849</v>
      </c>
      <c r="E5" s="17">
        <f>B32*B41</f>
        <v>1964.6260015679097</v>
      </c>
      <c r="F5" s="17">
        <f>B36*B45</f>
        <v>45538.502205486548</v>
      </c>
      <c r="G5" s="18"/>
      <c r="H5" s="17"/>
      <c r="I5" s="17"/>
      <c r="J5" s="17">
        <f>B35*B44+C35*C44</f>
        <v>234.02778832481079</v>
      </c>
      <c r="K5" s="17"/>
      <c r="L5" s="17"/>
      <c r="M5" s="17"/>
      <c r="N5" s="17">
        <f>B34*B43+C34*C43</f>
        <v>9421.4571705734234</v>
      </c>
      <c r="O5" s="17">
        <f>B52*B53*B54</f>
        <v>347.06000000000006</v>
      </c>
      <c r="P5" s="17">
        <f>B60*B61*B62/1000-B60*B61*B62/1000/B63</f>
        <v>800.8</v>
      </c>
    </row>
    <row r="6" spans="1:16">
      <c r="A6" s="16" t="s">
        <v>582</v>
      </c>
      <c r="B6" s="716">
        <f>kWh_PV_kleiner_dan_10kW</f>
        <v>3588.565480890149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27122.040769140047</v>
      </c>
      <c r="C8" s="21">
        <f>C5</f>
        <v>0</v>
      </c>
      <c r="D8" s="21">
        <f>D5</f>
        <v>39741.991854012849</v>
      </c>
      <c r="E8" s="21">
        <f>E5</f>
        <v>1964.6260015679097</v>
      </c>
      <c r="F8" s="21">
        <f>F5</f>
        <v>45538.502205486548</v>
      </c>
      <c r="G8" s="21"/>
      <c r="H8" s="21"/>
      <c r="I8" s="21"/>
      <c r="J8" s="21">
        <f>J5</f>
        <v>234.02778832481079</v>
      </c>
      <c r="K8" s="21"/>
      <c r="L8" s="21">
        <f>L5</f>
        <v>0</v>
      </c>
      <c r="M8" s="21">
        <f>M5</f>
        <v>0</v>
      </c>
      <c r="N8" s="21">
        <f>N5</f>
        <v>9421.4571705734234</v>
      </c>
      <c r="O8" s="21">
        <f>O5</f>
        <v>347.06000000000006</v>
      </c>
      <c r="P8" s="21">
        <f>P5</f>
        <v>800.8</v>
      </c>
    </row>
    <row r="9" spans="1:16">
      <c r="B9" s="19"/>
      <c r="C9" s="19"/>
      <c r="D9" s="253"/>
      <c r="E9" s="19"/>
      <c r="F9" s="19"/>
      <c r="G9" s="19"/>
      <c r="H9" s="19"/>
      <c r="I9" s="19"/>
      <c r="J9" s="19"/>
      <c r="K9" s="19"/>
      <c r="L9" s="19"/>
      <c r="M9" s="19"/>
      <c r="N9" s="19"/>
      <c r="O9" s="19"/>
      <c r="P9" s="19"/>
    </row>
    <row r="10" spans="1:16">
      <c r="A10" s="24" t="s">
        <v>207</v>
      </c>
      <c r="B10" s="25">
        <f ca="1">'EF ele_warmte'!B12</f>
        <v>0.10420878103039283</v>
      </c>
      <c r="C10" s="25">
        <f ca="1">'EF ele_warmte'!B22</f>
        <v>0.23439895896360519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2826.3548076087022</v>
      </c>
      <c r="C12" s="23">
        <f ca="1">C10*C8</f>
        <v>0</v>
      </c>
      <c r="D12" s="23">
        <f>D8*D10</f>
        <v>8027.8823545105961</v>
      </c>
      <c r="E12" s="23">
        <f>E10*E8</f>
        <v>445.97010235591551</v>
      </c>
      <c r="F12" s="23">
        <f>F10*F8</f>
        <v>12158.780088864909</v>
      </c>
      <c r="G12" s="23"/>
      <c r="H12" s="23"/>
      <c r="I12" s="23"/>
      <c r="J12" s="23">
        <f>J10*J8</f>
        <v>82.845837066983009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5971</v>
      </c>
      <c r="C26" s="36"/>
      <c r="D26" s="224"/>
    </row>
    <row r="27" spans="1:5" s="15" customFormat="1">
      <c r="A27" s="226" t="s">
        <v>736</v>
      </c>
      <c r="B27" s="37">
        <f>SUM(HH_hh_gas_aantal,HH_rest_gas_aantal)</f>
        <v>2771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2632.45</v>
      </c>
      <c r="C31" s="34" t="s">
        <v>104</v>
      </c>
      <c r="D31" s="170"/>
    </row>
    <row r="32" spans="1:5">
      <c r="A32" s="167" t="s">
        <v>72</v>
      </c>
      <c r="B32" s="33">
        <f>IF((B21*($B$26-($B$27-0.05*$B$27)-$B$60))&lt;0,0,B21*($B$26-($B$27-0.05*$B$27)-$B$60))</f>
        <v>36.304354769721833</v>
      </c>
      <c r="C32" s="34" t="s">
        <v>104</v>
      </c>
      <c r="D32" s="170"/>
    </row>
    <row r="33" spans="1:6">
      <c r="A33" s="167" t="s">
        <v>73</v>
      </c>
      <c r="B33" s="33">
        <f>IF((B22*($B$26-($B$27-0.05*$B$27)-$B$60))&lt;0,0,B22*($B$26-($B$27-0.05*$B$27)-$B$60))</f>
        <v>754.79802294450644</v>
      </c>
      <c r="C33" s="34" t="s">
        <v>104</v>
      </c>
      <c r="D33" s="170"/>
    </row>
    <row r="34" spans="1:6">
      <c r="A34" s="167" t="s">
        <v>74</v>
      </c>
      <c r="B34" s="33">
        <f>IF((B24*($B$26-($B$27-0.05*$B$27)-$B$60))&lt;0,0,B24*($B$26-($B$27-0.05*$B$27)-$B$60))</f>
        <v>294.59508072373035</v>
      </c>
      <c r="C34" s="33">
        <f>B26*C24</f>
        <v>1057.6112180189718</v>
      </c>
      <c r="D34" s="229"/>
    </row>
    <row r="35" spans="1:6">
      <c r="A35" s="167" t="s">
        <v>76</v>
      </c>
      <c r="B35" s="33">
        <f>IF((B19*($B$26-($B$27-0.05*$B$27)-$B$60))&lt;0,0,B19*($B$26-($B$27-0.05*$B$27)-$B$60))</f>
        <v>27.478481837508934</v>
      </c>
      <c r="C35" s="33">
        <f>B35/2</f>
        <v>13.739240918754467</v>
      </c>
      <c r="D35" s="229"/>
    </row>
    <row r="36" spans="1:6">
      <c r="A36" s="167" t="s">
        <v>77</v>
      </c>
      <c r="B36" s="33">
        <f>IF((B18*($B$26-($B$27-0.05*$B$27)-$B$60))&lt;0,0,B18*($B$26-($B$27-0.05*$B$27)-$B$60))</f>
        <v>2183.3740597245328</v>
      </c>
      <c r="C36" s="34" t="s">
        <v>104</v>
      </c>
      <c r="D36" s="170"/>
    </row>
    <row r="37" spans="1:6">
      <c r="A37" s="167" t="s">
        <v>78</v>
      </c>
      <c r="B37" s="33">
        <f>B60</f>
        <v>42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222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8578.5564975281632</v>
      </c>
      <c r="C5" s="17">
        <f>IF(ISERROR('Eigen informatie GS &amp; warmtenet'!B58),0,'Eigen informatie GS &amp; warmtenet'!B58)</f>
        <v>0</v>
      </c>
      <c r="D5" s="30">
        <f>SUM(D6:D12)</f>
        <v>9667.8794972588985</v>
      </c>
      <c r="E5" s="17">
        <f>SUM(E6:E12)</f>
        <v>121.95033824226104</v>
      </c>
      <c r="F5" s="17">
        <f>SUM(F6:F12)</f>
        <v>1751.719411978781</v>
      </c>
      <c r="G5" s="18"/>
      <c r="H5" s="17"/>
      <c r="I5" s="17"/>
      <c r="J5" s="17">
        <f>SUM(J6:J12)</f>
        <v>1.7242445626569208E-2</v>
      </c>
      <c r="K5" s="17"/>
      <c r="L5" s="17"/>
      <c r="M5" s="17"/>
      <c r="N5" s="17">
        <f>SUM(N6:N12)</f>
        <v>688.32781955939367</v>
      </c>
      <c r="O5" s="17">
        <f>B38*B39*B40</f>
        <v>3.1266666666666669</v>
      </c>
      <c r="P5" s="17">
        <f>B46*B47*B48/1000-B46*B47*B48/1000/B49</f>
        <v>0</v>
      </c>
      <c r="R5" s="32"/>
    </row>
    <row r="6" spans="1:18">
      <c r="A6" s="32" t="s">
        <v>53</v>
      </c>
      <c r="B6" s="37">
        <f>B26</f>
        <v>1360.4963310698001</v>
      </c>
      <c r="C6" s="33"/>
      <c r="D6" s="37">
        <f>IF(ISERROR(TER_kantoor_gas_kWh/1000),0,TER_kantoor_gas_kWh/1000)*0.902</f>
        <v>1067.0741640230708</v>
      </c>
      <c r="E6" s="33">
        <f>$C$26*'E Balans VL '!I12/100/3.6*1000000</f>
        <v>-1.1171445782999015E-4</v>
      </c>
      <c r="F6" s="33">
        <f>$C$26*('E Balans VL '!L12+'E Balans VL '!N12)/100/3.6*1000000</f>
        <v>172.41757821939387</v>
      </c>
      <c r="G6" s="34"/>
      <c r="H6" s="33"/>
      <c r="I6" s="33"/>
      <c r="J6" s="33">
        <f>$C$26*('E Balans VL '!D12+'E Balans VL '!E12)/100/3.6*1000000</f>
        <v>0</v>
      </c>
      <c r="K6" s="33"/>
      <c r="L6" s="33"/>
      <c r="M6" s="33"/>
      <c r="N6" s="33">
        <f>$C$26*'E Balans VL '!Y12/100/3.6*1000000</f>
        <v>1.6687292223830119</v>
      </c>
      <c r="O6" s="33"/>
      <c r="P6" s="33"/>
      <c r="R6" s="32"/>
    </row>
    <row r="7" spans="1:18">
      <c r="A7" s="32" t="s">
        <v>52</v>
      </c>
      <c r="B7" s="37">
        <f t="shared" ref="B7:B12" si="0">B27</f>
        <v>673.76586756301799</v>
      </c>
      <c r="C7" s="33"/>
      <c r="D7" s="37">
        <f>IF(ISERROR(TER_horeca_gas_kWh/1000),0,TER_horeca_gas_kWh/1000)*0.902</f>
        <v>927.67797842194398</v>
      </c>
      <c r="E7" s="33">
        <f>$C$27*'E Balans VL '!I9/100/3.6*1000000</f>
        <v>7.7553751044698442</v>
      </c>
      <c r="F7" s="33">
        <f>$C$27*('E Balans VL '!L9+'E Balans VL '!N9)/100/3.6*1000000</f>
        <v>86.871218415115152</v>
      </c>
      <c r="G7" s="34"/>
      <c r="H7" s="33"/>
      <c r="I7" s="33"/>
      <c r="J7" s="33">
        <f>$C$27*('E Balans VL '!D9+'E Balans VL '!E9)/100/3.6*1000000</f>
        <v>0</v>
      </c>
      <c r="K7" s="33"/>
      <c r="L7" s="33"/>
      <c r="M7" s="33"/>
      <c r="N7" s="33">
        <f>$C$27*'E Balans VL '!Y9/100/3.6*1000000</f>
        <v>7.1114443315935221</v>
      </c>
      <c r="O7" s="33"/>
      <c r="P7" s="33"/>
      <c r="R7" s="32"/>
    </row>
    <row r="8" spans="1:18">
      <c r="A8" s="6" t="s">
        <v>51</v>
      </c>
      <c r="B8" s="37">
        <f t="shared" si="0"/>
        <v>1897.9091903981598</v>
      </c>
      <c r="C8" s="33"/>
      <c r="D8" s="37">
        <f>IF(ISERROR(TER_handel_gas_kWh/1000),0,TER_handel_gas_kWh/1000)*0.902</f>
        <v>573.01075494056226</v>
      </c>
      <c r="E8" s="33">
        <f>$C$28*'E Balans VL '!I13/100/3.6*1000000</f>
        <v>53.548378525792721</v>
      </c>
      <c r="F8" s="33">
        <f>$C$28*('E Balans VL '!L13+'E Balans VL '!N13)/100/3.6*1000000</f>
        <v>190.88897565510155</v>
      </c>
      <c r="G8" s="34"/>
      <c r="H8" s="33"/>
      <c r="I8" s="33"/>
      <c r="J8" s="33">
        <f>$C$28*('E Balans VL '!D13+'E Balans VL '!E13)/100/3.6*1000000</f>
        <v>0</v>
      </c>
      <c r="K8" s="33"/>
      <c r="L8" s="33"/>
      <c r="M8" s="33"/>
      <c r="N8" s="33">
        <f>$C$28*'E Balans VL '!Y13/100/3.6*1000000</f>
        <v>2.6198510500746983</v>
      </c>
      <c r="O8" s="33"/>
      <c r="P8" s="33"/>
      <c r="R8" s="32"/>
    </row>
    <row r="9" spans="1:18">
      <c r="A9" s="32" t="s">
        <v>50</v>
      </c>
      <c r="B9" s="37">
        <f t="shared" si="0"/>
        <v>40.802497681534604</v>
      </c>
      <c r="C9" s="33"/>
      <c r="D9" s="37">
        <f>IF(ISERROR(TER_gezond_gas_kWh/1000),0,TER_gezond_gas_kWh/1000)*0.902</f>
        <v>0</v>
      </c>
      <c r="E9" s="33">
        <f>$C$29*'E Balans VL '!I10/100/3.6*1000000</f>
        <v>8.1510828661779736E-2</v>
      </c>
      <c r="F9" s="33">
        <f>$C$29*('E Balans VL '!L10+'E Balans VL '!N10)/100/3.6*1000000</f>
        <v>3.5751172552159711</v>
      </c>
      <c r="G9" s="34"/>
      <c r="H9" s="33"/>
      <c r="I9" s="33"/>
      <c r="J9" s="33">
        <f>$C$29*('E Balans VL '!D10+'E Balans VL '!E10)/100/3.6*1000000</f>
        <v>0</v>
      </c>
      <c r="K9" s="33"/>
      <c r="L9" s="33"/>
      <c r="M9" s="33"/>
      <c r="N9" s="33">
        <f>$C$29*'E Balans VL '!Y10/100/3.6*1000000</f>
        <v>0.61719642786246698</v>
      </c>
      <c r="O9" s="33"/>
      <c r="P9" s="33"/>
      <c r="R9" s="32"/>
    </row>
    <row r="10" spans="1:18">
      <c r="A10" s="32" t="s">
        <v>49</v>
      </c>
      <c r="B10" s="37">
        <f t="shared" si="0"/>
        <v>879.55519924327098</v>
      </c>
      <c r="C10" s="33"/>
      <c r="D10" s="37">
        <f>IF(ISERROR(TER_ander_gas_kWh/1000),0,TER_ander_gas_kWh/1000)*0.902</f>
        <v>1093.9657229629652</v>
      </c>
      <c r="E10" s="33">
        <f>$C$30*'E Balans VL '!I14/100/3.6*1000000</f>
        <v>12.390810298302638</v>
      </c>
      <c r="F10" s="33">
        <f>$C$30*('E Balans VL '!L14+'E Balans VL '!N14)/100/3.6*1000000</f>
        <v>533.54946051472541</v>
      </c>
      <c r="G10" s="34"/>
      <c r="H10" s="33"/>
      <c r="I10" s="33"/>
      <c r="J10" s="33">
        <f>$C$30*('E Balans VL '!D14+'E Balans VL '!E14)/100/3.6*1000000</f>
        <v>9.6558252526697148E-3</v>
      </c>
      <c r="K10" s="33"/>
      <c r="L10" s="33"/>
      <c r="M10" s="33"/>
      <c r="N10" s="33">
        <f>$C$30*'E Balans VL '!Y14/100/3.6*1000000</f>
        <v>371.99137647403091</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3726.0274115723801</v>
      </c>
      <c r="C12" s="33"/>
      <c r="D12" s="37">
        <f>IF(ISERROR(TER_rest_gas_kWh/1000),0,TER_rest_gas_kWh/1000)*0.902</f>
        <v>6006.1508769103557</v>
      </c>
      <c r="E12" s="33">
        <f>$C$32*'E Balans VL '!I8/100/3.6*1000000</f>
        <v>48.174375199491898</v>
      </c>
      <c r="F12" s="33">
        <f>$C$32*('E Balans VL '!L8+'E Balans VL '!N8)/100/3.6*1000000</f>
        <v>764.4170619192289</v>
      </c>
      <c r="G12" s="34"/>
      <c r="H12" s="33"/>
      <c r="I12" s="33"/>
      <c r="J12" s="33">
        <f>$C$32*('E Balans VL '!D8+'E Balans VL '!E8)/100/3.6*1000000</f>
        <v>7.5866203738994935E-3</v>
      </c>
      <c r="K12" s="33"/>
      <c r="L12" s="33"/>
      <c r="M12" s="33"/>
      <c r="N12" s="33">
        <f>$C$32*'E Balans VL '!Y8/100/3.6*1000000</f>
        <v>304.3192220534491</v>
      </c>
      <c r="O12" s="33"/>
      <c r="P12" s="33"/>
      <c r="R12" s="32"/>
    </row>
    <row r="13" spans="1:18">
      <c r="A13" s="16" t="s">
        <v>473</v>
      </c>
      <c r="B13" s="242">
        <f ca="1">'lokale energieproductie'!N40+'lokale energieproductie'!N33</f>
        <v>0</v>
      </c>
      <c r="C13" s="242">
        <f ca="1">'lokale energieproductie'!O40+'lokale energieproductie'!O33</f>
        <v>0</v>
      </c>
      <c r="D13" s="300">
        <f ca="1">('lokale energieproductie'!P33+'lokale energieproductie'!P40)*(-1)</f>
        <v>0</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8578.5564975281632</v>
      </c>
      <c r="C16" s="21">
        <f t="shared" ca="1" si="1"/>
        <v>0</v>
      </c>
      <c r="D16" s="21">
        <f t="shared" ca="1" si="1"/>
        <v>9667.8794972588985</v>
      </c>
      <c r="E16" s="21">
        <f t="shared" si="1"/>
        <v>121.95033824226104</v>
      </c>
      <c r="F16" s="21">
        <f t="shared" ca="1" si="1"/>
        <v>1751.719411978781</v>
      </c>
      <c r="G16" s="21">
        <f t="shared" si="1"/>
        <v>0</v>
      </c>
      <c r="H16" s="21">
        <f t="shared" si="1"/>
        <v>0</v>
      </c>
      <c r="I16" s="21">
        <f t="shared" si="1"/>
        <v>0</v>
      </c>
      <c r="J16" s="21">
        <f t="shared" si="1"/>
        <v>1.7242445626569208E-2</v>
      </c>
      <c r="K16" s="21">
        <f t="shared" si="1"/>
        <v>0</v>
      </c>
      <c r="L16" s="21">
        <f t="shared" ca="1" si="1"/>
        <v>0</v>
      </c>
      <c r="M16" s="21">
        <f t="shared" si="1"/>
        <v>0</v>
      </c>
      <c r="N16" s="21">
        <f t="shared" ca="1" si="1"/>
        <v>688.32781955939367</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0.10420878103039283</v>
      </c>
      <c r="C18" s="25">
        <f ca="1">'EF ele_warmte'!B22</f>
        <v>0.23439895896360519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893.96091560776597</v>
      </c>
      <c r="C20" s="23">
        <f t="shared" ref="C20:P20" ca="1" si="2">C16*C18</f>
        <v>0</v>
      </c>
      <c r="D20" s="23">
        <f t="shared" ca="1" si="2"/>
        <v>1952.9116584462977</v>
      </c>
      <c r="E20" s="23">
        <f t="shared" si="2"/>
        <v>27.682726780993256</v>
      </c>
      <c r="F20" s="23">
        <f t="shared" ca="1" si="2"/>
        <v>467.70908299833457</v>
      </c>
      <c r="G20" s="23">
        <f t="shared" si="2"/>
        <v>0</v>
      </c>
      <c r="H20" s="23">
        <f t="shared" si="2"/>
        <v>0</v>
      </c>
      <c r="I20" s="23">
        <f t="shared" si="2"/>
        <v>0</v>
      </c>
      <c r="J20" s="23">
        <f t="shared" si="2"/>
        <v>6.1038257518054992E-3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1360.4963310698001</v>
      </c>
      <c r="C26" s="39">
        <f>IF(ISERROR(B26*3.6/1000000/'E Balans VL '!Z12*100),0,B26*3.6/1000000/'E Balans VL '!Z12*100)</f>
        <v>3.6884224743372634E-2</v>
      </c>
      <c r="D26" s="232" t="s">
        <v>700</v>
      </c>
      <c r="F26" s="6"/>
    </row>
    <row r="27" spans="1:18">
      <c r="A27" s="227" t="s">
        <v>52</v>
      </c>
      <c r="B27" s="33">
        <f>IF(ISERROR(TER_horeca_ele_kWh/1000),0,TER_horeca_ele_kWh/1000)</f>
        <v>673.76586756301799</v>
      </c>
      <c r="C27" s="39">
        <f>IF(ISERROR(B27*3.6/1000000/'E Balans VL '!Z9*100),0,B27*3.6/1000000/'E Balans VL '!Z9*100)</f>
        <v>5.2116496623213715E-2</v>
      </c>
      <c r="D27" s="232" t="s">
        <v>700</v>
      </c>
      <c r="F27" s="6"/>
    </row>
    <row r="28" spans="1:18">
      <c r="A28" s="167" t="s">
        <v>51</v>
      </c>
      <c r="B28" s="33">
        <f>IF(ISERROR(TER_handel_ele_kWh/1000),0,TER_handel_ele_kWh/1000)</f>
        <v>1897.9091903981598</v>
      </c>
      <c r="C28" s="39">
        <f>IF(ISERROR(B28*3.6/1000000/'E Balans VL '!Z13*100),0,B28*3.6/1000000/'E Balans VL '!Z13*100)</f>
        <v>5.4892442360916414E-2</v>
      </c>
      <c r="D28" s="232" t="s">
        <v>700</v>
      </c>
      <c r="F28" s="6"/>
    </row>
    <row r="29" spans="1:18">
      <c r="A29" s="227" t="s">
        <v>50</v>
      </c>
      <c r="B29" s="33">
        <f>IF(ISERROR(TER_gezond_ele_kWh/1000),0,TER_gezond_ele_kWh/1000)</f>
        <v>40.802497681534604</v>
      </c>
      <c r="C29" s="39">
        <f>IF(ISERROR(B29*3.6/1000000/'E Balans VL '!Z10*100),0,B29*3.6/1000000/'E Balans VL '!Z10*100)</f>
        <v>4.2022571116904512E-3</v>
      </c>
      <c r="D29" s="232" t="s">
        <v>700</v>
      </c>
      <c r="F29" s="6"/>
    </row>
    <row r="30" spans="1:18">
      <c r="A30" s="227" t="s">
        <v>49</v>
      </c>
      <c r="B30" s="33">
        <f>IF(ISERROR(TER_ander_ele_kWh/1000),0,TER_ander_ele_kWh/1000)</f>
        <v>879.55519924327098</v>
      </c>
      <c r="C30" s="39">
        <f>IF(ISERROR(B30*3.6/1000000/'E Balans VL '!Z14*100),0,B30*3.6/1000000/'E Balans VL '!Z14*100)</f>
        <v>3.9546041990456166E-2</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3726.0274115723801</v>
      </c>
      <c r="C32" s="39">
        <f>IF(ISERROR(B32*3.6/1000000/'E Balans VL '!Z8*100),0,B32*3.6/1000000/'E Balans VL '!Z8*100)</f>
        <v>3.107148275999793E-2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4086.3692342399208</v>
      </c>
      <c r="C5" s="17">
        <f>IF(ISERROR('Eigen informatie GS &amp; warmtenet'!B59),0,'Eigen informatie GS &amp; warmtenet'!B59)</f>
        <v>0</v>
      </c>
      <c r="D5" s="30">
        <f>SUM(D6:D15)</f>
        <v>3782.83518876884</v>
      </c>
      <c r="E5" s="17">
        <f>SUM(E6:E15)</f>
        <v>59.077642291502656</v>
      </c>
      <c r="F5" s="17">
        <f>SUM(F6:F15)</f>
        <v>816.68195736911798</v>
      </c>
      <c r="G5" s="18"/>
      <c r="H5" s="17"/>
      <c r="I5" s="17"/>
      <c r="J5" s="17">
        <f>SUM(J6:J15)</f>
        <v>1.9946374019073436</v>
      </c>
      <c r="K5" s="17"/>
      <c r="L5" s="17"/>
      <c r="M5" s="17"/>
      <c r="N5" s="17">
        <f>SUM(N6:N15)</f>
        <v>90.679475261784745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2643.7818486586502</v>
      </c>
      <c r="C8" s="33"/>
      <c r="D8" s="37">
        <f>IF( ISERROR(IND_metaal_Gas_kWH/1000),0,IND_metaal_Gas_kWH/1000)*0.902</f>
        <v>2579.0053918534604</v>
      </c>
      <c r="E8" s="33">
        <f>C30*'E Balans VL '!I18/100/3.6*1000000</f>
        <v>23.993130287432688</v>
      </c>
      <c r="F8" s="33">
        <f>C30*'E Balans VL '!L18/100/3.6*1000000+C30*'E Balans VL '!N18/100/3.6*1000000</f>
        <v>243.33919022646447</v>
      </c>
      <c r="G8" s="34"/>
      <c r="H8" s="33"/>
      <c r="I8" s="33"/>
      <c r="J8" s="40">
        <f>C30*'E Balans VL '!D18/100/3.6*1000000+C30*'E Balans VL '!E18/100/3.6*1000000</f>
        <v>0</v>
      </c>
      <c r="K8" s="33"/>
      <c r="L8" s="33"/>
      <c r="M8" s="33"/>
      <c r="N8" s="33">
        <f>C30*'E Balans VL '!Y18/100/3.6*1000000</f>
        <v>38.597133046324885</v>
      </c>
      <c r="O8" s="33"/>
      <c r="P8" s="33"/>
      <c r="R8" s="32"/>
    </row>
    <row r="9" spans="1:18">
      <c r="A9" s="6" t="s">
        <v>32</v>
      </c>
      <c r="B9" s="37">
        <f t="shared" si="0"/>
        <v>701.59368147505404</v>
      </c>
      <c r="C9" s="33"/>
      <c r="D9" s="37">
        <f>IF( ISERROR(IND_andere_gas_kWh/1000),0,IND_andere_gas_kWh/1000)*0.902</f>
        <v>646.87435277272812</v>
      </c>
      <c r="E9" s="33">
        <f>C31*'E Balans VL '!I19/100/3.6*1000000</f>
        <v>4.0722082848450798</v>
      </c>
      <c r="F9" s="33">
        <f>C31*'E Balans VL '!L19/100/3.6*1000000+C31*'E Balans VL '!N19/100/3.6*1000000</f>
        <v>462.69315491634586</v>
      </c>
      <c r="G9" s="34"/>
      <c r="H9" s="33"/>
      <c r="I9" s="33"/>
      <c r="J9" s="40">
        <f>C31*'E Balans VL '!D19/100/3.6*1000000+C31*'E Balans VL '!E19/100/3.6*1000000</f>
        <v>0</v>
      </c>
      <c r="K9" s="33"/>
      <c r="L9" s="33"/>
      <c r="M9" s="33"/>
      <c r="N9" s="33">
        <f>C31*'E Balans VL '!Y19/100/3.6*1000000</f>
        <v>32.491413255516136</v>
      </c>
      <c r="O9" s="33"/>
      <c r="P9" s="33"/>
      <c r="R9" s="32"/>
    </row>
    <row r="10" spans="1:18">
      <c r="A10" s="6" t="s">
        <v>40</v>
      </c>
      <c r="B10" s="37">
        <f t="shared" si="0"/>
        <v>174.590583795155</v>
      </c>
      <c r="C10" s="33"/>
      <c r="D10" s="37">
        <f>IF( ISERROR(IND_voed_gas_kWh/1000),0,IND_voed_gas_kWh/1000)*0.902</f>
        <v>111.26166532306732</v>
      </c>
      <c r="E10" s="33">
        <f>C32*'E Balans VL '!I20/100/3.6*1000000</f>
        <v>0.36999817156338421</v>
      </c>
      <c r="F10" s="33">
        <f>C32*'E Balans VL '!L20/100/3.6*1000000+C32*'E Balans VL '!N20/100/3.6*1000000</f>
        <v>11.095952805364844</v>
      </c>
      <c r="G10" s="34"/>
      <c r="H10" s="33"/>
      <c r="I10" s="33"/>
      <c r="J10" s="40">
        <f>C32*'E Balans VL '!D20/100/3.6*1000000+C32*'E Balans VL '!E20/100/3.6*1000000</f>
        <v>0</v>
      </c>
      <c r="K10" s="33"/>
      <c r="L10" s="33"/>
      <c r="M10" s="33"/>
      <c r="N10" s="33">
        <f>C32*'E Balans VL '!Y20/100/3.6*1000000</f>
        <v>5.0611876498989181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566.40312031106191</v>
      </c>
      <c r="C15" s="33"/>
      <c r="D15" s="37">
        <f>IF( ISERROR(IND_rest_gas_kWh/1000),0,IND_rest_gas_kWh/1000)*0.902</f>
        <v>445.69377881958354</v>
      </c>
      <c r="E15" s="33">
        <f>C37*'E Balans VL '!I15/100/3.6*1000000</f>
        <v>30.642305547661508</v>
      </c>
      <c r="F15" s="33">
        <f>C37*'E Balans VL '!L15/100/3.6*1000000+C37*'E Balans VL '!N15/100/3.6*1000000</f>
        <v>99.55365942094285</v>
      </c>
      <c r="G15" s="34"/>
      <c r="H15" s="33"/>
      <c r="I15" s="33"/>
      <c r="J15" s="40">
        <f>C37*'E Balans VL '!D15/100/3.6*1000000+C37*'E Balans VL '!E15/100/3.6*1000000</f>
        <v>1.9946374019073436</v>
      </c>
      <c r="K15" s="33"/>
      <c r="L15" s="33"/>
      <c r="M15" s="33"/>
      <c r="N15" s="33">
        <f>C37*'E Balans VL '!Y15/100/3.6*1000000</f>
        <v>14.529741310044807</v>
      </c>
      <c r="O15" s="33"/>
      <c r="P15" s="33"/>
      <c r="R15" s="32"/>
    </row>
    <row r="16" spans="1:18">
      <c r="A16" s="16" t="s">
        <v>473</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4086.3692342399208</v>
      </c>
      <c r="C18" s="21">
        <f>C5+C16</f>
        <v>0</v>
      </c>
      <c r="D18" s="21">
        <f>MAX((D5+D16),0)</f>
        <v>3782.83518876884</v>
      </c>
      <c r="E18" s="21">
        <f>MAX((E5+E16),0)</f>
        <v>59.077642291502656</v>
      </c>
      <c r="F18" s="21">
        <f>MAX((F5+F16),0)</f>
        <v>816.68195736911798</v>
      </c>
      <c r="G18" s="21"/>
      <c r="H18" s="21"/>
      <c r="I18" s="21"/>
      <c r="J18" s="21">
        <f>MAX((J5+J16),0)</f>
        <v>1.9946374019073436</v>
      </c>
      <c r="K18" s="21"/>
      <c r="L18" s="21">
        <f>MAX((L5+L16),0)</f>
        <v>0</v>
      </c>
      <c r="M18" s="21"/>
      <c r="N18" s="21">
        <f>MAX((N5+N16),0)</f>
        <v>90.679475261784745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0.10420878103039283</v>
      </c>
      <c r="C20" s="25">
        <f ca="1">'EF ele_warmte'!B22</f>
        <v>0.23439895896360519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425.83555674024194</v>
      </c>
      <c r="C22" s="23">
        <f ca="1">C18*C20</f>
        <v>0</v>
      </c>
      <c r="D22" s="23">
        <f>D18*D20</f>
        <v>764.13270813130578</v>
      </c>
      <c r="E22" s="23">
        <f>E18*E20</f>
        <v>13.410624800171103</v>
      </c>
      <c r="F22" s="23">
        <f>F18*F20</f>
        <v>218.05408261755451</v>
      </c>
      <c r="G22" s="23"/>
      <c r="H22" s="23"/>
      <c r="I22" s="23"/>
      <c r="J22" s="23">
        <f>J18*J20</f>
        <v>0.70610164027519962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2643.7818486586502</v>
      </c>
      <c r="C30" s="39">
        <f>IF(ISERROR(B30*3.6/1000000/'E Balans VL '!Z18*100),0,B30*3.6/1000000/'E Balans VL '!Z18*100)</f>
        <v>0.15332247621420064</v>
      </c>
      <c r="D30" s="232" t="s">
        <v>700</v>
      </c>
    </row>
    <row r="31" spans="1:18">
      <c r="A31" s="6" t="s">
        <v>32</v>
      </c>
      <c r="B31" s="37">
        <f>IF( ISERROR(IND_ander_ele_kWh/1000),0,IND_ander_ele_kWh/1000)</f>
        <v>701.59368147505404</v>
      </c>
      <c r="C31" s="39">
        <f>IF(ISERROR(B31*3.6/1000000/'E Balans VL '!Z19*100),0,B31*3.6/1000000/'E Balans VL '!Z19*100)</f>
        <v>2.930119229343426E-2</v>
      </c>
      <c r="D31" s="232" t="s">
        <v>700</v>
      </c>
    </row>
    <row r="32" spans="1:18">
      <c r="A32" s="167" t="s">
        <v>40</v>
      </c>
      <c r="B32" s="37">
        <f>IF( ISERROR(IND_voed_ele_kWh/1000),0,IND_voed_ele_kWh/1000)</f>
        <v>174.590583795155</v>
      </c>
      <c r="C32" s="39">
        <f>IF(ISERROR(B32*3.6/1000000/'E Balans VL '!Z20*100),0,B32*3.6/1000000/'E Balans VL '!Z20*100)</f>
        <v>5.4151120030507495E-3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566.40312031106191</v>
      </c>
      <c r="C37" s="39">
        <f>IF(ISERROR(B37*3.6/1000000/'E Balans VL '!Z15*100),0,B37*3.6/1000000/'E Balans VL '!Z15*100)</f>
        <v>4.4162109035869286E-3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6581.2863606938199</v>
      </c>
      <c r="C5" s="17">
        <f>'Eigen informatie GS &amp; warmtenet'!B60</f>
        <v>0</v>
      </c>
      <c r="D5" s="30">
        <f>IF(ISERROR(SUM(LB_lb_gas_kWh,LB_rest_gas_kWh)/1000),0,SUM(LB_lb_gas_kWh,LB_rest_gas_kWh)/1000)*0.902</f>
        <v>21677.68062930516</v>
      </c>
      <c r="E5" s="17">
        <f>B17*'E Balans VL '!I25/3.6*1000000/100</f>
        <v>213.58437683308586</v>
      </c>
      <c r="F5" s="17">
        <f>B17*('E Balans VL '!L25/3.6*1000000+'E Balans VL '!N25/3.6*1000000)/100</f>
        <v>24279.642463107793</v>
      </c>
      <c r="G5" s="18"/>
      <c r="H5" s="17"/>
      <c r="I5" s="17"/>
      <c r="J5" s="17">
        <f>('E Balans VL '!D25+'E Balans VL '!E25)/3.6*1000000*landbouw!B17/100</f>
        <v>1730.8102710857388</v>
      </c>
      <c r="K5" s="17"/>
      <c r="L5" s="17">
        <f>L6*(-1)</f>
        <v>0</v>
      </c>
      <c r="M5" s="17"/>
      <c r="N5" s="17">
        <f>N6*(-1)</f>
        <v>249.42857142857139</v>
      </c>
      <c r="O5" s="17"/>
      <c r="P5" s="17"/>
      <c r="R5" s="32"/>
    </row>
    <row r="6" spans="1:18">
      <c r="A6" s="16" t="s">
        <v>473</v>
      </c>
      <c r="B6" s="17" t="s">
        <v>204</v>
      </c>
      <c r="C6" s="17">
        <f>'lokale energieproductie'!O41+'lokale energieproductie'!O34</f>
        <v>9124.7142857142862</v>
      </c>
      <c r="D6" s="300">
        <f>('lokale energieproductie'!P34+'lokale energieproductie'!P41)*(-1)</f>
        <v>-18000</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6581.2863606938199</v>
      </c>
      <c r="C8" s="21">
        <f>C5+C6</f>
        <v>9124.7142857142862</v>
      </c>
      <c r="D8" s="21">
        <f>MAX((D5+D6),0)</f>
        <v>3677.6806293051595</v>
      </c>
      <c r="E8" s="21">
        <f>MAX((E5+E6),0)</f>
        <v>213.58437683308586</v>
      </c>
      <c r="F8" s="21">
        <f>MAX((F5+F6),0)</f>
        <v>24279.642463107793</v>
      </c>
      <c r="G8" s="21"/>
      <c r="H8" s="21"/>
      <c r="I8" s="21"/>
      <c r="J8" s="21">
        <f>MAX((J5+J6),0)</f>
        <v>1730.8102710857388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0.10420878103039283</v>
      </c>
      <c r="C10" s="31">
        <f ca="1">'EF ele_warmte'!B22</f>
        <v>0.23439895896360519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685.82782925985316</v>
      </c>
      <c r="C12" s="23">
        <f ca="1">C8*C10</f>
        <v>2138.8235294117649</v>
      </c>
      <c r="D12" s="23">
        <f>D8*D10</f>
        <v>742.89148711964231</v>
      </c>
      <c r="E12" s="23">
        <f>E8*E10</f>
        <v>48.483653541110492</v>
      </c>
      <c r="F12" s="23">
        <f>F8*F10</f>
        <v>6482.6645376497809</v>
      </c>
      <c r="G12" s="23"/>
      <c r="H12" s="23"/>
      <c r="I12" s="23"/>
      <c r="J12" s="23">
        <f>J8*J10</f>
        <v>612.70683596435151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0.93390518273870526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1144.1355669179136</v>
      </c>
      <c r="C26" s="242">
        <f>B26*'GWP N2O_CH4'!B5</f>
        <v>24026.846905276187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441.88752490180627</v>
      </c>
      <c r="C27" s="242">
        <f>B27*'GWP N2O_CH4'!B5</f>
        <v>9279.638022937932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16.643336658660584</v>
      </c>
      <c r="C28" s="242">
        <f>B28*'GWP N2O_CH4'!B4</f>
        <v>5159.4343641847809</v>
      </c>
      <c r="D28" s="50"/>
    </row>
    <row r="29" spans="1:4">
      <c r="A29" s="41" t="s">
        <v>265</v>
      </c>
      <c r="B29" s="242">
        <f>B34*'ha_N2O bodem landbouw'!B4</f>
        <v>44.21608434457157</v>
      </c>
      <c r="C29" s="242">
        <f>B29*'GWP N2O_CH4'!B4</f>
        <v>13706.986146817188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1.0089958072025845E-2</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1.9150076190023132E-4</v>
      </c>
      <c r="C5" s="427" t="s">
        <v>204</v>
      </c>
      <c r="D5" s="412">
        <f>SUM(D6:D11)</f>
        <v>3.4645489286773217E-4</v>
      </c>
      <c r="E5" s="412">
        <f>SUM(E6:E11)</f>
        <v>5.9256258852203691E-4</v>
      </c>
      <c r="F5" s="425" t="s">
        <v>204</v>
      </c>
      <c r="G5" s="412">
        <f>SUM(G6:G11)</f>
        <v>0.25439578515831646</v>
      </c>
      <c r="H5" s="412">
        <f>SUM(H6:H11)</f>
        <v>5.9578850087621253E-2</v>
      </c>
      <c r="I5" s="427" t="s">
        <v>204</v>
      </c>
      <c r="J5" s="427" t="s">
        <v>204</v>
      </c>
      <c r="K5" s="427" t="s">
        <v>204</v>
      </c>
      <c r="L5" s="427" t="s">
        <v>204</v>
      </c>
      <c r="M5" s="412">
        <f>SUM(M6:M11)</f>
        <v>1.6617212934605378E-2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1.323514504461712E-4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2.2362915330026274E-4</v>
      </c>
      <c r="E6" s="818">
        <f>vkm_GW_PW*SUMIFS(TableVerdeelsleutelVkm[LPG],TableVerdeelsleutelVkm[Voertuigtype],"Lichte voertuigen")*SUMIFS(TableECFTransport[EnergieConsumptieFactor (PJ per km)],TableECFTransport[Index],CONCATENATE($A6,"_LPG_LPG"))</f>
        <v>3.8873467811931727E-4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0.11773742437807447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3.8773093797626668E-2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8.0203755683368756E-3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2.0619674192253213E-6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6.6230889956212444E-2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1.3213669488777245E-6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3.8695828554594987E-3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5.677741667813991E-5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1.2282573956746943E-4</v>
      </c>
      <c r="E8" s="415">
        <f>vkm_NGW_PW*SUMIFS(TableVerdeelsleutelVkm[LPG],TableVerdeelsleutelVkm[Voertuigtype],"Lichte voertuigen")*SUMIFS(TableECFTransport[EnergieConsumptieFactor (PJ per km)],TableECFTransport[Index],CONCATENATE($A8,"_LPG_LPG"))</f>
        <v>2.0382791040271961E-4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5.7654622036518687E-2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2.0804195195466758E-2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3.9809929511829397E-3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3.099273566949042E-7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1.2772848787510881E-2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2.3972757894920539E-7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7.4626155962606751E-4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53.194656083397589</v>
      </c>
      <c r="C14" s="21"/>
      <c r="D14" s="21">
        <f t="shared" ref="D14:M14" si="0">((D5)*10^9/3600)+D12</f>
        <v>96.237470241036704</v>
      </c>
      <c r="E14" s="21">
        <f t="shared" si="0"/>
        <v>164.60071903389914</v>
      </c>
      <c r="F14" s="21"/>
      <c r="G14" s="21">
        <f t="shared" si="0"/>
        <v>70665.495877310124</v>
      </c>
      <c r="H14" s="21">
        <f t="shared" si="0"/>
        <v>16549.680579894793</v>
      </c>
      <c r="I14" s="21"/>
      <c r="J14" s="21"/>
      <c r="K14" s="21"/>
      <c r="L14" s="21"/>
      <c r="M14" s="21">
        <f t="shared" si="0"/>
        <v>4615.8924818348278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0.10420878103039283</v>
      </c>
      <c r="C16" s="56">
        <f ca="1">'EF ele_warmte'!B22</f>
        <v>0.23439895896360519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5.5433502677818334</v>
      </c>
      <c r="C18" s="23"/>
      <c r="D18" s="23">
        <f t="shared" ref="D18:M18" si="1">D14*D16</f>
        <v>19.439968988689415</v>
      </c>
      <c r="E18" s="23">
        <f t="shared" si="1"/>
        <v>37.364363220695104</v>
      </c>
      <c r="F18" s="23"/>
      <c r="G18" s="23">
        <f t="shared" si="1"/>
        <v>18867.687399241804</v>
      </c>
      <c r="H18" s="23">
        <f t="shared" si="1"/>
        <v>4120.8704643938036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5.4026148466089799E-5</v>
      </c>
      <c r="C50" s="311">
        <f t="shared" ref="C50:P50" si="2">SUM(C51:C52)</f>
        <v>0</v>
      </c>
      <c r="D50" s="311">
        <f t="shared" si="2"/>
        <v>0</v>
      </c>
      <c r="E50" s="311">
        <f t="shared" si="2"/>
        <v>0</v>
      </c>
      <c r="F50" s="311">
        <f t="shared" si="2"/>
        <v>0</v>
      </c>
      <c r="G50" s="311">
        <f t="shared" si="2"/>
        <v>5.0752204842823001E-3</v>
      </c>
      <c r="H50" s="311">
        <f t="shared" si="2"/>
        <v>0</v>
      </c>
      <c r="I50" s="311">
        <f t="shared" si="2"/>
        <v>0</v>
      </c>
      <c r="J50" s="311">
        <f t="shared" si="2"/>
        <v>0</v>
      </c>
      <c r="K50" s="311">
        <f t="shared" si="2"/>
        <v>0</v>
      </c>
      <c r="L50" s="311">
        <f t="shared" si="2"/>
        <v>0</v>
      </c>
      <c r="M50" s="311">
        <f t="shared" si="2"/>
        <v>2.9226670941876148E-4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5.4026148466089799E-5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5.0752204842823001E-3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2.9226670941876148E-4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15.007263462802722</v>
      </c>
      <c r="C54" s="21">
        <f t="shared" ref="C54:P54" si="3">(C50)*10^9/3600</f>
        <v>0</v>
      </c>
      <c r="D54" s="21">
        <f t="shared" si="3"/>
        <v>0</v>
      </c>
      <c r="E54" s="21">
        <f t="shared" si="3"/>
        <v>0</v>
      </c>
      <c r="F54" s="21">
        <f t="shared" si="3"/>
        <v>0</v>
      </c>
      <c r="G54" s="21">
        <f t="shared" si="3"/>
        <v>1409.7834678561944</v>
      </c>
      <c r="H54" s="21">
        <f t="shared" si="3"/>
        <v>0</v>
      </c>
      <c r="I54" s="21">
        <f t="shared" si="3"/>
        <v>0</v>
      </c>
      <c r="J54" s="21">
        <f t="shared" si="3"/>
        <v>0</v>
      </c>
      <c r="K54" s="21">
        <f t="shared" si="3"/>
        <v>0</v>
      </c>
      <c r="L54" s="21">
        <f t="shared" si="3"/>
        <v>0</v>
      </c>
      <c r="M54" s="21">
        <f t="shared" si="3"/>
        <v>81.185197060767081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0.10420878103039283</v>
      </c>
      <c r="C56" s="56">
        <f ca="1">'EF ele_warmte'!B22</f>
        <v>0.23439895896360519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1.5638886320606238</v>
      </c>
      <c r="C58" s="23">
        <f t="shared" ref="C58:P58" ca="1" si="4">C54*C56</f>
        <v>0</v>
      </c>
      <c r="D58" s="23">
        <f t="shared" si="4"/>
        <v>0</v>
      </c>
      <c r="E58" s="23">
        <f t="shared" si="4"/>
        <v>0</v>
      </c>
      <c r="F58" s="23">
        <f t="shared" si="4"/>
        <v>0</v>
      </c>
      <c r="G58" s="23">
        <f t="shared" si="4"/>
        <v>376.41218591760395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70" zoomScaleNormal="70"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20669.377503055584</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5212.3039732265061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N31</f>
        <v>6387.2999999999993</v>
      </c>
      <c r="C8" s="534">
        <f>B50</f>
        <v>7411.7647058823522</v>
      </c>
      <c r="D8" s="962"/>
      <c r="E8" s="962">
        <f>E50</f>
        <v>0</v>
      </c>
      <c r="F8" s="963"/>
      <c r="G8" s="535"/>
      <c r="H8" s="962">
        <f>I50</f>
        <v>0</v>
      </c>
      <c r="I8" s="962">
        <f>G50+F50</f>
        <v>0</v>
      </c>
      <c r="J8" s="962">
        <f>H50+D50+C50</f>
        <v>102.70588235294116</v>
      </c>
      <c r="K8" s="962"/>
      <c r="L8" s="962"/>
      <c r="M8" s="962"/>
      <c r="N8" s="536"/>
      <c r="O8" s="537">
        <f>C8*$C$12+D8*$D$12+E8*$E$12+F8*$F$12+G8*$G$12+H8*$H$12+I8*$I$12+J8*$J$12</f>
        <v>1497.1764705882354</v>
      </c>
      <c r="P8" s="1180"/>
      <c r="Q8" s="1181"/>
      <c r="S8" s="925"/>
      <c r="T8" s="1217"/>
      <c r="U8" s="1217"/>
    </row>
    <row r="9" spans="1:21" s="523" customFormat="1" ht="17.45" customHeight="1" thickBot="1">
      <c r="A9" s="538" t="s">
        <v>236</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32268.98147628209</v>
      </c>
      <c r="C10" s="547">
        <f t="shared" ref="C10:L10" si="0">SUM(C8:C9)</f>
        <v>7411.7647058823522</v>
      </c>
      <c r="D10" s="547">
        <f t="shared" si="0"/>
        <v>0</v>
      </c>
      <c r="E10" s="547">
        <f t="shared" si="0"/>
        <v>0</v>
      </c>
      <c r="F10" s="547">
        <f t="shared" si="0"/>
        <v>0</v>
      </c>
      <c r="G10" s="547">
        <f t="shared" si="0"/>
        <v>0</v>
      </c>
      <c r="H10" s="547">
        <f t="shared" si="0"/>
        <v>0</v>
      </c>
      <c r="I10" s="547">
        <f t="shared" si="0"/>
        <v>0</v>
      </c>
      <c r="J10" s="547">
        <f t="shared" si="0"/>
        <v>102.70588235294116</v>
      </c>
      <c r="K10" s="547">
        <f t="shared" si="0"/>
        <v>0</v>
      </c>
      <c r="L10" s="547">
        <f t="shared" si="0"/>
        <v>0</v>
      </c>
      <c r="M10" s="965"/>
      <c r="N10" s="965"/>
      <c r="O10" s="548">
        <f>SUM(O4:O9)</f>
        <v>1497.1764705882354</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O31</f>
        <v>9124.7142857142862</v>
      </c>
      <c r="C17" s="559">
        <f>B51</f>
        <v>10588.235294117647</v>
      </c>
      <c r="D17" s="560"/>
      <c r="E17" s="560">
        <f>E51</f>
        <v>0</v>
      </c>
      <c r="F17" s="968"/>
      <c r="G17" s="561"/>
      <c r="H17" s="559">
        <f>I51</f>
        <v>0</v>
      </c>
      <c r="I17" s="560">
        <f>G51+F51</f>
        <v>0</v>
      </c>
      <c r="J17" s="560">
        <f>H51+D51+C51</f>
        <v>146.72268907563023</v>
      </c>
      <c r="K17" s="560"/>
      <c r="L17" s="560"/>
      <c r="M17" s="560"/>
      <c r="N17" s="969"/>
      <c r="O17" s="562">
        <f>C17*$C$22+E17*$E$22+H17*$H$22+I17*$I$22+J17*$J$22+D17*$D$22+F17*$F$22+G17*$G$22+K17*$K$22+L17*$L$22</f>
        <v>2138.8235294117649</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9124.7142857142862</v>
      </c>
      <c r="C20" s="546">
        <f>SUM(C17:C19)</f>
        <v>10588.235294117647</v>
      </c>
      <c r="D20" s="546">
        <f t="shared" ref="D20:L20" si="1">SUM(D17:D19)</f>
        <v>0</v>
      </c>
      <c r="E20" s="546">
        <f t="shared" si="1"/>
        <v>0</v>
      </c>
      <c r="F20" s="546">
        <f t="shared" si="1"/>
        <v>0</v>
      </c>
      <c r="G20" s="546">
        <f t="shared" si="1"/>
        <v>0</v>
      </c>
      <c r="H20" s="546">
        <f t="shared" si="1"/>
        <v>0</v>
      </c>
      <c r="I20" s="546">
        <f t="shared" si="1"/>
        <v>0</v>
      </c>
      <c r="J20" s="546">
        <f t="shared" si="1"/>
        <v>146.72268907563023</v>
      </c>
      <c r="K20" s="546">
        <f t="shared" si="1"/>
        <v>0</v>
      </c>
      <c r="L20" s="546">
        <f t="shared" si="1"/>
        <v>0</v>
      </c>
      <c r="M20" s="546"/>
      <c r="N20" s="546"/>
      <c r="O20" s="565">
        <f>SUM(O17:O19)</f>
        <v>2138.8235294117649</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43002</v>
      </c>
      <c r="C28" s="724">
        <v>9960</v>
      </c>
      <c r="D28" s="617"/>
      <c r="E28" s="616"/>
      <c r="F28" s="616"/>
      <c r="G28" s="616" t="s">
        <v>878</v>
      </c>
      <c r="H28" s="616" t="s">
        <v>879</v>
      </c>
      <c r="I28" s="616"/>
      <c r="J28" s="723"/>
      <c r="K28" s="723"/>
      <c r="L28" s="616" t="s">
        <v>880</v>
      </c>
      <c r="M28" s="616">
        <v>1400</v>
      </c>
      <c r="N28" s="616">
        <v>6300</v>
      </c>
      <c r="O28" s="616">
        <v>9000</v>
      </c>
      <c r="P28" s="616">
        <v>18000</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43002</v>
      </c>
      <c r="C29" s="724">
        <v>9961</v>
      </c>
      <c r="D29" s="617"/>
      <c r="E29" s="616"/>
      <c r="F29" s="616"/>
      <c r="G29" s="616" t="s">
        <v>878</v>
      </c>
      <c r="H29" s="616" t="s">
        <v>879</v>
      </c>
      <c r="I29" s="616"/>
      <c r="J29" s="723"/>
      <c r="K29" s="723"/>
      <c r="L29" s="616" t="s">
        <v>880</v>
      </c>
      <c r="M29" s="616">
        <v>9.6999999999999993</v>
      </c>
      <c r="N29" s="616">
        <v>43.649999999999991</v>
      </c>
      <c r="O29" s="616">
        <v>62.357142857142847</v>
      </c>
      <c r="P29" s="616">
        <v>0</v>
      </c>
      <c r="Q29" s="616">
        <v>124.71428571428569</v>
      </c>
      <c r="R29" s="616">
        <v>0</v>
      </c>
      <c r="S29" s="616">
        <v>0</v>
      </c>
      <c r="T29" s="616">
        <v>0</v>
      </c>
      <c r="U29" s="616">
        <v>0</v>
      </c>
      <c r="V29" s="616">
        <v>0</v>
      </c>
      <c r="W29" s="616">
        <v>0</v>
      </c>
      <c r="X29" s="616"/>
      <c r="Y29" s="616">
        <v>10</v>
      </c>
      <c r="Z29" s="616" t="s">
        <v>105</v>
      </c>
      <c r="AA29" s="618" t="s">
        <v>105</v>
      </c>
    </row>
    <row r="30" spans="1:27" s="570" customFormat="1" ht="25.5" hidden="1">
      <c r="A30" s="569"/>
      <c r="B30" s="724">
        <v>43002</v>
      </c>
      <c r="C30" s="724">
        <v>9968</v>
      </c>
      <c r="D30" s="617"/>
      <c r="E30" s="616"/>
      <c r="F30" s="616"/>
      <c r="G30" s="616" t="s">
        <v>878</v>
      </c>
      <c r="H30" s="616" t="s">
        <v>879</v>
      </c>
      <c r="I30" s="616"/>
      <c r="J30" s="723"/>
      <c r="K30" s="723"/>
      <c r="L30" s="616" t="s">
        <v>880</v>
      </c>
      <c r="M30" s="616">
        <v>9.6999999999999993</v>
      </c>
      <c r="N30" s="616">
        <v>43.649999999999991</v>
      </c>
      <c r="O30" s="616">
        <v>62.357142857142847</v>
      </c>
      <c r="P30" s="616">
        <v>0</v>
      </c>
      <c r="Q30" s="616">
        <v>124.71428571428569</v>
      </c>
      <c r="R30" s="616">
        <v>0</v>
      </c>
      <c r="S30" s="616">
        <v>0</v>
      </c>
      <c r="T30" s="616">
        <v>0</v>
      </c>
      <c r="U30" s="616">
        <v>0</v>
      </c>
      <c r="V30" s="616">
        <v>0</v>
      </c>
      <c r="W30" s="616">
        <v>0</v>
      </c>
      <c r="X30" s="616"/>
      <c r="Y30" s="616">
        <v>10</v>
      </c>
      <c r="Z30" s="616" t="s">
        <v>105</v>
      </c>
      <c r="AA30" s="618" t="s">
        <v>105</v>
      </c>
    </row>
    <row r="31" spans="1:27" s="554" customFormat="1" hidden="1">
      <c r="A31" s="572" t="s">
        <v>268</v>
      </c>
      <c r="B31" s="573"/>
      <c r="C31" s="573"/>
      <c r="D31" s="573"/>
      <c r="E31" s="573"/>
      <c r="F31" s="573"/>
      <c r="G31" s="573"/>
      <c r="H31" s="573"/>
      <c r="I31" s="573"/>
      <c r="J31" s="573"/>
      <c r="K31" s="573"/>
      <c r="L31" s="574"/>
      <c r="M31" s="574">
        <f>SUM(M28:M30)</f>
        <v>1419.4</v>
      </c>
      <c r="N31" s="574">
        <f>SUM(N28:N30)</f>
        <v>6387.2999999999993</v>
      </c>
      <c r="O31" s="574">
        <f>SUM(O28:O30)</f>
        <v>9124.7142857142862</v>
      </c>
      <c r="P31" s="574">
        <f>SUM(P28:P30)</f>
        <v>18000</v>
      </c>
      <c r="Q31" s="574">
        <f>SUM(Q28:Q30)</f>
        <v>249.42857142857139</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275</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276</v>
      </c>
      <c r="B33" s="573"/>
      <c r="C33" s="573"/>
      <c r="D33" s="573"/>
      <c r="E33" s="573"/>
      <c r="F33" s="573"/>
      <c r="G33" s="573"/>
      <c r="H33" s="573"/>
      <c r="I33" s="573"/>
      <c r="J33" s="573"/>
      <c r="K33" s="573"/>
      <c r="L33" s="574"/>
      <c r="M33" s="574">
        <f ca="1">SUMIF($AA$28:AD30,"tertiair",M28:M30)</f>
        <v>0</v>
      </c>
      <c r="N33" s="574">
        <f ca="1">SUMIF($AA$28:AE30,"tertiair",N28:N30)</f>
        <v>0</v>
      </c>
      <c r="O33" s="574">
        <f ca="1">SUMIF($AA$28:AF30,"tertiair",O28:O30)</f>
        <v>0</v>
      </c>
      <c r="P33" s="574">
        <f ca="1">SUMIF($AA$28:AG30,"tertiair",P28:P30)</f>
        <v>0</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277</v>
      </c>
      <c r="B34" s="578"/>
      <c r="C34" s="578"/>
      <c r="D34" s="578"/>
      <c r="E34" s="578"/>
      <c r="F34" s="578"/>
      <c r="G34" s="578"/>
      <c r="H34" s="578"/>
      <c r="I34" s="578"/>
      <c r="J34" s="578"/>
      <c r="K34" s="578"/>
      <c r="L34" s="579"/>
      <c r="M34" s="579">
        <f>SUMIF($AA$28:$AA$30,"landbouw",M28:M30)</f>
        <v>1419.4</v>
      </c>
      <c r="N34" s="579">
        <f>SUMIF($AA$28:$AA$30,"landbouw",N28:N30)</f>
        <v>6387.2999999999993</v>
      </c>
      <c r="O34" s="579">
        <f>SUMIF($AA$28:$AA$30,"landbouw",O28:O30)</f>
        <v>9124.7142857142862</v>
      </c>
      <c r="P34" s="579">
        <f>SUMIF($AA$28:$AA$30,"landbouw",P28:P30)</f>
        <v>18000</v>
      </c>
      <c r="Q34" s="579">
        <f>SUMIF($AA$28:$AA$30,"landbouw",Q28:Q30)</f>
        <v>249.42857142857139</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269</v>
      </c>
      <c r="B36" s="613" t="s">
        <v>89</v>
      </c>
      <c r="C36" s="613" t="s">
        <v>90</v>
      </c>
      <c r="D36" s="613"/>
      <c r="E36" s="613"/>
      <c r="F36" s="613"/>
      <c r="G36" s="613" t="s">
        <v>91</v>
      </c>
      <c r="H36" s="613" t="s">
        <v>92</v>
      </c>
      <c r="I36" s="613"/>
      <c r="J36" s="613"/>
      <c r="K36" s="613"/>
      <c r="L36" s="613" t="s">
        <v>93</v>
      </c>
      <c r="M36" s="614" t="s">
        <v>286</v>
      </c>
      <c r="N36" s="614" t="s">
        <v>94</v>
      </c>
      <c r="O36" s="614" t="s">
        <v>95</v>
      </c>
      <c r="P36" s="614" t="s">
        <v>518</v>
      </c>
      <c r="Q36" s="614" t="s">
        <v>96</v>
      </c>
      <c r="R36" s="614" t="s">
        <v>97</v>
      </c>
      <c r="S36" s="614" t="s">
        <v>98</v>
      </c>
      <c r="T36" s="614" t="s">
        <v>99</v>
      </c>
      <c r="U36" s="614" t="s">
        <v>100</v>
      </c>
      <c r="V36" s="614" t="s">
        <v>101</v>
      </c>
      <c r="W36" s="613" t="s">
        <v>102</v>
      </c>
      <c r="X36" s="613" t="s">
        <v>877</v>
      </c>
      <c r="Y36" s="613" t="s">
        <v>287</v>
      </c>
      <c r="Z36" s="613" t="s">
        <v>103</v>
      </c>
      <c r="AA36" s="615" t="s">
        <v>288</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268</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275</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276</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277</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270</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271</v>
      </c>
      <c r="C46" s="596" t="s">
        <v>272</v>
      </c>
      <c r="D46" s="596"/>
      <c r="E46" s="596"/>
      <c r="F46" s="596"/>
      <c r="G46" s="596"/>
      <c r="H46" s="596"/>
      <c r="I46" s="597"/>
      <c r="J46" s="596"/>
      <c r="K46" s="596"/>
      <c r="L46" s="596"/>
      <c r="M46" s="596"/>
      <c r="N46" s="596"/>
      <c r="O46" s="596"/>
      <c r="P46" s="591"/>
    </row>
    <row r="47" spans="1:28">
      <c r="A47" s="593" t="s">
        <v>268</v>
      </c>
      <c r="B47" s="598">
        <f>IF(ISERROR(O31/(O31+N31)),0,O31/(O31+N31))</f>
        <v>0.58823529411764708</v>
      </c>
      <c r="C47" s="599">
        <f>IF(ISERROR(N31/(O31+N31)),0,N31/(N31+O31))</f>
        <v>0.41176470588235292</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518</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273</v>
      </c>
      <c r="B50" s="608">
        <f t="shared" ref="B50:I50" si="2">$C$47*P31</f>
        <v>7411.7647058823522</v>
      </c>
      <c r="C50" s="608">
        <f t="shared" si="2"/>
        <v>102.70588235294116</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274</v>
      </c>
      <c r="B51" s="611">
        <f t="shared" ref="B51:I51" si="3">$B$47*P31</f>
        <v>10588.235294117647</v>
      </c>
      <c r="C51" s="611">
        <f t="shared" si="3"/>
        <v>146.72268907563023</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9601.5364975281627</v>
      </c>
      <c r="D10" s="931">
        <f ca="1">tertiair!C16</f>
        <v>0</v>
      </c>
      <c r="E10" s="931">
        <f ca="1">tertiair!D16</f>
        <v>9667.8794972588985</v>
      </c>
      <c r="F10" s="931">
        <f>tertiair!E16</f>
        <v>121.95033824226104</v>
      </c>
      <c r="G10" s="931">
        <f ca="1">tertiair!F16</f>
        <v>1751.719411978781</v>
      </c>
      <c r="H10" s="931">
        <f>tertiair!G16</f>
        <v>0</v>
      </c>
      <c r="I10" s="931">
        <f>tertiair!H16</f>
        <v>0</v>
      </c>
      <c r="J10" s="931">
        <f>tertiair!I16</f>
        <v>0</v>
      </c>
      <c r="K10" s="931">
        <f>tertiair!J16</f>
        <v>1.7242445626569208E-2</v>
      </c>
      <c r="L10" s="931">
        <f>tertiair!K16</f>
        <v>0</v>
      </c>
      <c r="M10" s="931">
        <f ca="1">tertiair!L16</f>
        <v>0</v>
      </c>
      <c r="N10" s="931">
        <f>tertiair!M16</f>
        <v>0</v>
      </c>
      <c r="O10" s="931">
        <f ca="1">tertiair!N16</f>
        <v>688.32781955939367</v>
      </c>
      <c r="P10" s="931">
        <f>tertiair!O16</f>
        <v>3.1266666666666669</v>
      </c>
      <c r="Q10" s="932">
        <f>tertiair!P16</f>
        <v>0</v>
      </c>
      <c r="R10" s="628">
        <f ca="1">SUM(C10:Q10)</f>
        <v>21834.55747367979</v>
      </c>
      <c r="S10" s="67"/>
    </row>
    <row r="11" spans="1:19" s="437" customFormat="1">
      <c r="A11" s="736" t="s">
        <v>213</v>
      </c>
      <c r="B11" s="741"/>
      <c r="C11" s="931">
        <f>huishoudens!B8</f>
        <v>27122.040769140047</v>
      </c>
      <c r="D11" s="931">
        <f>huishoudens!C8</f>
        <v>0</v>
      </c>
      <c r="E11" s="931">
        <f>huishoudens!D8</f>
        <v>39741.991854012849</v>
      </c>
      <c r="F11" s="931">
        <f>huishoudens!E8</f>
        <v>1964.6260015679097</v>
      </c>
      <c r="G11" s="931">
        <f>huishoudens!F8</f>
        <v>45538.502205486548</v>
      </c>
      <c r="H11" s="931">
        <f>huishoudens!G8</f>
        <v>0</v>
      </c>
      <c r="I11" s="931">
        <f>huishoudens!H8</f>
        <v>0</v>
      </c>
      <c r="J11" s="931">
        <f>huishoudens!I8</f>
        <v>0</v>
      </c>
      <c r="K11" s="931">
        <f>huishoudens!J8</f>
        <v>234.02778832481079</v>
      </c>
      <c r="L11" s="931">
        <f>huishoudens!K8</f>
        <v>0</v>
      </c>
      <c r="M11" s="931">
        <f>huishoudens!L8</f>
        <v>0</v>
      </c>
      <c r="N11" s="931">
        <f>huishoudens!M8</f>
        <v>0</v>
      </c>
      <c r="O11" s="931">
        <f>huishoudens!N8</f>
        <v>9421.4571705734234</v>
      </c>
      <c r="P11" s="931">
        <f>huishoudens!O8</f>
        <v>347.06000000000006</v>
      </c>
      <c r="Q11" s="932">
        <f>huishoudens!P8</f>
        <v>800.8</v>
      </c>
      <c r="R11" s="628">
        <f>SUM(C11:Q11)</f>
        <v>125170.50578910558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4086.3692342399208</v>
      </c>
      <c r="D13" s="931">
        <f>industrie!C18</f>
        <v>0</v>
      </c>
      <c r="E13" s="931">
        <f>industrie!D18</f>
        <v>3782.83518876884</v>
      </c>
      <c r="F13" s="931">
        <f>industrie!E18</f>
        <v>59.077642291502656</v>
      </c>
      <c r="G13" s="931">
        <f>industrie!F18</f>
        <v>816.68195736911798</v>
      </c>
      <c r="H13" s="931">
        <f>industrie!G18</f>
        <v>0</v>
      </c>
      <c r="I13" s="931">
        <f>industrie!H18</f>
        <v>0</v>
      </c>
      <c r="J13" s="931">
        <f>industrie!I18</f>
        <v>0</v>
      </c>
      <c r="K13" s="931">
        <f>industrie!J18</f>
        <v>1.9946374019073436</v>
      </c>
      <c r="L13" s="931">
        <f>industrie!K18</f>
        <v>0</v>
      </c>
      <c r="M13" s="931">
        <f>industrie!L18</f>
        <v>0</v>
      </c>
      <c r="N13" s="931">
        <f>industrie!M18</f>
        <v>0</v>
      </c>
      <c r="O13" s="931">
        <f>industrie!N18</f>
        <v>90.679475261784745</v>
      </c>
      <c r="P13" s="931">
        <f>industrie!O18</f>
        <v>0</v>
      </c>
      <c r="Q13" s="932">
        <f>industrie!P18</f>
        <v>0</v>
      </c>
      <c r="R13" s="628">
        <f>SUM(C13:Q13)</f>
        <v>8837.6381353330726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40809.946500908132</v>
      </c>
      <c r="D16" s="660">
        <f t="shared" ref="D16:R16" ca="1" si="0">SUM(D9:D15)</f>
        <v>0</v>
      </c>
      <c r="E16" s="660">
        <f t="shared" ca="1" si="0"/>
        <v>53192.706540040592</v>
      </c>
      <c r="F16" s="660">
        <f t="shared" si="0"/>
        <v>2145.6539821016736</v>
      </c>
      <c r="G16" s="660">
        <f t="shared" ca="1" si="0"/>
        <v>48106.903574834447</v>
      </c>
      <c r="H16" s="660">
        <f t="shared" si="0"/>
        <v>0</v>
      </c>
      <c r="I16" s="660">
        <f t="shared" si="0"/>
        <v>0</v>
      </c>
      <c r="J16" s="660">
        <f t="shared" si="0"/>
        <v>0</v>
      </c>
      <c r="K16" s="660">
        <f t="shared" si="0"/>
        <v>236.0396681723447</v>
      </c>
      <c r="L16" s="660">
        <f t="shared" si="0"/>
        <v>0</v>
      </c>
      <c r="M16" s="660">
        <f t="shared" ca="1" si="0"/>
        <v>0</v>
      </c>
      <c r="N16" s="660">
        <f t="shared" si="0"/>
        <v>0</v>
      </c>
      <c r="O16" s="660">
        <f t="shared" ca="1" si="0"/>
        <v>10200.464465394602</v>
      </c>
      <c r="P16" s="660">
        <f t="shared" si="0"/>
        <v>350.18666666666672</v>
      </c>
      <c r="Q16" s="660">
        <f t="shared" si="0"/>
        <v>800.8</v>
      </c>
      <c r="R16" s="660">
        <f t="shared" ca="1" si="0"/>
        <v>155842.70139811846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15.007263462802722</v>
      </c>
      <c r="D19" s="931">
        <f>transport!C54</f>
        <v>0</v>
      </c>
      <c r="E19" s="931">
        <f>transport!D54</f>
        <v>0</v>
      </c>
      <c r="F19" s="931">
        <f>transport!E54</f>
        <v>0</v>
      </c>
      <c r="G19" s="931">
        <f>transport!F54</f>
        <v>0</v>
      </c>
      <c r="H19" s="931">
        <f>transport!G54</f>
        <v>1409.7834678561944</v>
      </c>
      <c r="I19" s="931">
        <f>transport!H54</f>
        <v>0</v>
      </c>
      <c r="J19" s="931">
        <f>transport!I54</f>
        <v>0</v>
      </c>
      <c r="K19" s="931">
        <f>transport!J54</f>
        <v>0</v>
      </c>
      <c r="L19" s="931">
        <f>transport!K54</f>
        <v>0</v>
      </c>
      <c r="M19" s="931">
        <f>transport!L54</f>
        <v>0</v>
      </c>
      <c r="N19" s="931">
        <f>transport!M54</f>
        <v>81.185197060767081</v>
      </c>
      <c r="O19" s="931">
        <f>transport!N54</f>
        <v>0</v>
      </c>
      <c r="P19" s="931">
        <f>transport!O54</f>
        <v>0</v>
      </c>
      <c r="Q19" s="932">
        <f>transport!P54</f>
        <v>0</v>
      </c>
      <c r="R19" s="628">
        <f>SUM(C19:Q19)</f>
        <v>1505.9759283797641</v>
      </c>
      <c r="S19" s="67"/>
    </row>
    <row r="20" spans="1:19" s="437" customFormat="1">
      <c r="A20" s="736" t="s">
        <v>295</v>
      </c>
      <c r="B20" s="741"/>
      <c r="C20" s="931">
        <f>transport!B14</f>
        <v>53.194656083397589</v>
      </c>
      <c r="D20" s="931">
        <f>transport!C14</f>
        <v>0</v>
      </c>
      <c r="E20" s="931">
        <f>transport!D14</f>
        <v>96.237470241036704</v>
      </c>
      <c r="F20" s="931">
        <f>transport!E14</f>
        <v>164.60071903389914</v>
      </c>
      <c r="G20" s="931">
        <f>transport!F14</f>
        <v>0</v>
      </c>
      <c r="H20" s="931">
        <f>transport!G14</f>
        <v>70665.495877310124</v>
      </c>
      <c r="I20" s="931">
        <f>transport!H14</f>
        <v>16549.680579894793</v>
      </c>
      <c r="J20" s="931">
        <f>transport!I14</f>
        <v>0</v>
      </c>
      <c r="K20" s="931">
        <f>transport!J14</f>
        <v>0</v>
      </c>
      <c r="L20" s="931">
        <f>transport!K14</f>
        <v>0</v>
      </c>
      <c r="M20" s="931">
        <f>transport!L14</f>
        <v>0</v>
      </c>
      <c r="N20" s="931">
        <f>transport!M14</f>
        <v>4615.8924818348278</v>
      </c>
      <c r="O20" s="931">
        <f>transport!N14</f>
        <v>0</v>
      </c>
      <c r="P20" s="931">
        <f>transport!O14</f>
        <v>0</v>
      </c>
      <c r="Q20" s="932">
        <f>transport!P14</f>
        <v>0</v>
      </c>
      <c r="R20" s="628">
        <f>SUM(C20:Q20)</f>
        <v>92145.101784398081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68.201919546200315</v>
      </c>
      <c r="D22" s="739">
        <f t="shared" ref="D22:R22" si="1">SUM(D18:D21)</f>
        <v>0</v>
      </c>
      <c r="E22" s="739">
        <f t="shared" si="1"/>
        <v>96.237470241036704</v>
      </c>
      <c r="F22" s="739">
        <f t="shared" si="1"/>
        <v>164.60071903389914</v>
      </c>
      <c r="G22" s="739">
        <f t="shared" si="1"/>
        <v>0</v>
      </c>
      <c r="H22" s="739">
        <f t="shared" si="1"/>
        <v>72075.279345166316</v>
      </c>
      <c r="I22" s="739">
        <f t="shared" si="1"/>
        <v>16549.680579894793</v>
      </c>
      <c r="J22" s="739">
        <f t="shared" si="1"/>
        <v>0</v>
      </c>
      <c r="K22" s="739">
        <f t="shared" si="1"/>
        <v>0</v>
      </c>
      <c r="L22" s="739">
        <f t="shared" si="1"/>
        <v>0</v>
      </c>
      <c r="M22" s="739">
        <f t="shared" si="1"/>
        <v>0</v>
      </c>
      <c r="N22" s="739">
        <f t="shared" si="1"/>
        <v>4697.0776788955945</v>
      </c>
      <c r="O22" s="739">
        <f t="shared" si="1"/>
        <v>0</v>
      </c>
      <c r="P22" s="739">
        <f t="shared" si="1"/>
        <v>0</v>
      </c>
      <c r="Q22" s="739">
        <f t="shared" si="1"/>
        <v>0</v>
      </c>
      <c r="R22" s="739">
        <f t="shared" si="1"/>
        <v>93651.077712777842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6581.2863606938199</v>
      </c>
      <c r="D24" s="931">
        <f>+landbouw!C8</f>
        <v>9124.7142857142862</v>
      </c>
      <c r="E24" s="931">
        <f>+landbouw!D8</f>
        <v>3677.6806293051595</v>
      </c>
      <c r="F24" s="931">
        <f>+landbouw!E8</f>
        <v>213.58437683308586</v>
      </c>
      <c r="G24" s="931">
        <f>+landbouw!F8</f>
        <v>24279.642463107793</v>
      </c>
      <c r="H24" s="931">
        <f>+landbouw!G8</f>
        <v>0</v>
      </c>
      <c r="I24" s="931">
        <f>+landbouw!H8</f>
        <v>0</v>
      </c>
      <c r="J24" s="931">
        <f>+landbouw!I8</f>
        <v>0</v>
      </c>
      <c r="K24" s="931">
        <f>+landbouw!J8</f>
        <v>1730.8102710857388</v>
      </c>
      <c r="L24" s="931">
        <f>+landbouw!K8</f>
        <v>0</v>
      </c>
      <c r="M24" s="931">
        <f>+landbouw!L8</f>
        <v>0</v>
      </c>
      <c r="N24" s="931">
        <f>+landbouw!M8</f>
        <v>0</v>
      </c>
      <c r="O24" s="931">
        <f>+landbouw!N8</f>
        <v>0</v>
      </c>
      <c r="P24" s="931">
        <f>+landbouw!O8</f>
        <v>0</v>
      </c>
      <c r="Q24" s="932">
        <f>+landbouw!P8</f>
        <v>0</v>
      </c>
      <c r="R24" s="628">
        <f>SUM(C24:Q24)</f>
        <v>45607.718386739885</v>
      </c>
      <c r="S24" s="67"/>
    </row>
    <row r="25" spans="1:19" s="437" customFormat="1" ht="15" thickBot="1">
      <c r="A25" s="758" t="s">
        <v>775</v>
      </c>
      <c r="B25" s="934"/>
      <c r="C25" s="935">
        <f>IF(Onbekend_ele_kWh="---",0,Onbekend_ele_kWh)/1000+IF(REST_rest_ele_kWh="---",0,REST_rest_ele_kWh)/1000</f>
        <v>782.79169254183307</v>
      </c>
      <c r="D25" s="935"/>
      <c r="E25" s="935">
        <f>IF(onbekend_gas_kWh="---",0,onbekend_gas_kWh)/1000+IF(REST_rest_gas_kWh="---",0,REST_rest_gas_kWh)/1000</f>
        <v>2325.0596842784203</v>
      </c>
      <c r="F25" s="935"/>
      <c r="G25" s="935"/>
      <c r="H25" s="935"/>
      <c r="I25" s="935"/>
      <c r="J25" s="935"/>
      <c r="K25" s="935"/>
      <c r="L25" s="935"/>
      <c r="M25" s="935"/>
      <c r="N25" s="935"/>
      <c r="O25" s="935"/>
      <c r="P25" s="935"/>
      <c r="Q25" s="936"/>
      <c r="R25" s="628">
        <f>SUM(C25:Q25)</f>
        <v>3107.8513768202533</v>
      </c>
      <c r="S25" s="67"/>
    </row>
    <row r="26" spans="1:19" s="437" customFormat="1" ht="15.75" thickBot="1">
      <c r="A26" s="633" t="s">
        <v>776</v>
      </c>
      <c r="B26" s="744"/>
      <c r="C26" s="739">
        <f>SUM(C24:C25)</f>
        <v>7364.078053235653</v>
      </c>
      <c r="D26" s="739">
        <f t="shared" ref="D26:R26" si="2">SUM(D24:D25)</f>
        <v>9124.7142857142862</v>
      </c>
      <c r="E26" s="739">
        <f t="shared" si="2"/>
        <v>6002.7403135835793</v>
      </c>
      <c r="F26" s="739">
        <f t="shared" si="2"/>
        <v>213.58437683308586</v>
      </c>
      <c r="G26" s="739">
        <f t="shared" si="2"/>
        <v>24279.642463107793</v>
      </c>
      <c r="H26" s="739">
        <f t="shared" si="2"/>
        <v>0</v>
      </c>
      <c r="I26" s="739">
        <f t="shared" si="2"/>
        <v>0</v>
      </c>
      <c r="J26" s="739">
        <f t="shared" si="2"/>
        <v>0</v>
      </c>
      <c r="K26" s="739">
        <f t="shared" si="2"/>
        <v>1730.8102710857388</v>
      </c>
      <c r="L26" s="739">
        <f t="shared" si="2"/>
        <v>0</v>
      </c>
      <c r="M26" s="739">
        <f t="shared" si="2"/>
        <v>0</v>
      </c>
      <c r="N26" s="739">
        <f t="shared" si="2"/>
        <v>0</v>
      </c>
      <c r="O26" s="739">
        <f t="shared" si="2"/>
        <v>0</v>
      </c>
      <c r="P26" s="739">
        <f t="shared" si="2"/>
        <v>0</v>
      </c>
      <c r="Q26" s="739">
        <f t="shared" si="2"/>
        <v>0</v>
      </c>
      <c r="R26" s="739">
        <f t="shared" si="2"/>
        <v>48715.569763560139</v>
      </c>
      <c r="S26" s="67"/>
    </row>
    <row r="27" spans="1:19" s="437" customFormat="1" ht="17.25" thickTop="1" thickBot="1">
      <c r="A27" s="634" t="s">
        <v>109</v>
      </c>
      <c r="B27" s="732"/>
      <c r="C27" s="635">
        <f ca="1">C22+C16+C26</f>
        <v>48242.226473689982</v>
      </c>
      <c r="D27" s="635">
        <f t="shared" ref="D27:R27" ca="1" si="3">D22+D16+D26</f>
        <v>9124.7142857142862</v>
      </c>
      <c r="E27" s="635">
        <f t="shared" ca="1" si="3"/>
        <v>59291.684323865207</v>
      </c>
      <c r="F27" s="635">
        <f t="shared" si="3"/>
        <v>2523.8390779686588</v>
      </c>
      <c r="G27" s="635">
        <f t="shared" ca="1" si="3"/>
        <v>72386.546037942244</v>
      </c>
      <c r="H27" s="635">
        <f t="shared" si="3"/>
        <v>72075.279345166316</v>
      </c>
      <c r="I27" s="635">
        <f t="shared" si="3"/>
        <v>16549.680579894793</v>
      </c>
      <c r="J27" s="635">
        <f t="shared" si="3"/>
        <v>0</v>
      </c>
      <c r="K27" s="635">
        <f t="shared" si="3"/>
        <v>1966.8499392580834</v>
      </c>
      <c r="L27" s="635">
        <f t="shared" si="3"/>
        <v>0</v>
      </c>
      <c r="M27" s="635">
        <f t="shared" ca="1" si="3"/>
        <v>0</v>
      </c>
      <c r="N27" s="635">
        <f t="shared" si="3"/>
        <v>4697.0776788955945</v>
      </c>
      <c r="O27" s="635">
        <f t="shared" ca="1" si="3"/>
        <v>10200.464465394602</v>
      </c>
      <c r="P27" s="635">
        <f t="shared" si="3"/>
        <v>350.18666666666672</v>
      </c>
      <c r="Q27" s="635">
        <f t="shared" si="3"/>
        <v>800.8</v>
      </c>
      <c r="R27" s="635">
        <f t="shared" ca="1" si="3"/>
        <v>298209.34887445642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1000.5644144262372</v>
      </c>
      <c r="D40" s="931">
        <f ca="1">tertiair!C20</f>
        <v>0</v>
      </c>
      <c r="E40" s="931">
        <f ca="1">tertiair!D20</f>
        <v>1952.9116584462977</v>
      </c>
      <c r="F40" s="931">
        <f>tertiair!E20</f>
        <v>27.682726780993256</v>
      </c>
      <c r="G40" s="931">
        <f ca="1">tertiair!F20</f>
        <v>467.70908299833457</v>
      </c>
      <c r="H40" s="931">
        <f>tertiair!G20</f>
        <v>0</v>
      </c>
      <c r="I40" s="931">
        <f>tertiair!H20</f>
        <v>0</v>
      </c>
      <c r="J40" s="931">
        <f>tertiair!I20</f>
        <v>0</v>
      </c>
      <c r="K40" s="931">
        <f>tertiair!J20</f>
        <v>6.1038257518054992E-3</v>
      </c>
      <c r="L40" s="931">
        <f>tertiair!K20</f>
        <v>0</v>
      </c>
      <c r="M40" s="931">
        <f ca="1">tertiair!L20</f>
        <v>0</v>
      </c>
      <c r="N40" s="931">
        <f>tertiair!M20</f>
        <v>0</v>
      </c>
      <c r="O40" s="931">
        <f ca="1">tertiair!N20</f>
        <v>0</v>
      </c>
      <c r="P40" s="931">
        <f>tertiair!O20</f>
        <v>0</v>
      </c>
      <c r="Q40" s="702">
        <f>tertiair!P20</f>
        <v>0</v>
      </c>
      <c r="R40" s="777">
        <f t="shared" ca="1" si="4"/>
        <v>3448.8739864776144</v>
      </c>
    </row>
    <row r="41" spans="1:18">
      <c r="A41" s="749" t="s">
        <v>213</v>
      </c>
      <c r="B41" s="756"/>
      <c r="C41" s="931">
        <f ca="1">huishoudens!B12</f>
        <v>2826.3548076087022</v>
      </c>
      <c r="D41" s="931">
        <f ca="1">huishoudens!C12</f>
        <v>0</v>
      </c>
      <c r="E41" s="931">
        <f>huishoudens!D12</f>
        <v>8027.8823545105961</v>
      </c>
      <c r="F41" s="931">
        <f>huishoudens!E12</f>
        <v>445.97010235591551</v>
      </c>
      <c r="G41" s="931">
        <f>huishoudens!F12</f>
        <v>12158.780088864909</v>
      </c>
      <c r="H41" s="931">
        <f>huishoudens!G12</f>
        <v>0</v>
      </c>
      <c r="I41" s="931">
        <f>huishoudens!H12</f>
        <v>0</v>
      </c>
      <c r="J41" s="931">
        <f>huishoudens!I12</f>
        <v>0</v>
      </c>
      <c r="K41" s="931">
        <f>huishoudens!J12</f>
        <v>82.845837066983009</v>
      </c>
      <c r="L41" s="931">
        <f>huishoudens!K12</f>
        <v>0</v>
      </c>
      <c r="M41" s="931">
        <f>huishoudens!L12</f>
        <v>0</v>
      </c>
      <c r="N41" s="931">
        <f>huishoudens!M12</f>
        <v>0</v>
      </c>
      <c r="O41" s="931">
        <f>huishoudens!N12</f>
        <v>0</v>
      </c>
      <c r="P41" s="931">
        <f>huishoudens!O12</f>
        <v>0</v>
      </c>
      <c r="Q41" s="702">
        <f>huishoudens!P12</f>
        <v>0</v>
      </c>
      <c r="R41" s="777">
        <f t="shared" ca="1" si="4"/>
        <v>23541.833190407106</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425.83555674024194</v>
      </c>
      <c r="D43" s="931">
        <f ca="1">industrie!C22</f>
        <v>0</v>
      </c>
      <c r="E43" s="931">
        <f>industrie!D22</f>
        <v>764.13270813130578</v>
      </c>
      <c r="F43" s="931">
        <f>industrie!E22</f>
        <v>13.410624800171103</v>
      </c>
      <c r="G43" s="931">
        <f>industrie!F22</f>
        <v>218.05408261755451</v>
      </c>
      <c r="H43" s="931">
        <f>industrie!G22</f>
        <v>0</v>
      </c>
      <c r="I43" s="931">
        <f>industrie!H22</f>
        <v>0</v>
      </c>
      <c r="J43" s="931">
        <f>industrie!I22</f>
        <v>0</v>
      </c>
      <c r="K43" s="931">
        <f>industrie!J22</f>
        <v>0.70610164027519962</v>
      </c>
      <c r="L43" s="931">
        <f>industrie!K22</f>
        <v>0</v>
      </c>
      <c r="M43" s="931">
        <f>industrie!L22</f>
        <v>0</v>
      </c>
      <c r="N43" s="931">
        <f>industrie!M22</f>
        <v>0</v>
      </c>
      <c r="O43" s="931">
        <f>industrie!N22</f>
        <v>0</v>
      </c>
      <c r="P43" s="931">
        <f>industrie!O22</f>
        <v>0</v>
      </c>
      <c r="Q43" s="702">
        <f>industrie!P22</f>
        <v>0</v>
      </c>
      <c r="R43" s="776">
        <f t="shared" ca="1" si="4"/>
        <v>1422.1390739295484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4252.7547787751819</v>
      </c>
      <c r="D46" s="660">
        <f t="shared" ref="D46:Q46" ca="1" si="5">SUM(D39:D45)</f>
        <v>0</v>
      </c>
      <c r="E46" s="660">
        <f t="shared" ca="1" si="5"/>
        <v>10744.926721088201</v>
      </c>
      <c r="F46" s="660">
        <f t="shared" si="5"/>
        <v>487.06345393707988</v>
      </c>
      <c r="G46" s="660">
        <f t="shared" ca="1" si="5"/>
        <v>12844.543254480799</v>
      </c>
      <c r="H46" s="660">
        <f t="shared" si="5"/>
        <v>0</v>
      </c>
      <c r="I46" s="660">
        <f t="shared" si="5"/>
        <v>0</v>
      </c>
      <c r="J46" s="660">
        <f t="shared" si="5"/>
        <v>0</v>
      </c>
      <c r="K46" s="660">
        <f t="shared" si="5"/>
        <v>83.55804253301001</v>
      </c>
      <c r="L46" s="660">
        <f t="shared" si="5"/>
        <v>0</v>
      </c>
      <c r="M46" s="660">
        <f t="shared" ca="1" si="5"/>
        <v>0</v>
      </c>
      <c r="N46" s="660">
        <f t="shared" si="5"/>
        <v>0</v>
      </c>
      <c r="O46" s="660">
        <f t="shared" ca="1" si="5"/>
        <v>0</v>
      </c>
      <c r="P46" s="660">
        <f t="shared" si="5"/>
        <v>0</v>
      </c>
      <c r="Q46" s="660">
        <f t="shared" si="5"/>
        <v>0</v>
      </c>
      <c r="R46" s="660">
        <f ca="1">SUM(R39:R45)</f>
        <v>28412.846250814269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1.5638886320606238</v>
      </c>
      <c r="D49" s="931">
        <f ca="1">transport!C58</f>
        <v>0</v>
      </c>
      <c r="E49" s="931">
        <f>transport!D58</f>
        <v>0</v>
      </c>
      <c r="F49" s="931">
        <f>transport!E58</f>
        <v>0</v>
      </c>
      <c r="G49" s="931">
        <f>transport!F58</f>
        <v>0</v>
      </c>
      <c r="H49" s="931">
        <f>transport!G58</f>
        <v>376.41218591760395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377.97607454966459</v>
      </c>
    </row>
    <row r="50" spans="1:18">
      <c r="A50" s="752" t="s">
        <v>295</v>
      </c>
      <c r="B50" s="762"/>
      <c r="C50" s="631">
        <f ca="1">transport!B18</f>
        <v>5.5433502677818334</v>
      </c>
      <c r="D50" s="631">
        <f>transport!C18</f>
        <v>0</v>
      </c>
      <c r="E50" s="631">
        <f>transport!D18</f>
        <v>19.439968988689415</v>
      </c>
      <c r="F50" s="631">
        <f>transport!E18</f>
        <v>37.364363220695104</v>
      </c>
      <c r="G50" s="631">
        <f>transport!F18</f>
        <v>0</v>
      </c>
      <c r="H50" s="631">
        <f>transport!G18</f>
        <v>18867.687399241804</v>
      </c>
      <c r="I50" s="631">
        <f>transport!H18</f>
        <v>4120.8704643938036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23050.905546112775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7.1072388998424572</v>
      </c>
      <c r="D52" s="660">
        <f t="shared" ref="D52:Q52" ca="1" si="6">SUM(D48:D51)</f>
        <v>0</v>
      </c>
      <c r="E52" s="660">
        <f t="shared" si="6"/>
        <v>19.439968988689415</v>
      </c>
      <c r="F52" s="660">
        <f t="shared" si="6"/>
        <v>37.364363220695104</v>
      </c>
      <c r="G52" s="660">
        <f t="shared" si="6"/>
        <v>0</v>
      </c>
      <c r="H52" s="660">
        <f t="shared" si="6"/>
        <v>19244.099585159409</v>
      </c>
      <c r="I52" s="660">
        <f t="shared" si="6"/>
        <v>4120.8704643938036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23428.88162066244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685.82782925985316</v>
      </c>
      <c r="D54" s="631">
        <f ca="1">+landbouw!C12</f>
        <v>2138.8235294117649</v>
      </c>
      <c r="E54" s="631">
        <f>+landbouw!D12</f>
        <v>742.89148711964231</v>
      </c>
      <c r="F54" s="631">
        <f>+landbouw!E12</f>
        <v>48.483653541110492</v>
      </c>
      <c r="G54" s="631">
        <f>+landbouw!F12</f>
        <v>6482.6645376497809</v>
      </c>
      <c r="H54" s="631">
        <f>+landbouw!G12</f>
        <v>0</v>
      </c>
      <c r="I54" s="631">
        <f>+landbouw!H12</f>
        <v>0</v>
      </c>
      <c r="J54" s="631">
        <f>+landbouw!I12</f>
        <v>0</v>
      </c>
      <c r="K54" s="631">
        <f>+landbouw!J12</f>
        <v>612.70683596435151</v>
      </c>
      <c r="L54" s="631">
        <f>+landbouw!K12</f>
        <v>0</v>
      </c>
      <c r="M54" s="631">
        <f>+landbouw!L12</f>
        <v>0</v>
      </c>
      <c r="N54" s="631">
        <f>+landbouw!M12</f>
        <v>0</v>
      </c>
      <c r="O54" s="631">
        <f>+landbouw!N12</f>
        <v>0</v>
      </c>
      <c r="P54" s="631">
        <f>+landbouw!O12</f>
        <v>0</v>
      </c>
      <c r="Q54" s="632">
        <f>+landbouw!P12</f>
        <v>0</v>
      </c>
      <c r="R54" s="659">
        <f ca="1">SUM(C54:Q54)</f>
        <v>10711.397872946503</v>
      </c>
    </row>
    <row r="55" spans="1:18" ht="15" thickBot="1">
      <c r="A55" s="752" t="s">
        <v>775</v>
      </c>
      <c r="B55" s="762"/>
      <c r="C55" s="631">
        <f ca="1">C25*'EF ele_warmte'!B12</f>
        <v>81.573768080502475</v>
      </c>
      <c r="D55" s="631"/>
      <c r="E55" s="631">
        <f>E25*EF_CO2_aardgas</f>
        <v>469.66205622424093</v>
      </c>
      <c r="F55" s="631"/>
      <c r="G55" s="631"/>
      <c r="H55" s="631"/>
      <c r="I55" s="631"/>
      <c r="J55" s="631"/>
      <c r="K55" s="631"/>
      <c r="L55" s="631"/>
      <c r="M55" s="631"/>
      <c r="N55" s="631"/>
      <c r="O55" s="631"/>
      <c r="P55" s="631"/>
      <c r="Q55" s="632"/>
      <c r="R55" s="659">
        <f ca="1">SUM(C55:Q55)</f>
        <v>551.23582430474335</v>
      </c>
    </row>
    <row r="56" spans="1:18" ht="15.75" thickBot="1">
      <c r="A56" s="750" t="s">
        <v>776</v>
      </c>
      <c r="B56" s="763"/>
      <c r="C56" s="660">
        <f ca="1">SUM(C54:C55)</f>
        <v>767.40159734035569</v>
      </c>
      <c r="D56" s="660">
        <f t="shared" ref="D56:Q56" ca="1" si="7">SUM(D54:D55)</f>
        <v>2138.8235294117649</v>
      </c>
      <c r="E56" s="660">
        <f t="shared" si="7"/>
        <v>1212.5535433438831</v>
      </c>
      <c r="F56" s="660">
        <f t="shared" si="7"/>
        <v>48.483653541110492</v>
      </c>
      <c r="G56" s="660">
        <f t="shared" si="7"/>
        <v>6482.6645376497809</v>
      </c>
      <c r="H56" s="660">
        <f t="shared" si="7"/>
        <v>0</v>
      </c>
      <c r="I56" s="660">
        <f t="shared" si="7"/>
        <v>0</v>
      </c>
      <c r="J56" s="660">
        <f t="shared" si="7"/>
        <v>0</v>
      </c>
      <c r="K56" s="660">
        <f t="shared" si="7"/>
        <v>612.70683596435151</v>
      </c>
      <c r="L56" s="660">
        <f t="shared" si="7"/>
        <v>0</v>
      </c>
      <c r="M56" s="660">
        <f t="shared" si="7"/>
        <v>0</v>
      </c>
      <c r="N56" s="660">
        <f t="shared" si="7"/>
        <v>0</v>
      </c>
      <c r="O56" s="660">
        <f t="shared" si="7"/>
        <v>0</v>
      </c>
      <c r="P56" s="660">
        <f t="shared" si="7"/>
        <v>0</v>
      </c>
      <c r="Q56" s="661">
        <f t="shared" si="7"/>
        <v>0</v>
      </c>
      <c r="R56" s="662">
        <f ca="1">SUM(R54:R55)</f>
        <v>11262.633697251247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5027.2636150153803</v>
      </c>
      <c r="D61" s="668">
        <f t="shared" ref="D61:Q61" ca="1" si="8">D46+D52+D56</f>
        <v>2138.8235294117649</v>
      </c>
      <c r="E61" s="668">
        <f t="shared" ca="1" si="8"/>
        <v>11976.920233420773</v>
      </c>
      <c r="F61" s="668">
        <f t="shared" si="8"/>
        <v>572.91147069888541</v>
      </c>
      <c r="G61" s="668">
        <f t="shared" ca="1" si="8"/>
        <v>19327.207792130579</v>
      </c>
      <c r="H61" s="668">
        <f t="shared" si="8"/>
        <v>19244.099585159409</v>
      </c>
      <c r="I61" s="668">
        <f t="shared" si="8"/>
        <v>4120.8704643938036</v>
      </c>
      <c r="J61" s="668">
        <f t="shared" si="8"/>
        <v>0</v>
      </c>
      <c r="K61" s="668">
        <f t="shared" si="8"/>
        <v>696.26487849736156</v>
      </c>
      <c r="L61" s="668">
        <f t="shared" si="8"/>
        <v>0</v>
      </c>
      <c r="M61" s="668">
        <f t="shared" ca="1" si="8"/>
        <v>0</v>
      </c>
      <c r="N61" s="668">
        <f t="shared" si="8"/>
        <v>0</v>
      </c>
      <c r="O61" s="668">
        <f t="shared" ca="1" si="8"/>
        <v>0</v>
      </c>
      <c r="P61" s="668">
        <f t="shared" si="8"/>
        <v>0</v>
      </c>
      <c r="Q61" s="668">
        <f t="shared" si="8"/>
        <v>0</v>
      </c>
      <c r="R61" s="668">
        <f ca="1">R46+R52+R56</f>
        <v>63104.361568727953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0.10420878103039286</v>
      </c>
      <c r="D63" s="709">
        <f t="shared" ca="1" si="9"/>
        <v>0.23439895896360519</v>
      </c>
      <c r="E63" s="942">
        <f t="shared" ca="1" si="9"/>
        <v>0.20200000000000001</v>
      </c>
      <c r="F63" s="709">
        <f t="shared" si="9"/>
        <v>0.22699999999999995</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20669.377503055584</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5212.3039732265061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87.299999999999983</v>
      </c>
      <c r="C76" s="678">
        <f>'lokale energieproductie'!B8*IFERROR(SUM(D76:H76)/SUM(D76:O76),0)</f>
        <v>6299.9999999999991</v>
      </c>
      <c r="D76" s="952">
        <f>'lokale energieproductie'!C8</f>
        <v>7411.7647058823522</v>
      </c>
      <c r="E76" s="953">
        <f>'lokale energieproductie'!D8</f>
        <v>0</v>
      </c>
      <c r="F76" s="953">
        <f>'lokale energieproductie'!E8</f>
        <v>0</v>
      </c>
      <c r="G76" s="953">
        <f>'lokale energieproductie'!F8</f>
        <v>0</v>
      </c>
      <c r="H76" s="953">
        <f>'lokale energieproductie'!G8</f>
        <v>0</v>
      </c>
      <c r="I76" s="953">
        <f>'lokale energieproductie'!I8</f>
        <v>0</v>
      </c>
      <c r="J76" s="953">
        <f>'lokale energieproductie'!J8</f>
        <v>102.70588235294116</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1497.1764705882354</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25968.98147628209</v>
      </c>
      <c r="C78" s="683">
        <f>SUM(C72:C77)</f>
        <v>6299.9999999999991</v>
      </c>
      <c r="D78" s="684">
        <f t="shared" ref="D78:H78" si="10">SUM(D76:D77)</f>
        <v>7411.7647058823522</v>
      </c>
      <c r="E78" s="684">
        <f t="shared" si="10"/>
        <v>0</v>
      </c>
      <c r="F78" s="684">
        <f t="shared" si="10"/>
        <v>0</v>
      </c>
      <c r="G78" s="684">
        <f t="shared" si="10"/>
        <v>0</v>
      </c>
      <c r="H78" s="684">
        <f t="shared" si="10"/>
        <v>0</v>
      </c>
      <c r="I78" s="684">
        <f>SUM(I76:I77)</f>
        <v>0</v>
      </c>
      <c r="J78" s="684">
        <f>SUM(J76:J77)</f>
        <v>102.70588235294116</v>
      </c>
      <c r="K78" s="684">
        <f t="shared" ref="K78:L78" si="11">SUM(K76:K77)</f>
        <v>0</v>
      </c>
      <c r="L78" s="684">
        <f t="shared" si="11"/>
        <v>0</v>
      </c>
      <c r="M78" s="684">
        <f>SUM(M76:M77)</f>
        <v>0</v>
      </c>
      <c r="N78" s="684">
        <f>SUM(N76:N77)</f>
        <v>0</v>
      </c>
      <c r="O78" s="787">
        <f>SUM(O76:O77)</f>
        <v>0</v>
      </c>
      <c r="P78" s="685">
        <v>0</v>
      </c>
      <c r="Q78" s="685">
        <f>SUM(Q76:Q77)</f>
        <v>1497.1764705882354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124.71428571428569</v>
      </c>
      <c r="C87" s="694">
        <f>'lokale energieproductie'!B17*IFERROR(SUM(D87:H87)/SUM(D87:O87),0)</f>
        <v>9000</v>
      </c>
      <c r="D87" s="705">
        <f>'lokale energieproductie'!C17</f>
        <v>10588.235294117647</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146.72268907563023</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2138.8235294117649</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124.71428571428569</v>
      </c>
      <c r="C90" s="683">
        <f>SUM(C87:C89)</f>
        <v>9000</v>
      </c>
      <c r="D90" s="683">
        <f t="shared" ref="D90:H90" si="12">SUM(D87:D89)</f>
        <v>10588.235294117647</v>
      </c>
      <c r="E90" s="683">
        <f t="shared" si="12"/>
        <v>0</v>
      </c>
      <c r="F90" s="683">
        <f t="shared" si="12"/>
        <v>0</v>
      </c>
      <c r="G90" s="683">
        <f t="shared" si="12"/>
        <v>0</v>
      </c>
      <c r="H90" s="683">
        <f t="shared" si="12"/>
        <v>0</v>
      </c>
      <c r="I90" s="683">
        <f>SUM(I87:I89)</f>
        <v>0</v>
      </c>
      <c r="J90" s="683">
        <f>SUM(J87:J89)</f>
        <v>146.72268907563023</v>
      </c>
      <c r="K90" s="683">
        <f t="shared" ref="K90:L90" si="13">SUM(K87:K89)</f>
        <v>0</v>
      </c>
      <c r="L90" s="683">
        <f t="shared" si="13"/>
        <v>0</v>
      </c>
      <c r="M90" s="683">
        <f>SUM(M87:M89)</f>
        <v>0</v>
      </c>
      <c r="N90" s="683">
        <f>SUM(N87:N89)</f>
        <v>0</v>
      </c>
      <c r="O90" s="683">
        <f>SUM(O87:O89)</f>
        <v>0</v>
      </c>
      <c r="P90" s="683">
        <v>0</v>
      </c>
      <c r="Q90" s="683">
        <f>SUM(Q87:Q89)</f>
        <v>2138.8235294117649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27122.040769140047</v>
      </c>
      <c r="C4" s="441">
        <f>huishoudens!C8</f>
        <v>0</v>
      </c>
      <c r="D4" s="441">
        <f>huishoudens!D8</f>
        <v>39741.991854012849</v>
      </c>
      <c r="E4" s="441">
        <f>huishoudens!E8</f>
        <v>1964.6260015679097</v>
      </c>
      <c r="F4" s="441">
        <f>huishoudens!F8</f>
        <v>45538.502205486548</v>
      </c>
      <c r="G4" s="441">
        <f>huishoudens!G8</f>
        <v>0</v>
      </c>
      <c r="H4" s="441">
        <f>huishoudens!H8</f>
        <v>0</v>
      </c>
      <c r="I4" s="441">
        <f>huishoudens!I8</f>
        <v>0</v>
      </c>
      <c r="J4" s="441">
        <f>huishoudens!J8</f>
        <v>234.02778832481079</v>
      </c>
      <c r="K4" s="441">
        <f>huishoudens!K8</f>
        <v>0</v>
      </c>
      <c r="L4" s="441">
        <f>huishoudens!L8</f>
        <v>0</v>
      </c>
      <c r="M4" s="441">
        <f>huishoudens!M8</f>
        <v>0</v>
      </c>
      <c r="N4" s="441">
        <f>huishoudens!N8</f>
        <v>9421.4571705734234</v>
      </c>
      <c r="O4" s="441">
        <f>huishoudens!O8</f>
        <v>347.06000000000006</v>
      </c>
      <c r="P4" s="442">
        <f>huishoudens!P8</f>
        <v>800.8</v>
      </c>
      <c r="Q4" s="443">
        <f>SUM(B4:P4)</f>
        <v>125170.50578910558</v>
      </c>
    </row>
    <row r="5" spans="1:17">
      <c r="A5" s="440" t="s">
        <v>149</v>
      </c>
      <c r="B5" s="441">
        <f ca="1">tertiair!B16</f>
        <v>8578.5564975281632</v>
      </c>
      <c r="C5" s="441">
        <f ca="1">tertiair!C16</f>
        <v>0</v>
      </c>
      <c r="D5" s="441">
        <f ca="1">tertiair!D16</f>
        <v>9667.8794972588985</v>
      </c>
      <c r="E5" s="441">
        <f>tertiair!E16</f>
        <v>121.95033824226104</v>
      </c>
      <c r="F5" s="441">
        <f ca="1">tertiair!F16</f>
        <v>1751.719411978781</v>
      </c>
      <c r="G5" s="441">
        <f>tertiair!G16</f>
        <v>0</v>
      </c>
      <c r="H5" s="441">
        <f>tertiair!H16</f>
        <v>0</v>
      </c>
      <c r="I5" s="441">
        <f>tertiair!I16</f>
        <v>0</v>
      </c>
      <c r="J5" s="441">
        <f>tertiair!J16</f>
        <v>1.7242445626569208E-2</v>
      </c>
      <c r="K5" s="441">
        <f>tertiair!K16</f>
        <v>0</v>
      </c>
      <c r="L5" s="441">
        <f ca="1">tertiair!L16</f>
        <v>0</v>
      </c>
      <c r="M5" s="441">
        <f>tertiair!M16</f>
        <v>0</v>
      </c>
      <c r="N5" s="441">
        <f ca="1">tertiair!N16</f>
        <v>688.32781955939367</v>
      </c>
      <c r="O5" s="441">
        <f>tertiair!O16</f>
        <v>3.1266666666666669</v>
      </c>
      <c r="P5" s="442">
        <f>tertiair!P16</f>
        <v>0</v>
      </c>
      <c r="Q5" s="440">
        <f t="shared" ref="Q5:Q14" ca="1" si="0">SUM(B5:P5)</f>
        <v>20811.57747367979</v>
      </c>
    </row>
    <row r="6" spans="1:17">
      <c r="A6" s="440" t="s">
        <v>187</v>
      </c>
      <c r="B6" s="441">
        <f>'openbare verlichting'!B8</f>
        <v>1022.98</v>
      </c>
      <c r="C6" s="441"/>
      <c r="D6" s="441"/>
      <c r="E6" s="441"/>
      <c r="F6" s="441"/>
      <c r="G6" s="441"/>
      <c r="H6" s="441"/>
      <c r="I6" s="441"/>
      <c r="J6" s="441"/>
      <c r="K6" s="441"/>
      <c r="L6" s="441"/>
      <c r="M6" s="441"/>
      <c r="N6" s="441"/>
      <c r="O6" s="441"/>
      <c r="P6" s="442"/>
      <c r="Q6" s="440">
        <f t="shared" si="0"/>
        <v>1022.98</v>
      </c>
    </row>
    <row r="7" spans="1:17">
      <c r="A7" s="440" t="s">
        <v>105</v>
      </c>
      <c r="B7" s="441">
        <f>landbouw!B8</f>
        <v>6581.2863606938199</v>
      </c>
      <c r="C7" s="441">
        <f>landbouw!C8</f>
        <v>9124.7142857142862</v>
      </c>
      <c r="D7" s="441">
        <f>landbouw!D8</f>
        <v>3677.6806293051595</v>
      </c>
      <c r="E7" s="441">
        <f>landbouw!E8</f>
        <v>213.58437683308586</v>
      </c>
      <c r="F7" s="441">
        <f>landbouw!F8</f>
        <v>24279.642463107793</v>
      </c>
      <c r="G7" s="441">
        <f>landbouw!G8</f>
        <v>0</v>
      </c>
      <c r="H7" s="441">
        <f>landbouw!H8</f>
        <v>0</v>
      </c>
      <c r="I7" s="441">
        <f>landbouw!I8</f>
        <v>0</v>
      </c>
      <c r="J7" s="441">
        <f>landbouw!J8</f>
        <v>1730.8102710857388</v>
      </c>
      <c r="K7" s="441">
        <f>landbouw!K8</f>
        <v>0</v>
      </c>
      <c r="L7" s="441">
        <f>landbouw!L8</f>
        <v>0</v>
      </c>
      <c r="M7" s="441">
        <f>landbouw!M8</f>
        <v>0</v>
      </c>
      <c r="N7" s="441">
        <f>landbouw!N8</f>
        <v>0</v>
      </c>
      <c r="O7" s="441">
        <f>landbouw!O8</f>
        <v>0</v>
      </c>
      <c r="P7" s="442">
        <f>landbouw!P8</f>
        <v>0</v>
      </c>
      <c r="Q7" s="440">
        <f t="shared" si="0"/>
        <v>45607.718386739885</v>
      </c>
    </row>
    <row r="8" spans="1:17">
      <c r="A8" s="440" t="s">
        <v>596</v>
      </c>
      <c r="B8" s="441">
        <f>industrie!B18</f>
        <v>4086.3692342399208</v>
      </c>
      <c r="C8" s="441">
        <f>industrie!C18</f>
        <v>0</v>
      </c>
      <c r="D8" s="441">
        <f>industrie!D18</f>
        <v>3782.83518876884</v>
      </c>
      <c r="E8" s="441">
        <f>industrie!E18</f>
        <v>59.077642291502656</v>
      </c>
      <c r="F8" s="441">
        <f>industrie!F18</f>
        <v>816.68195736911798</v>
      </c>
      <c r="G8" s="441">
        <f>industrie!G18</f>
        <v>0</v>
      </c>
      <c r="H8" s="441">
        <f>industrie!H18</f>
        <v>0</v>
      </c>
      <c r="I8" s="441">
        <f>industrie!I18</f>
        <v>0</v>
      </c>
      <c r="J8" s="441">
        <f>industrie!J18</f>
        <v>1.9946374019073436</v>
      </c>
      <c r="K8" s="441">
        <f>industrie!K18</f>
        <v>0</v>
      </c>
      <c r="L8" s="441">
        <f>industrie!L18</f>
        <v>0</v>
      </c>
      <c r="M8" s="441">
        <f>industrie!M18</f>
        <v>0</v>
      </c>
      <c r="N8" s="441">
        <f>industrie!N18</f>
        <v>90.679475261784745</v>
      </c>
      <c r="O8" s="441">
        <f>industrie!O18</f>
        <v>0</v>
      </c>
      <c r="P8" s="442">
        <f>industrie!P18</f>
        <v>0</v>
      </c>
      <c r="Q8" s="440">
        <f t="shared" si="0"/>
        <v>8837.6381353330726</v>
      </c>
    </row>
    <row r="9" spans="1:17" s="446" customFormat="1">
      <c r="A9" s="444" t="s">
        <v>545</v>
      </c>
      <c r="B9" s="445">
        <f>transport!B14</f>
        <v>53.194656083397589</v>
      </c>
      <c r="C9" s="445">
        <f>transport!C14</f>
        <v>0</v>
      </c>
      <c r="D9" s="445">
        <f>transport!D14</f>
        <v>96.237470241036704</v>
      </c>
      <c r="E9" s="445">
        <f>transport!E14</f>
        <v>164.60071903389914</v>
      </c>
      <c r="F9" s="445">
        <f>transport!F14</f>
        <v>0</v>
      </c>
      <c r="G9" s="445">
        <f>transport!G14</f>
        <v>70665.495877310124</v>
      </c>
      <c r="H9" s="445">
        <f>transport!H14</f>
        <v>16549.680579894793</v>
      </c>
      <c r="I9" s="445">
        <f>transport!I14</f>
        <v>0</v>
      </c>
      <c r="J9" s="445">
        <f>transport!J14</f>
        <v>0</v>
      </c>
      <c r="K9" s="445">
        <f>transport!K14</f>
        <v>0</v>
      </c>
      <c r="L9" s="445">
        <f>transport!L14</f>
        <v>0</v>
      </c>
      <c r="M9" s="445">
        <f>transport!M14</f>
        <v>4615.8924818348278</v>
      </c>
      <c r="N9" s="445">
        <f>transport!N14</f>
        <v>0</v>
      </c>
      <c r="O9" s="445">
        <f>transport!O14</f>
        <v>0</v>
      </c>
      <c r="P9" s="445">
        <f>transport!P14</f>
        <v>0</v>
      </c>
      <c r="Q9" s="444">
        <f>SUM(B9:P9)</f>
        <v>92145.101784398081</v>
      </c>
    </row>
    <row r="10" spans="1:17">
      <c r="A10" s="440" t="s">
        <v>535</v>
      </c>
      <c r="B10" s="441">
        <f>transport!B54</f>
        <v>15.007263462802722</v>
      </c>
      <c r="C10" s="441">
        <f>transport!C54</f>
        <v>0</v>
      </c>
      <c r="D10" s="441">
        <f>transport!D54</f>
        <v>0</v>
      </c>
      <c r="E10" s="441">
        <f>transport!E54</f>
        <v>0</v>
      </c>
      <c r="F10" s="441">
        <f>transport!F54</f>
        <v>0</v>
      </c>
      <c r="G10" s="441">
        <f>transport!G54</f>
        <v>1409.7834678561944</v>
      </c>
      <c r="H10" s="441">
        <f>transport!H54</f>
        <v>0</v>
      </c>
      <c r="I10" s="441">
        <f>transport!I54</f>
        <v>0</v>
      </c>
      <c r="J10" s="441">
        <f>transport!J54</f>
        <v>0</v>
      </c>
      <c r="K10" s="441">
        <f>transport!K54</f>
        <v>0</v>
      </c>
      <c r="L10" s="441">
        <f>transport!L54</f>
        <v>0</v>
      </c>
      <c r="M10" s="441">
        <f>transport!M54</f>
        <v>81.185197060767081</v>
      </c>
      <c r="N10" s="441">
        <f>transport!N54</f>
        <v>0</v>
      </c>
      <c r="O10" s="441">
        <f>transport!O54</f>
        <v>0</v>
      </c>
      <c r="P10" s="442">
        <f>transport!P54</f>
        <v>0</v>
      </c>
      <c r="Q10" s="440">
        <f t="shared" si="0"/>
        <v>1505.9759283797641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782.79169254183307</v>
      </c>
      <c r="C14" s="448"/>
      <c r="D14" s="448">
        <f>'SEAP template'!E25</f>
        <v>2325.0596842784203</v>
      </c>
      <c r="E14" s="448"/>
      <c r="F14" s="448"/>
      <c r="G14" s="448"/>
      <c r="H14" s="448"/>
      <c r="I14" s="448"/>
      <c r="J14" s="448"/>
      <c r="K14" s="448"/>
      <c r="L14" s="448"/>
      <c r="M14" s="448"/>
      <c r="N14" s="448"/>
      <c r="O14" s="448"/>
      <c r="P14" s="449"/>
      <c r="Q14" s="440">
        <f t="shared" si="0"/>
        <v>3107.8513768202533</v>
      </c>
    </row>
    <row r="15" spans="1:17" s="450" customFormat="1">
      <c r="A15" s="957" t="s">
        <v>539</v>
      </c>
      <c r="B15" s="905">
        <f ca="1">SUM(B4:B14)</f>
        <v>48242.226473689982</v>
      </c>
      <c r="C15" s="905">
        <f t="shared" ref="C15:Q15" ca="1" si="1">SUM(C4:C14)</f>
        <v>9124.7142857142862</v>
      </c>
      <c r="D15" s="905">
        <f t="shared" ca="1" si="1"/>
        <v>59291.684323865215</v>
      </c>
      <c r="E15" s="905">
        <f t="shared" si="1"/>
        <v>2523.8390779686588</v>
      </c>
      <c r="F15" s="905">
        <f t="shared" ca="1" si="1"/>
        <v>72386.546037942244</v>
      </c>
      <c r="G15" s="905">
        <f t="shared" si="1"/>
        <v>72075.279345166316</v>
      </c>
      <c r="H15" s="905">
        <f t="shared" si="1"/>
        <v>16549.680579894793</v>
      </c>
      <c r="I15" s="905">
        <f t="shared" si="1"/>
        <v>0</v>
      </c>
      <c r="J15" s="905">
        <f t="shared" si="1"/>
        <v>1966.8499392580834</v>
      </c>
      <c r="K15" s="905">
        <f t="shared" si="1"/>
        <v>0</v>
      </c>
      <c r="L15" s="905">
        <f t="shared" ca="1" si="1"/>
        <v>0</v>
      </c>
      <c r="M15" s="905">
        <f t="shared" si="1"/>
        <v>4697.0776788955945</v>
      </c>
      <c r="N15" s="905">
        <f t="shared" ca="1" si="1"/>
        <v>10200.464465394602</v>
      </c>
      <c r="O15" s="905">
        <f t="shared" si="1"/>
        <v>350.18666666666672</v>
      </c>
      <c r="P15" s="905">
        <f t="shared" si="1"/>
        <v>800.8</v>
      </c>
      <c r="Q15" s="905">
        <f t="shared" ca="1" si="1"/>
        <v>298209.34887445642</v>
      </c>
    </row>
    <row r="17" spans="1:17">
      <c r="A17" s="451" t="s">
        <v>540</v>
      </c>
      <c r="B17" s="714">
        <f ca="1">huishoudens!B10</f>
        <v>0.10420878103039283</v>
      </c>
      <c r="C17" s="714">
        <f ca="1">huishoudens!C10</f>
        <v>0.23439895896360519</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2826.3548076087022</v>
      </c>
      <c r="C22" s="441">
        <f t="shared" ref="C22:C32" ca="1" si="3">C4*$C$17</f>
        <v>0</v>
      </c>
      <c r="D22" s="441">
        <f t="shared" ref="D22:D32" si="4">D4*$D$17</f>
        <v>8027.8823545105961</v>
      </c>
      <c r="E22" s="441">
        <f t="shared" ref="E22:E32" si="5">E4*$E$17</f>
        <v>445.97010235591551</v>
      </c>
      <c r="F22" s="441">
        <f t="shared" ref="F22:F32" si="6">F4*$F$17</f>
        <v>12158.780088864909</v>
      </c>
      <c r="G22" s="441">
        <f t="shared" ref="G22:G32" si="7">G4*$G$17</f>
        <v>0</v>
      </c>
      <c r="H22" s="441">
        <f t="shared" ref="H22:H32" si="8">H4*$H$17</f>
        <v>0</v>
      </c>
      <c r="I22" s="441">
        <f t="shared" ref="I22:I32" si="9">I4*$I$17</f>
        <v>0</v>
      </c>
      <c r="J22" s="441">
        <f t="shared" ref="J22:J32" si="10">J4*$J$17</f>
        <v>82.845837066983009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23541.833190407106</v>
      </c>
    </row>
    <row r="23" spans="1:17">
      <c r="A23" s="440" t="s">
        <v>149</v>
      </c>
      <c r="B23" s="441">
        <f t="shared" ca="1" si="2"/>
        <v>893.96091560776597</v>
      </c>
      <c r="C23" s="441">
        <f t="shared" ca="1" si="3"/>
        <v>0</v>
      </c>
      <c r="D23" s="441">
        <f t="shared" ca="1" si="4"/>
        <v>1952.9116584462977</v>
      </c>
      <c r="E23" s="441">
        <f t="shared" si="5"/>
        <v>27.682726780993256</v>
      </c>
      <c r="F23" s="441">
        <f t="shared" ca="1" si="6"/>
        <v>467.70908299833457</v>
      </c>
      <c r="G23" s="441">
        <f t="shared" si="7"/>
        <v>0</v>
      </c>
      <c r="H23" s="441">
        <f t="shared" si="8"/>
        <v>0</v>
      </c>
      <c r="I23" s="441">
        <f t="shared" si="9"/>
        <v>0</v>
      </c>
      <c r="J23" s="441">
        <f t="shared" si="10"/>
        <v>6.1038257518054992E-3</v>
      </c>
      <c r="K23" s="441">
        <f t="shared" si="11"/>
        <v>0</v>
      </c>
      <c r="L23" s="441">
        <f t="shared" ca="1" si="12"/>
        <v>0</v>
      </c>
      <c r="M23" s="441">
        <f t="shared" si="13"/>
        <v>0</v>
      </c>
      <c r="N23" s="441">
        <f t="shared" ca="1" si="14"/>
        <v>0</v>
      </c>
      <c r="O23" s="441">
        <f t="shared" si="15"/>
        <v>0</v>
      </c>
      <c r="P23" s="442">
        <f t="shared" si="16"/>
        <v>0</v>
      </c>
      <c r="Q23" s="440">
        <f t="shared" ref="Q23:Q32" ca="1" si="17">SUM(B23:P23)</f>
        <v>3342.2704876591429</v>
      </c>
    </row>
    <row r="24" spans="1:17">
      <c r="A24" s="440" t="s">
        <v>187</v>
      </c>
      <c r="B24" s="441">
        <f t="shared" ca="1" si="2"/>
        <v>106.60349881847125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106.60349881847125</v>
      </c>
    </row>
    <row r="25" spans="1:17">
      <c r="A25" s="440" t="s">
        <v>105</v>
      </c>
      <c r="B25" s="441">
        <f t="shared" ca="1" si="2"/>
        <v>685.82782925985316</v>
      </c>
      <c r="C25" s="441">
        <f t="shared" ca="1" si="3"/>
        <v>2138.8235294117649</v>
      </c>
      <c r="D25" s="441">
        <f t="shared" si="4"/>
        <v>742.89148711964231</v>
      </c>
      <c r="E25" s="441">
        <f t="shared" si="5"/>
        <v>48.483653541110492</v>
      </c>
      <c r="F25" s="441">
        <f t="shared" si="6"/>
        <v>6482.6645376497809</v>
      </c>
      <c r="G25" s="441">
        <f t="shared" si="7"/>
        <v>0</v>
      </c>
      <c r="H25" s="441">
        <f t="shared" si="8"/>
        <v>0</v>
      </c>
      <c r="I25" s="441">
        <f t="shared" si="9"/>
        <v>0</v>
      </c>
      <c r="J25" s="441">
        <f t="shared" si="10"/>
        <v>612.70683596435151</v>
      </c>
      <c r="K25" s="441">
        <f t="shared" si="11"/>
        <v>0</v>
      </c>
      <c r="L25" s="441">
        <f t="shared" si="12"/>
        <v>0</v>
      </c>
      <c r="M25" s="441">
        <f t="shared" si="13"/>
        <v>0</v>
      </c>
      <c r="N25" s="441">
        <f t="shared" si="14"/>
        <v>0</v>
      </c>
      <c r="O25" s="441">
        <f t="shared" si="15"/>
        <v>0</v>
      </c>
      <c r="P25" s="442">
        <f t="shared" si="16"/>
        <v>0</v>
      </c>
      <c r="Q25" s="440">
        <f t="shared" ca="1" si="17"/>
        <v>10711.397872946503</v>
      </c>
    </row>
    <row r="26" spans="1:17">
      <c r="A26" s="440" t="s">
        <v>596</v>
      </c>
      <c r="B26" s="441">
        <f t="shared" ca="1" si="2"/>
        <v>425.83555674024194</v>
      </c>
      <c r="C26" s="441">
        <f t="shared" ca="1" si="3"/>
        <v>0</v>
      </c>
      <c r="D26" s="441">
        <f t="shared" si="4"/>
        <v>764.13270813130578</v>
      </c>
      <c r="E26" s="441">
        <f t="shared" si="5"/>
        <v>13.410624800171103</v>
      </c>
      <c r="F26" s="441">
        <f t="shared" si="6"/>
        <v>218.05408261755451</v>
      </c>
      <c r="G26" s="441">
        <f t="shared" si="7"/>
        <v>0</v>
      </c>
      <c r="H26" s="441">
        <f t="shared" si="8"/>
        <v>0</v>
      </c>
      <c r="I26" s="441">
        <f t="shared" si="9"/>
        <v>0</v>
      </c>
      <c r="J26" s="441">
        <f t="shared" si="10"/>
        <v>0.70610164027519962</v>
      </c>
      <c r="K26" s="441">
        <f t="shared" si="11"/>
        <v>0</v>
      </c>
      <c r="L26" s="441">
        <f t="shared" si="12"/>
        <v>0</v>
      </c>
      <c r="M26" s="441">
        <f t="shared" si="13"/>
        <v>0</v>
      </c>
      <c r="N26" s="441">
        <f t="shared" si="14"/>
        <v>0</v>
      </c>
      <c r="O26" s="441">
        <f t="shared" si="15"/>
        <v>0</v>
      </c>
      <c r="P26" s="442">
        <f t="shared" si="16"/>
        <v>0</v>
      </c>
      <c r="Q26" s="440">
        <f t="shared" ca="1" si="17"/>
        <v>1422.1390739295484</v>
      </c>
    </row>
    <row r="27" spans="1:17" s="446" customFormat="1">
      <c r="A27" s="444" t="s">
        <v>545</v>
      </c>
      <c r="B27" s="708">
        <f t="shared" ca="1" si="2"/>
        <v>5.5433502677818334</v>
      </c>
      <c r="C27" s="445">
        <f t="shared" ca="1" si="3"/>
        <v>0</v>
      </c>
      <c r="D27" s="445">
        <f t="shared" si="4"/>
        <v>19.439968988689415</v>
      </c>
      <c r="E27" s="445">
        <f t="shared" si="5"/>
        <v>37.364363220695104</v>
      </c>
      <c r="F27" s="445">
        <f t="shared" si="6"/>
        <v>0</v>
      </c>
      <c r="G27" s="445">
        <f t="shared" si="7"/>
        <v>18867.687399241804</v>
      </c>
      <c r="H27" s="445">
        <f t="shared" si="8"/>
        <v>4120.8704643938036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23050.905546112775</v>
      </c>
    </row>
    <row r="28" spans="1:17">
      <c r="A28" s="440" t="s">
        <v>535</v>
      </c>
      <c r="B28" s="441">
        <f t="shared" ca="1" si="2"/>
        <v>1.5638886320606238</v>
      </c>
      <c r="C28" s="441">
        <f t="shared" ca="1" si="3"/>
        <v>0</v>
      </c>
      <c r="D28" s="441">
        <f t="shared" si="4"/>
        <v>0</v>
      </c>
      <c r="E28" s="441">
        <f t="shared" si="5"/>
        <v>0</v>
      </c>
      <c r="F28" s="441">
        <f t="shared" si="6"/>
        <v>0</v>
      </c>
      <c r="G28" s="441">
        <f t="shared" si="7"/>
        <v>376.41218591760395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377.97607454966459</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81.573768080502475</v>
      </c>
      <c r="C32" s="441">
        <f t="shared" ca="1" si="3"/>
        <v>0</v>
      </c>
      <c r="D32" s="441">
        <f t="shared" si="4"/>
        <v>469.66205622424093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551.23582430474335</v>
      </c>
    </row>
    <row r="33" spans="1:17" s="450" customFormat="1">
      <c r="A33" s="957" t="s">
        <v>539</v>
      </c>
      <c r="B33" s="905">
        <f ca="1">SUM(B22:B32)</f>
        <v>5027.2636150153785</v>
      </c>
      <c r="C33" s="905">
        <f t="shared" ref="C33:Q33" ca="1" si="18">SUM(C22:C32)</f>
        <v>2138.8235294117649</v>
      </c>
      <c r="D33" s="905">
        <f t="shared" ca="1" si="18"/>
        <v>11976.920233420773</v>
      </c>
      <c r="E33" s="905">
        <f t="shared" si="18"/>
        <v>572.91147069888552</v>
      </c>
      <c r="F33" s="905">
        <f t="shared" ca="1" si="18"/>
        <v>19327.207792130579</v>
      </c>
      <c r="G33" s="905">
        <f t="shared" si="18"/>
        <v>19244.099585159409</v>
      </c>
      <c r="H33" s="905">
        <f t="shared" si="18"/>
        <v>4120.8704643938036</v>
      </c>
      <c r="I33" s="905">
        <f t="shared" si="18"/>
        <v>0</v>
      </c>
      <c r="J33" s="905">
        <f t="shared" si="18"/>
        <v>696.26487849736145</v>
      </c>
      <c r="K33" s="905">
        <f t="shared" si="18"/>
        <v>0</v>
      </c>
      <c r="L33" s="905">
        <f t="shared" ca="1" si="18"/>
        <v>0</v>
      </c>
      <c r="M33" s="905">
        <f t="shared" si="18"/>
        <v>0</v>
      </c>
      <c r="N33" s="905">
        <f t="shared" ca="1" si="18"/>
        <v>0</v>
      </c>
      <c r="O33" s="905">
        <f t="shared" si="18"/>
        <v>0</v>
      </c>
      <c r="P33" s="905">
        <f t="shared" si="18"/>
        <v>0</v>
      </c>
      <c r="Q33" s="905">
        <f t="shared" ca="1" si="18"/>
        <v>63104.361568727953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20669.377503055584</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5212.3039732265061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87.299999999999983</v>
      </c>
      <c r="C8" s="974">
        <f>'SEAP template'!C76</f>
        <v>6299.9999999999991</v>
      </c>
      <c r="D8" s="974">
        <f>'SEAP template'!D76</f>
        <v>7411.7647058823522</v>
      </c>
      <c r="E8" s="974">
        <f>'SEAP template'!E76</f>
        <v>0</v>
      </c>
      <c r="F8" s="974">
        <f>'SEAP template'!F76</f>
        <v>0</v>
      </c>
      <c r="G8" s="974">
        <f>'SEAP template'!G76</f>
        <v>0</v>
      </c>
      <c r="H8" s="974">
        <f>'SEAP template'!H76</f>
        <v>0</v>
      </c>
      <c r="I8" s="974">
        <f>'SEAP template'!I76</f>
        <v>0</v>
      </c>
      <c r="J8" s="974">
        <f>'SEAP template'!J76</f>
        <v>102.70588235294116</v>
      </c>
      <c r="K8" s="974">
        <f>'SEAP template'!K76</f>
        <v>0</v>
      </c>
      <c r="L8" s="974">
        <f>'SEAP template'!L76</f>
        <v>0</v>
      </c>
      <c r="M8" s="974">
        <f>'SEAP template'!M76</f>
        <v>0</v>
      </c>
      <c r="N8" s="974">
        <f>'SEAP template'!N76</f>
        <v>0</v>
      </c>
      <c r="O8" s="974">
        <f>'SEAP template'!O76</f>
        <v>0</v>
      </c>
      <c r="P8" s="975">
        <f>'SEAP template'!Q76</f>
        <v>1497.1764705882354</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25968.98147628209</v>
      </c>
      <c r="C10" s="978">
        <f>SUM(C4:C9)</f>
        <v>6299.9999999999991</v>
      </c>
      <c r="D10" s="978">
        <f t="shared" ref="D10:H10" si="0">SUM(D8:D9)</f>
        <v>7411.7647058823522</v>
      </c>
      <c r="E10" s="978">
        <f t="shared" si="0"/>
        <v>0</v>
      </c>
      <c r="F10" s="978">
        <f t="shared" si="0"/>
        <v>0</v>
      </c>
      <c r="G10" s="978">
        <f t="shared" si="0"/>
        <v>0</v>
      </c>
      <c r="H10" s="978">
        <f t="shared" si="0"/>
        <v>0</v>
      </c>
      <c r="I10" s="978">
        <f>SUM(I8:I9)</f>
        <v>0</v>
      </c>
      <c r="J10" s="978">
        <f>SUM(J8:J9)</f>
        <v>102.70588235294116</v>
      </c>
      <c r="K10" s="978">
        <f t="shared" ref="K10:L10" si="1">SUM(K8:K9)</f>
        <v>0</v>
      </c>
      <c r="L10" s="978">
        <f t="shared" si="1"/>
        <v>0</v>
      </c>
      <c r="M10" s="978">
        <f>SUM(M8:M9)</f>
        <v>0</v>
      </c>
      <c r="N10" s="978">
        <f>SUM(N8:N9)</f>
        <v>0</v>
      </c>
      <c r="O10" s="978">
        <f>SUM(O8:O9)</f>
        <v>0</v>
      </c>
      <c r="P10" s="978">
        <f>SUM(P8:P9)</f>
        <v>1497.1764705882354</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0.10420878103039283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124.71428571428569</v>
      </c>
      <c r="C17" s="980">
        <f>'SEAP template'!C87</f>
        <v>9000</v>
      </c>
      <c r="D17" s="975">
        <f>'SEAP template'!D87</f>
        <v>10588.235294117647</v>
      </c>
      <c r="E17" s="975">
        <f>'SEAP template'!E87</f>
        <v>0</v>
      </c>
      <c r="F17" s="975">
        <f>'SEAP template'!F87</f>
        <v>0</v>
      </c>
      <c r="G17" s="975">
        <f>'SEAP template'!G87</f>
        <v>0</v>
      </c>
      <c r="H17" s="975">
        <f>'SEAP template'!H87</f>
        <v>0</v>
      </c>
      <c r="I17" s="975">
        <f>'SEAP template'!I87</f>
        <v>0</v>
      </c>
      <c r="J17" s="975">
        <f>'SEAP template'!J87</f>
        <v>146.72268907563023</v>
      </c>
      <c r="K17" s="975">
        <f>'SEAP template'!K87</f>
        <v>0</v>
      </c>
      <c r="L17" s="975">
        <f>'SEAP template'!L87</f>
        <v>0</v>
      </c>
      <c r="M17" s="975">
        <f>'SEAP template'!M87</f>
        <v>0</v>
      </c>
      <c r="N17" s="975">
        <f>'SEAP template'!N87</f>
        <v>0</v>
      </c>
      <c r="O17" s="975">
        <f>'SEAP template'!O87</f>
        <v>0</v>
      </c>
      <c r="P17" s="975">
        <f>'SEAP template'!Q87</f>
        <v>2138.8235294117649</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124.71428571428569</v>
      </c>
      <c r="C20" s="978">
        <f>SUM(C17:C19)</f>
        <v>9000</v>
      </c>
      <c r="D20" s="978">
        <f t="shared" ref="D20:H20" si="2">SUM(D17:D19)</f>
        <v>10588.235294117647</v>
      </c>
      <c r="E20" s="978">
        <f t="shared" si="2"/>
        <v>0</v>
      </c>
      <c r="F20" s="978">
        <f t="shared" si="2"/>
        <v>0</v>
      </c>
      <c r="G20" s="978">
        <f t="shared" si="2"/>
        <v>0</v>
      </c>
      <c r="H20" s="978">
        <f t="shared" si="2"/>
        <v>0</v>
      </c>
      <c r="I20" s="978">
        <f>SUM(I17:I19)</f>
        <v>0</v>
      </c>
      <c r="J20" s="978">
        <f>SUM(J17:J19)</f>
        <v>146.72268907563023</v>
      </c>
      <c r="K20" s="978">
        <f t="shared" ref="K20:L20" si="3">SUM(K17:K19)</f>
        <v>0</v>
      </c>
      <c r="L20" s="978">
        <f t="shared" si="3"/>
        <v>0</v>
      </c>
      <c r="M20" s="978">
        <f>SUM(M17:M19)</f>
        <v>0</v>
      </c>
      <c r="N20" s="978">
        <f>SUM(N17:N19)</f>
        <v>0</v>
      </c>
      <c r="O20" s="978">
        <f>SUM(O17:O19)</f>
        <v>0</v>
      </c>
      <c r="P20" s="978">
        <f>SUM(P17:P19)</f>
        <v>2138.8235294117649</v>
      </c>
    </row>
    <row r="22" spans="1:16">
      <c r="A22" s="451" t="s">
        <v>800</v>
      </c>
      <c r="B22" s="714" t="s">
        <v>794</v>
      </c>
      <c r="C22" s="714">
        <f ca="1">'EF ele_warmte'!B22</f>
        <v>0.23439895896360519</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0.10420878103039283</v>
      </c>
      <c r="C17" s="488">
        <f ca="1">'EF ele_warmte'!B22</f>
        <v>0.23439895896360519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2</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3.1266666666666669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2022-07-26T10:47:47Z</dcterms:modified>
</cp:coreProperties>
</file>